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10" yWindow="-30" windowWidth="1449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l="1"/>
  <c r="Y6" i="1"/>
  <c r="N6" i="1"/>
  <c r="N19" i="1"/>
  <c r="N17"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L215" i="3" s="1"/>
  <c r="AZ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AZ339" i="3" s="1"/>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L333" i="3" s="1"/>
  <c r="BN333" i="3"/>
  <c r="BM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AZ323" i="3" s="1"/>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AZ307" i="3" s="1"/>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BL160" i="3"/>
  <c r="AZ160" i="3" s="1"/>
  <c r="G161" i="3"/>
  <c r="BA163" i="3"/>
  <c r="AZ163" i="3" s="1"/>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84"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62" i="3"/>
  <c r="AZ166" i="3"/>
  <c r="AZ174" i="3"/>
  <c r="AZ178" i="3"/>
  <c r="AZ182" i="3"/>
  <c r="AZ190" i="3"/>
  <c r="AZ194" i="3"/>
  <c r="AZ202" i="3"/>
  <c r="AZ206" i="3"/>
  <c r="AZ500" i="3"/>
  <c r="BA16" i="3"/>
  <c r="AZ16" i="3"/>
  <c r="BL303" i="3"/>
  <c r="G304" i="3"/>
  <c r="BA306" i="3"/>
  <c r="AZ306" i="3"/>
  <c r="BL307" i="3"/>
  <c r="G308" i="3"/>
  <c r="BA310" i="3"/>
  <c r="AZ310" i="3" s="1"/>
  <c r="BL311" i="3"/>
  <c r="AZ311" i="3" s="1"/>
  <c r="G312" i="3"/>
  <c r="BA314" i="3"/>
  <c r="BL315" i="3"/>
  <c r="G316" i="3"/>
  <c r="BA318" i="3"/>
  <c r="AZ318" i="3" s="1"/>
  <c r="BL319" i="3"/>
  <c r="G320" i="3"/>
  <c r="BA322" i="3"/>
  <c r="AZ322" i="3" s="1"/>
  <c r="BL323" i="3"/>
  <c r="G324" i="3"/>
  <c r="BA326" i="3"/>
  <c r="AZ326" i="3" s="1"/>
  <c r="BL327" i="3"/>
  <c r="AZ327" i="3"/>
  <c r="G328" i="3"/>
  <c r="BA330" i="3"/>
  <c r="AZ330" i="3" s="1"/>
  <c r="BL331" i="3"/>
  <c r="G332" i="3"/>
  <c r="BA334" i="3"/>
  <c r="AZ334" i="3" s="1"/>
  <c r="BL335" i="3"/>
  <c r="G336" i="3"/>
  <c r="BA338" i="3"/>
  <c r="AZ338" i="3" s="1"/>
  <c r="BL339" i="3"/>
  <c r="G340" i="3"/>
  <c r="BL343" i="3"/>
  <c r="G344" i="3"/>
  <c r="G348" i="3"/>
  <c r="G355" i="3"/>
  <c r="G342" i="3"/>
  <c r="BL345" i="3"/>
  <c r="AZ345" i="3" s="1"/>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7" i="3"/>
  <c r="AZ241"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27" i="3"/>
  <c r="AZ251" i="3"/>
  <c r="AZ256" i="3"/>
  <c r="AZ259" i="3"/>
  <c r="AZ268" i="3"/>
  <c r="AZ271" i="3"/>
  <c r="AZ280" i="3"/>
  <c r="AZ288" i="3"/>
  <c r="AZ296" i="3"/>
  <c r="AZ114" i="3"/>
  <c r="AZ117" i="3"/>
  <c r="AZ130" i="3"/>
  <c r="AZ133" i="3"/>
  <c r="AZ21" i="3"/>
  <c r="AZ29" i="3"/>
  <c r="AZ31" i="3"/>
  <c r="AZ33" i="3"/>
  <c r="AZ42" i="3"/>
  <c r="AZ45" i="3"/>
  <c r="AZ53" i="3"/>
  <c r="AZ58" i="3"/>
  <c r="AZ61" i="3"/>
  <c r="AZ66" i="3"/>
  <c r="AZ69" i="3"/>
  <c r="AZ72" i="3"/>
  <c r="AZ74" i="3"/>
  <c r="AZ77" i="3"/>
  <c r="AZ82" i="3"/>
  <c r="AZ86" i="3"/>
  <c r="AZ94" i="3"/>
  <c r="AZ102"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34" i="3"/>
  <c r="AZ250" i="3"/>
  <c r="AZ281" i="3"/>
  <c r="AZ286" i="3"/>
  <c r="AZ297"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7" i="15"/>
  <c r="F36" i="15"/>
  <c r="J15" i="15"/>
  <c r="F3" i="73"/>
  <c r="F38" i="67"/>
  <c r="E7" i="76"/>
  <c r="AO13" i="1"/>
  <c r="F26" i="15"/>
  <c r="F7" i="67"/>
  <c r="F6" i="67"/>
  <c r="F37" i="15"/>
  <c r="M28" i="67"/>
  <c r="F38" i="15"/>
  <c r="D6" i="73"/>
  <c r="F9" i="67"/>
  <c r="F6" i="73"/>
  <c r="E2" i="69"/>
  <c r="F37" i="67"/>
  <c r="E8" i="76"/>
  <c r="E2" i="68"/>
  <c r="E12" i="76"/>
  <c r="D7" i="73"/>
  <c r="E9" i="76"/>
  <c r="M22" i="67"/>
  <c r="M6" i="15"/>
  <c r="M24" i="15"/>
  <c r="C76" i="15"/>
  <c r="F36" i="67"/>
  <c r="F6" i="15"/>
  <c r="M8" i="15"/>
  <c r="B8" i="76"/>
  <c r="E11" i="76"/>
  <c r="B11" i="76"/>
  <c r="M29" i="67"/>
  <c r="M22" i="15"/>
  <c r="B9" i="76"/>
  <c r="M23" i="15"/>
  <c r="B12" i="76"/>
  <c r="D5" i="73"/>
  <c r="F13" i="67"/>
  <c r="F43" i="15"/>
  <c r="L47" i="15"/>
  <c r="M28" i="15"/>
  <c r="M26" i="15"/>
  <c r="E13" i="76"/>
  <c r="L48" i="15"/>
  <c r="F9" i="15"/>
  <c r="F42" i="67"/>
  <c r="M8" i="67"/>
  <c r="F13" i="15"/>
  <c r="M9" i="15"/>
  <c r="D3" i="73"/>
  <c r="F42" i="15"/>
  <c r="F40" i="15"/>
  <c r="F8" i="15"/>
  <c r="B7" i="76"/>
  <c r="F7" i="73"/>
  <c r="M9" i="67"/>
  <c r="F16" i="67"/>
  <c r="M29" i="15"/>
  <c r="B10" i="76"/>
  <c r="M6" i="67"/>
  <c r="J15" i="67"/>
  <c r="M23" i="67"/>
  <c r="D4" i="73"/>
  <c r="F8" i="67"/>
  <c r="L48" i="67"/>
  <c r="E10" i="76"/>
  <c r="F40" i="67"/>
  <c r="F16" i="15"/>
  <c r="L47" i="67"/>
  <c r="B13" i="76"/>
  <c r="M24" i="67"/>
  <c r="M26" i="67"/>
  <c r="F5" i="73"/>
  <c r="F20" i="31"/>
  <c r="F26" i="67"/>
  <c r="F43" i="67"/>
  <c r="F4" i="73"/>
  <c r="C40" i="69" l="1"/>
  <c r="C21" i="68"/>
  <c r="G5" i="3"/>
  <c r="B3" i="3" s="1"/>
  <c r="E13" i="3" s="1"/>
  <c r="E250" i="3"/>
  <c r="AZ331" i="3"/>
  <c r="BA212" i="3"/>
  <c r="AZ212" i="3" s="1"/>
  <c r="BA214" i="3"/>
  <c r="BA216" i="3"/>
  <c r="AZ314" i="3"/>
  <c r="AZ213" i="3"/>
  <c r="AZ222" i="3"/>
  <c r="BA125" i="3"/>
  <c r="AZ125" i="3" s="1"/>
  <c r="BA149" i="3"/>
  <c r="BA170" i="3"/>
  <c r="AZ170" i="3" s="1"/>
  <c r="BA176" i="3"/>
  <c r="AZ176" i="3" s="1"/>
  <c r="BA207" i="3"/>
  <c r="BA50" i="3"/>
  <c r="AZ50" i="3" s="1"/>
  <c r="BA96" i="3"/>
  <c r="AZ96" i="3" s="1"/>
  <c r="BA110" i="3"/>
  <c r="AZ110" i="3" s="1"/>
  <c r="AZ224" i="3"/>
  <c r="BA140" i="3"/>
  <c r="AZ140" i="3" s="1"/>
  <c r="BA144" i="3"/>
  <c r="AZ144" i="3" s="1"/>
  <c r="BA148" i="3"/>
  <c r="AZ148" i="3" s="1"/>
  <c r="BA154" i="3"/>
  <c r="AZ154" i="3" s="1"/>
  <c r="BA186" i="3"/>
  <c r="AZ186" i="3" s="1"/>
  <c r="BA192" i="3"/>
  <c r="AZ192" i="3" s="1"/>
  <c r="BA30" i="3"/>
  <c r="AZ30" i="3" s="1"/>
  <c r="BA37" i="3"/>
  <c r="AZ37" i="3" s="1"/>
  <c r="BA198" i="3"/>
  <c r="AZ198" i="3" s="1"/>
  <c r="BA22" i="3"/>
  <c r="AZ22" i="3" s="1"/>
  <c r="BA32" i="3"/>
  <c r="AZ32" i="3" s="1"/>
  <c r="AZ208" i="3"/>
  <c r="AZ214" i="3"/>
  <c r="AZ216" i="3"/>
  <c r="AZ317" i="3"/>
  <c r="AZ211" i="3"/>
  <c r="AZ221" i="3"/>
  <c r="BL223" i="3"/>
  <c r="AZ223" i="3" s="1"/>
  <c r="AZ231" i="3"/>
  <c r="BA232" i="3"/>
  <c r="AZ232" i="3" s="1"/>
  <c r="BL235" i="3"/>
  <c r="AZ235" i="3" s="1"/>
  <c r="BL236" i="3"/>
  <c r="AZ236" i="3" s="1"/>
  <c r="BA239" i="3"/>
  <c r="AZ239" i="3" s="1"/>
  <c r="BA244" i="3"/>
  <c r="AZ244" i="3" s="1"/>
  <c r="AZ258" i="3"/>
  <c r="BL217" i="3"/>
  <c r="AZ217" i="3" s="1"/>
  <c r="BA226" i="3"/>
  <c r="BA246" i="3"/>
  <c r="BL248" i="3"/>
  <c r="AZ248" i="3" s="1"/>
  <c r="AZ252" i="3"/>
  <c r="AZ267" i="3"/>
  <c r="AZ129" i="3"/>
  <c r="BA247" i="3"/>
  <c r="AZ247" i="3" s="1"/>
  <c r="AZ284" i="3"/>
  <c r="AZ113" i="3"/>
  <c r="AZ121" i="3"/>
  <c r="BA218" i="3"/>
  <c r="AZ218" i="3" s="1"/>
  <c r="BL225" i="3"/>
  <c r="AZ225" i="3" s="1"/>
  <c r="BL226" i="3"/>
  <c r="AZ230" i="3"/>
  <c r="BL233" i="3"/>
  <c r="AZ233" i="3" s="1"/>
  <c r="BA238" i="3"/>
  <c r="AZ238" i="3" s="1"/>
  <c r="BL240" i="3"/>
  <c r="AZ240" i="3" s="1"/>
  <c r="BA243" i="3"/>
  <c r="AZ243" i="3" s="1"/>
  <c r="BL245" i="3"/>
  <c r="AZ245" i="3" s="1"/>
  <c r="BL246" i="3"/>
  <c r="BA249" i="3"/>
  <c r="AZ249" i="3" s="1"/>
  <c r="AZ255" i="3"/>
  <c r="AZ270" i="3"/>
  <c r="AZ278" i="3"/>
  <c r="AZ118" i="3"/>
  <c r="AZ137" i="3"/>
  <c r="AZ141" i="3"/>
  <c r="BL150" i="3"/>
  <c r="AZ150" i="3" s="1"/>
  <c r="BA158" i="3"/>
  <c r="AZ158" i="3" s="1"/>
  <c r="AZ207" i="3"/>
  <c r="BA145" i="3"/>
  <c r="AZ145" i="3" s="1"/>
  <c r="AZ153" i="3"/>
  <c r="AZ34" i="3"/>
  <c r="AZ40" i="3"/>
  <c r="AZ49" i="3"/>
  <c r="AZ62" i="3"/>
  <c r="AZ68" i="3"/>
  <c r="AZ76" i="3"/>
  <c r="AZ103" i="3"/>
  <c r="BL149" i="3"/>
  <c r="AZ149" i="3" s="1"/>
  <c r="BA152" i="3"/>
  <c r="AZ152" i="3" s="1"/>
  <c r="BL159" i="3"/>
  <c r="AZ159" i="3" s="1"/>
  <c r="AZ185" i="3"/>
  <c r="AZ25" i="3"/>
  <c r="AZ70" i="3"/>
  <c r="AZ78" i="3"/>
  <c r="AZ87" i="3"/>
  <c r="AZ95" i="3"/>
  <c r="AZ104" i="3"/>
  <c r="G28"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251" i="3" l="1"/>
  <c r="E212" i="3"/>
  <c r="E510" i="3"/>
  <c r="E539" i="3"/>
  <c r="E536" i="3"/>
  <c r="E148"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370" i="3"/>
  <c r="AF6" i="3"/>
  <c r="E102" i="3"/>
  <c r="E80" i="3"/>
  <c r="E113" i="3"/>
  <c r="E158" i="3"/>
  <c r="E287" i="3"/>
  <c r="E308" i="3"/>
  <c r="E326" i="3"/>
  <c r="E22" i="3"/>
  <c r="E83" i="3"/>
  <c r="E165" i="3"/>
  <c r="E244" i="3"/>
  <c r="E149" i="3"/>
  <c r="E141" i="3"/>
  <c r="E312" i="3"/>
  <c r="AD6" i="3"/>
  <c r="E542" i="3"/>
  <c r="E552" i="3"/>
  <c r="E421" i="3"/>
  <c r="E464" i="3"/>
  <c r="E487" i="3"/>
  <c r="E398" i="3"/>
  <c r="E416" i="3"/>
  <c r="E459" i="3"/>
  <c r="E374" i="3"/>
  <c r="E500" i="3"/>
  <c r="E582" i="3"/>
  <c r="E413" i="3"/>
  <c r="E460" i="3"/>
  <c r="E436" i="3"/>
  <c r="E90" i="3"/>
  <c r="E57" i="3"/>
  <c r="E187" i="3"/>
  <c r="E240" i="3"/>
  <c r="E259" i="3"/>
  <c r="E378" i="3"/>
  <c r="E375" i="3"/>
  <c r="E58" i="3"/>
  <c r="E488" i="3"/>
  <c r="E521" i="3"/>
  <c r="E47" i="3"/>
  <c r="E98" i="3"/>
  <c r="E138" i="3"/>
  <c r="E163" i="3"/>
  <c r="E209" i="3"/>
  <c r="E266" i="3"/>
  <c r="E386" i="3"/>
  <c r="E584" i="3"/>
  <c r="E66" i="3"/>
  <c r="E48" i="3"/>
  <c r="E127" i="3"/>
  <c r="E284" i="3"/>
  <c r="Y6" i="3"/>
  <c r="E51" i="3"/>
  <c r="E154" i="3"/>
  <c r="E222" i="3"/>
  <c r="E323" i="3"/>
  <c r="E82" i="3"/>
  <c r="E167" i="3"/>
  <c r="E566" i="3"/>
  <c r="E520" i="3"/>
  <c r="E39" i="3"/>
  <c r="E131" i="3"/>
  <c r="E155" i="3"/>
  <c r="E297" i="3"/>
  <c r="E348" i="3"/>
  <c r="E504" i="3"/>
  <c r="E110" i="3"/>
  <c r="E462" i="3"/>
  <c r="E446" i="3"/>
  <c r="E65" i="3"/>
  <c r="E195" i="3"/>
  <c r="E248" i="3"/>
  <c r="E307" i="3"/>
  <c r="E354" i="3"/>
  <c r="E24" i="3"/>
  <c r="E87" i="3"/>
  <c r="E341" i="3"/>
  <c r="E19" i="3"/>
  <c r="E179" i="3"/>
  <c r="E373" i="3"/>
  <c r="E16" i="3"/>
  <c r="E105" i="3"/>
  <c r="E543" i="3"/>
  <c r="E422" i="3"/>
  <c r="AH6" i="3"/>
  <c r="E483" i="3"/>
  <c r="E25" i="3"/>
  <c r="E202" i="3"/>
  <c r="E346" i="3"/>
  <c r="E60" i="3"/>
  <c r="E15" i="3"/>
  <c r="E100" i="3"/>
  <c r="E234" i="3"/>
  <c r="E325" i="3"/>
  <c r="E36" i="3"/>
  <c r="E289" i="3"/>
  <c r="E20" i="3"/>
  <c r="E264" i="3"/>
  <c r="E309" i="3"/>
  <c r="E21" i="3"/>
  <c r="E524" i="3"/>
  <c r="E188" i="3"/>
  <c r="E393" i="3"/>
  <c r="E427" i="3"/>
  <c r="E440" i="3"/>
  <c r="J6" i="3"/>
  <c r="E401" i="3"/>
  <c r="E108" i="3"/>
  <c r="E242" i="3"/>
  <c r="E333" i="3"/>
  <c r="E43" i="3"/>
  <c r="E455" i="3"/>
  <c r="E170" i="3"/>
  <c r="E219" i="3"/>
  <c r="E392" i="3"/>
  <c r="E112" i="3"/>
  <c r="E340" i="3"/>
  <c r="E62" i="3"/>
  <c r="E265" i="3"/>
  <c r="E223" i="3"/>
  <c r="E493" i="3"/>
  <c r="E486" i="3"/>
  <c r="E490" i="3"/>
  <c r="E498" i="3"/>
  <c r="E463" i="3"/>
  <c r="E178" i="3"/>
  <c r="E226" i="3"/>
  <c r="E372" i="3"/>
  <c r="E540" i="3"/>
  <c r="E79" i="3"/>
  <c r="E137" i="3"/>
  <c r="E299" i="3"/>
  <c r="AQ6" i="3"/>
  <c r="E123" i="3"/>
  <c r="E364" i="3"/>
  <c r="E176" i="3"/>
  <c r="E283" i="3"/>
  <c r="E513" i="3"/>
  <c r="E329" i="3"/>
  <c r="E116" i="3"/>
  <c r="E564" i="3"/>
  <c r="E507" i="3"/>
  <c r="E376" i="3"/>
  <c r="E419" i="3"/>
  <c r="E40" i="3"/>
  <c r="E119" i="3"/>
  <c r="E276" i="3"/>
  <c r="L6" i="3"/>
  <c r="E473" i="3"/>
  <c r="E38" i="3"/>
  <c r="E194" i="3"/>
  <c r="E339" i="3"/>
  <c r="E52" i="3"/>
  <c r="E147" i="3"/>
  <c r="E50" i="3"/>
  <c r="E218" i="3"/>
  <c r="E365" i="3"/>
  <c r="E101" i="3"/>
  <c r="BL5" i="3"/>
  <c r="BA5" i="3"/>
  <c r="E27" i="6" s="1"/>
  <c r="K26" i="6" s="1"/>
  <c r="M26" i="6" s="1"/>
  <c r="I26" i="6" s="1"/>
  <c r="S26" i="6" s="1"/>
  <c r="AZ246" i="3"/>
  <c r="AZ226" i="3"/>
  <c r="AZ5" i="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Y6" i="3" l="1"/>
  <c r="E3" i="6"/>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7" i="1"/>
  <c r="AO12" i="1"/>
  <c r="AO8"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G20" i="9" l="1"/>
  <c r="D103" i="9"/>
  <c r="G19" i="9"/>
  <c r="G21" i="9" s="1"/>
  <c r="D102" i="9"/>
  <c r="D2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119" i="9" s="1"/>
  <c r="F5" i="52" s="1"/>
  <c r="B53" i="72" s="1"/>
  <c r="D118" i="9"/>
  <c r="D119" i="9" s="1"/>
  <c r="D5" i="52" s="1"/>
  <c r="B49" i="72" s="1"/>
  <c r="H118" i="9"/>
  <c r="H119" i="9" s="1"/>
  <c r="H5" i="52" s="1"/>
  <c r="D4" i="52" l="1"/>
  <c r="B47" i="72" s="1"/>
  <c r="I118" i="9"/>
  <c r="C105" i="9" s="1"/>
  <c r="C104" i="9"/>
  <c r="G118" i="9"/>
  <c r="G4" i="52" s="1"/>
  <c r="B52" i="72" s="1"/>
  <c r="H4" i="52"/>
  <c r="H101" i="9"/>
  <c r="F4" i="52"/>
  <c r="B51" i="72" s="1"/>
  <c r="I4" i="52" l="1"/>
  <c r="H102" i="9"/>
  <c r="C5" i="74" s="1"/>
  <c r="E118" i="9"/>
  <c r="E4" i="52" s="1"/>
  <c r="B48" i="72" s="1"/>
  <c r="D45" i="9"/>
  <c r="D5" i="53"/>
  <c r="M48" i="9"/>
  <c r="H107" i="9"/>
  <c r="D7" i="53"/>
  <c r="B21" i="72" s="1"/>
  <c r="B20" i="72" l="1"/>
  <c r="D6" i="53"/>
  <c r="B22" i="72" s="1"/>
  <c r="C93" i="9"/>
  <c r="C86" i="9" s="1"/>
  <c r="C64" i="9"/>
  <c r="C63" i="9" s="1"/>
  <c r="C67" i="9" s="1"/>
  <c r="C72" i="9"/>
  <c r="D55" i="9"/>
  <c r="M53" i="9" s="1"/>
  <c r="C78" i="9"/>
  <c r="C73" i="9" s="1"/>
  <c r="D53" i="9"/>
  <c r="C85" i="9"/>
  <c r="D52" i="9"/>
  <c r="M49" i="9"/>
  <c r="D13" i="53"/>
  <c r="D122" i="9"/>
  <c r="H108" i="9"/>
  <c r="D14" i="53" l="1"/>
  <c r="B32" i="72" s="1"/>
  <c r="B30" i="72"/>
  <c r="D59" i="9"/>
  <c r="M55" i="9" s="1"/>
  <c r="C68" i="9"/>
  <c r="D54" i="9" s="1"/>
  <c r="C6" i="74"/>
  <c r="D15" i="53"/>
  <c r="B31" i="72" s="1"/>
  <c r="L68" i="9"/>
  <c r="M68" i="9" s="1"/>
  <c r="L65" i="9"/>
  <c r="M65" i="9" s="1"/>
  <c r="L63" i="9"/>
  <c r="M63" i="9" s="1"/>
  <c r="M69" i="9" s="1"/>
  <c r="N69" i="9" s="1"/>
  <c r="L67" i="9"/>
  <c r="M67" i="9" s="1"/>
  <c r="L64" i="9"/>
  <c r="M64" i="9" s="1"/>
  <c r="L66" i="9"/>
  <c r="M66" i="9" s="1"/>
  <c r="D123" i="9"/>
  <c r="D9" i="52" s="1"/>
  <c r="D8" i="52"/>
  <c r="C95" i="9"/>
  <c r="C79" i="9"/>
  <c r="C96" i="9" l="1"/>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<sst xmlns="http://schemas.openxmlformats.org/spreadsheetml/2006/main" count="8157" uniqueCount="3422">
  <si>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</si>
  <si>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</si>
  <si>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</si>
  <si>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</si>
  <si>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</si>
  <si>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</si>
  <si>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</si>
  <si>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</si>
  <si>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</si>
  <si>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</si>
  <si>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</si>
  <si>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</si>
  <si>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</si>
  <si>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</si>
  <si>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</si>
  <si>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</si>
  <si>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</si>
  <si>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</si>
  <si>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</si>
  <si>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</si>
  <si>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</si>
  <si>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</si>
  <si>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</si>
  <si>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</si>
  <si>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</si>
  <si>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</si>
  <si>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</si>
  <si>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</si>
  <si>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</si>
  <si>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</si>
  <si>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</si>
  <si>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</si>
  <si>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</si>
  <si>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</si>
  <si>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</si>
  <si>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</si>
  <si>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</si>
  <si>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</si>
  <si>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</si>
  <si>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</si>
  <si>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</si>
  <si>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</si>
  <si>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</si>
  <si>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</si>
  <si>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</si>
  <si>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</si>
  <si>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</si>
  <si>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</si>
  <si>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</si>
  <si>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</si>
  <si>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</si>
  <si>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</si>
  <si>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</si>
  <si>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</si>
  <si>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</si>
  <si>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</si>
  <si>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</si>
  <si>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</si>
  <si>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</si>
  <si>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</si>
  <si>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</si>
  <si>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</si>
  <si>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</si>
  <si>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</si>
  <si>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</si>
  <si>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</si>
  <si>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</si>
  <si>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</si>
  <si>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</si>
  <si>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</si>
  <si>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</si>
  <si>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</si>
  <si>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</si>
  <si>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</si>
  <si>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</si>
  <si>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</si>
  <si>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</si>
  <si>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</si>
  <si>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</si>
  <si>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</si>
  <si>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</si>
  <si>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</si>
  <si>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</si>
  <si>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</si>
  <si>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</si>
  <si>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</si>
  <si>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</si>
  <si>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</si>
  <si>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</si>
  <si>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</si>
  <si>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</si>
  <si>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</si>
  <si>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</si>
  <si>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</si>
  <si>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</si>
  <si>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</si>
  <si>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</si>
  <si>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</si>
  <si>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</si>
  <si>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</si>
  <si>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</si>
  <si>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</si>
  <si>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</si>
  <si>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</si>
  <si>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</si>
  <si>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</si>
  <si>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</si>
  <si>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</si>
  <si>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</si>
  <si>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</si>
  <si>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</si>
  <si>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</si>
  <si>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</si>
  <si>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</si>
  <si>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</si>
  <si>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</si>
  <si>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</si>
  <si>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</si>
  <si>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</si>
  <si>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</si>
  <si>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</si>
  <si>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</si>
  <si>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</si>
  <si>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</si>
  <si>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</si>
  <si>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</si>
  <si>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</si>
  <si>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</si>
  <si>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</si>
  <si>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</si>
  <si>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</si>
  <si>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</si>
  <si>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</si>
  <si>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</si>
  <si>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</si>
  <si>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</si>
  <si>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</si>
  <si>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</si>
  <si>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</si>
  <si>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</si>
  <si>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</si>
  <si>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</si>
  <si>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</si>
  <si>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</si>
  <si>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</si>
  <si>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</si>
  <si>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</si>
  <si>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</si>
  <si>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</si>
  <si>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</si>
  <si>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</si>
  <si>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</si>
  <si>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</si>
  <si>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</si>
  <si>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</si>
  <si>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</si>
  <si>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</si>
  <si>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</si>
  <si>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</si>
  <si>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</si>
  <si>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</si>
  <si>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</si>
  <si>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</si>
  <si>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</si>
  <si>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</si>
  <si>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</si>
  <si>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</si>
  <si>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</si>
  <si>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</si>
  <si>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</si>
  <si>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</si>
  <si>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</si>
  <si>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</si>
  <si>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</si>
  <si>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</si>
  <si>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</si>
  <si>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</si>
  <si>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</si>
  <si>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</si>
  <si>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</si>
  <si>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</si>
  <si>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</si>
  <si>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</si>
  <si>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</si>
  <si>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</si>
  <si>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</si>
  <si>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</si>
  <si>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</si>
  <si>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</si>
  <si>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</si>
  <si>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</si>
  <si>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</si>
  <si>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</si>
  <si>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</si>
  <si>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</si>
  <si>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</si>
  <si>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</si>
  <si>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</si>
  <si>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</si>
  <si>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</si>
  <si>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</si>
  <si>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</si>
  <si>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</si>
  <si>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</si>
  <si>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</si>
  <si>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</si>
  <si>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</si>
  <si>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</si>
  <si>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</si>
  <si>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</si>
  <si>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</si>
  <si>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</si>
  <si>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</si>
  <si>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</si>
  <si>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</si>
  <si>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</si>
  <si>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</si>
  <si>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</si>
  <si>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</si>
  <si>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</si>
  <si>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</si>
  <si>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</si>
  <si>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</si>
  <si>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</si>
  <si>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</si>
  <si>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</si>
  <si>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</si>
  <si>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</si>
  <si>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</si>
  <si>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</si>
  <si>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</si>
  <si>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</si>
  <si>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</si>
  <si>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</si>
  <si>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</si>
  <si>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</si>
  <si>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</si>
  <si>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</si>
  <si>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</si>
  <si>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</si>
  <si>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</si>
  <si>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</si>
  <si>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</si>
  <si>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</si>
  <si>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</si>
  <si>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</si>
  <si>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</si>
  <si>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</si>
  <si>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</si>
  <si>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</si>
  <si>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</si>
  <si>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</si>
  <si>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</si>
  <si>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</si>
  <si>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</si>
  <si>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</si>
  <si>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</si>
  <si>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</si>
  <si>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</si>
  <si>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</si>
  <si>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</si>
  <si>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</si>
  <si>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</si>
  <si>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</si>
  <si>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</si>
  <si>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</si>
  <si>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</si>
  <si>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</si>
  <si>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</si>
  <si>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</si>
  <si>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</si>
  <si>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</si>
  <si>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</si>
  <si>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</si>
  <si>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</si>
  <si>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</si>
  <si>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</si>
  <si>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</si>
  <si>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</si>
  <si>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</si>
  <si>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</si>
  <si>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</si>
  <si>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</si>
  <si>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</si>
  <si>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</si>
  <si>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</si>
  <si>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</si>
  <si>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</si>
  <si>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</si>
  <si>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</si>
  <si>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</si>
  <si>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</si>
  <si>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</si>
  <si>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</si>
  <si>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</si>
  <si>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</si>
  <si>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</si>
  <si>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</si>
  <si>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</si>
  <si>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</si>
  <si>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</si>
  <si>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</si>
  <si>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</si>
  <si>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</si>
  <si>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</si>
  <si>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</si>
  <si>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</si>
  <si>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</si>
  <si>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</si>
  <si>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</si>
  <si>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</si>
  <si>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</si>
  <si>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</si>
  <si>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</si>
  <si>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</si>
  <si>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</si>
  <si>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</si>
  <si>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</si>
  <si>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</si>
  <si>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</si>
  <si>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</si>
  <si>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</si>
  <si>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</si>
  <si>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</si>
  <si>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</si>
  <si>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</si>
  <si>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</si>
  <si>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</si>
  <si>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</si>
  <si>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</si>
  <si>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</si>
  <si>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</si>
  <si>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</si>
  <si>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</si>
  <si>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</si>
  <si>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</si>
  <si>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</si>
  <si>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</si>
  <si>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</si>
  <si>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</si>
  <si>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</si>
  <si>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</si>
  <si>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</si>
  <si>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</si>
  <si>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</si>
  <si>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</si>
  <si>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</si>
  <si>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</si>
  <si>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</si>
  <si>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</si>
  <si>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</si>
  <si>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</si>
  <si>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</si>
  <si>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</si>
  <si>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</si>
  <si>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</si>
  <si>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</si>
  <si>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</si>
  <si>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</si>
  <si>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</si>
  <si>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</si>
  <si>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</si>
  <si>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</si>
  <si>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</si>
  <si>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</si>
  <si>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</si>
  <si>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</si>
  <si>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</si>
  <si>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</si>
  <si>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</si>
  <si>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</si>
  <si>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</si>
  <si>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</si>
  <si>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</si>
  <si>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</si>
  <si>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</si>
  <si>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</si>
  <si>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</si>
  <si>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</si>
  <si>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</si>
  <si>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</si>
  <si>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</si>
  <si>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</si>
  <si>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</si>
  <si>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</si>
  <si>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</si>
  <si>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</si>
  <si>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</si>
  <si>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</si>
  <si>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</si>
  <si>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</si>
  <si>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</si>
  <si>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</si>
  <si>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</si>
  <si>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</si>
  <si>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</si>
  <si>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</si>
  <si>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</si>
  <si>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</si>
  <si>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</si>
  <si>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</si>
  <si>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</si>
  <si>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</si>
  <si>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</si>
  <si>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</si>
  <si>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</si>
  <si>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</si>
  <si>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</si>
  <si>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</si>
  <si>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</si>
  <si>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</si>
  <si>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</si>
  <si>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</si>
  <si>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</si>
  <si>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</si>
  <si>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</si>
  <si>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</si>
  <si>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</si>
  <si>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</si>
  <si>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</si>
  <si>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</si>
  <si>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</si>
  <si>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</si>
  <si>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</si>
  <si>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</si>
  <si>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</si>
  <si>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</si>
  <si>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</si>
  <si>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</si>
  <si>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</si>
  <si>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</si>
  <si>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</si>
  <si>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</si>
  <si>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</si>
  <si>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</si>
  <si>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</si>
  <si>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</si>
  <si>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</si>
  <si>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</si>
  <si>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</si>
  <si>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</si>
  <si>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</si>
  <si>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</si>
  <si>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</si>
  <si>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</si>
  <si>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</si>
  <si>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</si>
  <si>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</si>
  <si>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</si>
  <si>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</si>
  <si>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</si>
  <si>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</si>
  <si>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</si>
  <si>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</si>
  <si>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</si>
  <si>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</si>
  <si>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</si>
  <si>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</si>
  <si>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</si>
  <si>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</si>
  <si>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</si>
  <si>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</si>
  <si>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</si>
  <si>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</si>
  <si>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</si>
  <si>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</si>
  <si>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</si>
  <si>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</si>
  <si>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</si>
  <si>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</si>
  <si>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</si>
  <si>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</si>
  <si>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</si>
  <si>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</si>
  <si>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</si>
  <si>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</si>
  <si>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</si>
  <si>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</si>
  <si>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</si>
  <si>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</si>
  <si>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</si>
  <si>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</si>
  <si>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</si>
  <si>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</si>
  <si>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</si>
  <si>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</si>
  <si>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</si>
  <si>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</si>
  <si>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</si>
  <si>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</si>
  <si>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</si>
  <si>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</si>
  <si>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</si>
  <si>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</si>
  <si>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</si>
  <si>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</si>
  <si>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</si>
  <si>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</si>
  <si>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</si>
  <si>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</si>
  <si>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</si>
  <si>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</si>
  <si>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</si>
  <si>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</si>
  <si>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</si>
  <si>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</si>
  <si>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</si>
  <si>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</si>
  <si>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</si>
  <si>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</si>
  <si>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</si>
  <si>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</si>
  <si>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</si>
  <si>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</si>
  <si>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</si>
  <si>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</si>
  <si>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</si>
  <si>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</si>
  <si>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</si>
  <si>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</si>
  <si>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</si>
  <si>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</si>
  <si>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</si>
  <si>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</si>
  <si>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</si>
  <si>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</si>
  <si>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</si>
  <si>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</si>
  <si>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</si>
  <si>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</si>
  <si>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</si>
  <si>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</si>
  <si>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</si>
  <si>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</si>
  <si>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</si>
  <si>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</si>
  <si>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</si>
  <si>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</si>
  <si>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</si>
  <si>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</si>
  <si>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</si>
  <si>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</si>
  <si>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</si>
  <si>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</si>
  <si>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</si>
  <si>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</si>
  <si>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</si>
  <si>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</si>
  <si>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</si>
  <si>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</si>
  <si>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</si>
  <si>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</si>
  <si>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</si>
  <si>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</si>
  <si>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</si>
  <si>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</si>
  <si>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</si>
  <si>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</si>
  <si>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</si>
  <si>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</si>
  <si>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</si>
  <si>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</si>
  <si>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</si>
  <si>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</si>
  <si>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</si>
  <si>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</si>
  <si>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</si>
  <si>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</si>
  <si>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</si>
  <si>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</si>
  <si>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</si>
  <si>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</si>
  <si>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</si>
  <si>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</si>
  <si>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</si>
  <si>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</si>
  <si>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</si>
  <si>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</si>
  <si>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</si>
  <si>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</si>
  <si>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</si>
  <si>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</si>
  <si>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</si>
  <si>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</si>
  <si>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</si>
  <si>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</si>
  <si>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</si>
  <si>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</si>
  <si>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</si>
  <si>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</si>
  <si>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</si>
  <si>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</si>
  <si>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</si>
  <si>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</si>
  <si>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</si>
  <si>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</si>
  <si>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</si>
  <si>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</si>
  <si>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</si>
  <si>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</si>
  <si>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</si>
  <si>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</si>
  <si>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</si>
  <si>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</si>
  <si>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</si>
  <si>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</si>
  <si>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</si>
  <si>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</si>
  <si>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</si>
  <si>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</si>
  <si>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</si>
  <si>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</si>
  <si>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</si>
  <si>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</si>
  <si>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</si>
  <si>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</si>
  <si>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</si>
  <si>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</si>
  <si>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</si>
  <si>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</si>
  <si>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</si>
  <si>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</si>
  <si>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</si>
  <si>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</si>
  <si>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</si>
  <si>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</si>
  <si>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</si>
  <si>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</si>
  <si>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</si>
  <si>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</si>
  <si>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</si>
  <si>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</si>
  <si>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</si>
  <si>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</si>
  <si>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</si>
  <si>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</si>
  <si>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</si>
  <si>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</si>
  <si>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</si>
  <si>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</si>
  <si>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</si>
  <si>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</si>
  <si>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</si>
  <si>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</si>
  <si>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</si>
  <si>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</si>
  <si>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</si>
  <si>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</si>
  <si>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</si>
  <si>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</si>
  <si>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</si>
  <si>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</si>
  <si>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</si>
  <si>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</si>
  <si>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</si>
  <si>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</si>
  <si>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</si>
  <si>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</si>
  <si>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</si>
  <si>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</si>
  <si>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</si>
  <si>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</si>
  <si>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</si>
  <si>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</si>
  <si>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</si>
  <si>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</si>
  <si>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</si>
  <si>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</si>
  <si>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</si>
  <si>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</si>
  <si>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</si>
  <si>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</si>
  <si>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</si>
  <si>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</si>
  <si>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</si>
  <si>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</si>
  <si>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</si>
  <si>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</si>
  <si>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</si>
  <si>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</si>
  <si>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</si>
  <si>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</si>
  <si>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</si>
  <si>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</si>
  <si>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</si>
  <si>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</si>
  <si>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</si>
  <si>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</si>
  <si>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</si>
  <si>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</si>
  <si>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</si>
  <si>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</si>
  <si>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</si>
  <si>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</si>
  <si>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</si>
  <si>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</si>
  <si>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</si>
  <si>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</si>
  <si>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</si>
  <si>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</si>
  <si>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</si>
  <si>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</si>
  <si>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</si>
  <si>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</si>
  <si>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</si>
  <si>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</si>
  <si>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</si>
  <si>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</si>
  <si>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</si>
  <si>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</si>
  <si>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</si>
  <si>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</si>
  <si>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</si>
  <si>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</si>
  <si>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</si>
  <si>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</si>
  <si>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</si>
  <si>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</si>
  <si>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</si>
  <si>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</si>
  <si>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</si>
  <si>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</si>
  <si>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</si>
  <si>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</si>
  <si>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</si>
  <si>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</si>
  <si>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</si>
  <si>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</si>
  <si>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</si>
  <si>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</si>
  <si>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</si>
  <si>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</si>
  <si>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</si>
  <si>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</si>
  <si>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</si>
  <si>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</si>
  <si>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</si>
  <si>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</si>
  <si>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</si>
  <si>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</si>
  <si>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</si>
  <si>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</si>
  <si>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</si>
  <si>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</si>
  <si>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</si>
  <si>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</si>
  <si>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</si>
  <si>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</si>
  <si>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</si>
  <si>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</si>
  <si>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</si>
  <si>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</si>
  <si>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</si>
  <si>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</si>
  <si>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</si>
  <si>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</si>
  <si>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</si>
  <si>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</si>
  <si>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</si>
  <si>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</si>
  <si>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</si>
  <si>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</si>
  <si>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</si>
  <si>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</si>
  <si>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</si>
  <si>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</si>
  <si>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</si>
  <si>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</si>
  <si>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</si>
  <si>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</si>
  <si>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</si>
  <si>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</si>
  <si>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</si>
  <si>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</si>
  <si>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</si>
  <si>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</si>
  <si>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</si>
  <si>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</si>
  <si>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</si>
  <si>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</si>
  <si>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</si>
  <si>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</si>
  <si>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</si>
  <si>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</si>
  <si>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</si>
  <si>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</si>
  <si>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</si>
  <si>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</si>
  <si>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</si>
  <si>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</si>
  <si>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</si>
  <si>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</si>
  <si>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</si>
  <si>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</si>
  <si>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</si>
  <si>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</si>
  <si>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</si>
  <si>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</si>
  <si>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</si>
  <si>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</si>
  <si>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</si>
  <si>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</si>
  <si>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</si>
  <si>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</si>
  <si>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</si>
  <si>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</si>
  <si>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</si>
  <si>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</si>
  <si>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</si>
  <si>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</si>
  <si>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</si>
  <si>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</si>
  <si>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</si>
  <si>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</si>
  <si>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</si>
  <si>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</si>
  <si>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</si>
  <si>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</si>
  <si>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</si>
  <si>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</si>
  <si>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</si>
  <si>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</si>
  <si>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</si>
  <si>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</si>
  <si>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</si>
  <si>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</si>
  <si>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</si>
  <si>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</si>
  <si>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</si>
  <si>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</si>
  <si>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</si>
  <si>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</si>
  <si>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</si>
  <si>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</si>
  <si>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</si>
  <si>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</si>
  <si>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</si>
  <si>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</si>
  <si>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</si>
  <si>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</si>
  <si>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</si>
  <si>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</si>
  <si>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</si>
  <si>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</si>
  <si>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</si>
  <si>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</si>
  <si>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</si>
  <si>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</si>
  <si>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</si>
  <si>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</si>
  <si>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</si>
  <si>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</si>
  <si>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</si>
  <si>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</si>
  <si>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</si>
  <si>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</si>
  <si>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</si>
  <si>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</si>
  <si>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</si>
  <si>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</si>
  <si>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</si>
  <si>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</si>
  <si>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</si>
  <si>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</si>
  <si>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</si>
  <si>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</si>
  <si>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</si>
  <si>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</si>
  <si>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</si>
  <si>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</si>
  <si>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</si>
  <si>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</si>
  <si>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</si>
  <si>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</si>
  <si>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</si>
  <si>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</si>
  <si>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</si>
  <si>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</si>
  <si>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</si>
  <si>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</si>
  <si>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</si>
  <si>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</si>
  <si>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</si>
  <si>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</si>
  <si>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</si>
  <si>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</si>
  <si>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</si>
  <si>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</si>
  <si>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</si>
  <si>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</si>
  <si>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</si>
  <si>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</si>
  <si>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</si>
  <si>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</si>
  <si>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</si>
  <si>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</si>
  <si>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</si>
  <si>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</si>
  <si>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</si>
  <si>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</si>
  <si>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</si>
  <si>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</si>
  <si>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</si>
  <si>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</si>
  <si>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</si>
  <si>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</si>
  <si>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</si>
  <si>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</si>
  <si>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</si>
  <si>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</si>
  <si>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</si>
  <si>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</si>
  <si>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</si>
  <si>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</si>
  <si>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</si>
  <si>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</si>
  <si>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</si>
  <si>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</si>
  <si>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</si>
  <si>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</si>
  <si>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</si>
  <si>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</si>
  <si>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</si>
  <si>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</si>
  <si>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</si>
  <si>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</si>
  <si>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</si>
  <si>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</si>
  <si>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</si>
  <si>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</si>
  <si>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</si>
  <si>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</si>
  <si>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</si>
  <si>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</si>
  <si>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</si>
  <si>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</si>
  <si>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</si>
  <si>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</si>
  <si>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</si>
  <si>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</si>
  <si>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</si>
  <si>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</si>
  <si>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</si>
  <si>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</si>
  <si>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</si>
  <si>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</si>
  <si>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</si>
  <si>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</si>
  <si>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</si>
  <si>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</si>
  <si>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</si>
  <si>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</si>
  <si>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</si>
  <si>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</si>
  <si>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</si>
  <si>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</si>
  <si>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</si>
  <si>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</si>
  <si>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</si>
  <si>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</si>
  <si>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</si>
  <si>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</si>
  <si>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</si>
  <si>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</si>
  <si>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</si>
  <si>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</si>
  <si>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</si>
  <si>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</si>
  <si>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</si>
  <si>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</si>
  <si>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</si>
  <si>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</si>
  <si>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</si>
  <si>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</si>
  <si>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</si>
  <si>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</si>
  <si>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</si>
  <si>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</si>
  <si>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</si>
  <si>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</si>
  <si>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</si>
  <si>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</si>
  <si>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</si>
  <si>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</si>
  <si>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</si>
  <si>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</si>
  <si>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</si>
  <si>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</si>
  <si>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</si>
  <si>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</si>
  <si>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</si>
  <si>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</si>
  <si>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</si>
  <si>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</si>
  <si>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</si>
  <si>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</si>
  <si>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</si>
  <si>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</si>
  <si>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</si>
  <si>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</si>
  <si>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</si>
  <si>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</si>
  <si>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</si>
  <si>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</si>
  <si>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</si>
  <si>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</si>
  <si>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</si>
  <si>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</si>
  <si>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</si>
  <si>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</si>
  <si>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</si>
  <si>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</si>
  <si>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</si>
  <si>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</si>
  <si>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</si>
  <si>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</si>
  <si>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</si>
  <si>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</si>
  <si>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</si>
  <si>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</si>
  <si>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</si>
  <si>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</si>
  <si>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</si>
  <si>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</si>
  <si>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</si>
  <si>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</si>
  <si>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</si>
  <si>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</si>
  <si>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</si>
  <si>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</si>
  <si>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</si>
  <si>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</si>
  <si>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</si>
  <si>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</si>
  <si>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</si>
  <si>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</si>
  <si>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</si>
  <si>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</si>
  <si>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</si>
  <si>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</si>
  <si>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</si>
  <si>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</si>
  <si>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</si>
  <si>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</si>
  <si>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</si>
  <si>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</si>
  <si>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</si>
  <si>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</si>
  <si>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</si>
  <si>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</si>
  <si>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</si>
  <si>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</si>
  <si>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</si>
  <si>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</si>
  <si>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</si>
  <si>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</si>
  <si>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</si>
  <si>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</si>
  <si>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</si>
  <si>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</si>
  <si>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</si>
  <si>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</si>
  <si>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</si>
  <si>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</si>
  <si>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</si>
  <si>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</si>
  <si>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</si>
  <si>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</si>
  <si>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</si>
  <si>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</si>
  <si>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</si>
  <si>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</si>
  <si>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</si>
  <si>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</si>
  <si>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</si>
  <si>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</si>
  <si>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</si>
  <si>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</si>
  <si>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</si>
  <si>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</si>
  <si>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</si>
  <si>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</si>
  <si>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</si>
  <si>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</si>
  <si>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</si>
  <si>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</si>
  <si>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</si>
  <si>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</si>
  <si>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</si>
  <si>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</si>
  <si>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</si>
  <si>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</si>
  <si>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</si>
  <si>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</si>
  <si>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</si>
  <si>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</si>
  <si>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</si>
  <si>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</si>
  <si>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</si>
  <si>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</si>
  <si>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</si>
  <si>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</si>
  <si>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</si>
  <si>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</si>
  <si>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</si>
  <si>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</si>
  <si>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</si>
  <si>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</si>
  <si>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</si>
  <si>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</si>
  <si>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</si>
  <si>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</si>
  <si>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</si>
  <si>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</si>
  <si>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</si>
  <si>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</si>
  <si>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</si>
  <si>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</si>
  <si>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</si>
  <si>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</si>
  <si>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</si>
  <si>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</si>
  <si>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</si>
  <si>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</si>
  <si>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</si>
  <si>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</si>
  <si>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</si>
  <si>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</si>
  <si>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</si>
  <si>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</si>
  <si>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</si>
  <si>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</si>
  <si>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</si>
  <si>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</si>
  <si>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</si>
  <si>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</si>
  <si>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</si>
  <si>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</si>
  <si>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</si>
  <si>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</si>
  <si>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</si>
  <si>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</si>
  <si>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</si>
  <si>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</si>
  <si>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</si>
  <si>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</si>
  <si>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</si>
  <si>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</si>
  <si>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</si>
  <si>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</si>
  <si>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</si>
  <si>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</si>
  <si>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</si>
  <si>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</si>
  <si>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</si>
  <si>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</si>
  <si>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</si>
  <si>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</si>
  <si>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</si>
  <si>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</si>
  <si>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</si>
  <si>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</si>
  <si>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</si>
  <si>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</si>
  <si>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</si>
  <si>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</si>
  <si>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</si>
  <si>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</si>
  <si>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</si>
  <si>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</si>
  <si>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</si>
  <si>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</si>
  <si>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</si>
  <si>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</si>
  <si>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</si>
  <si>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</si>
  <si>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</si>
  <si>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</si>
  <si>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</si>
  <si>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</si>
  <si>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</si>
  <si>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</si>
  <si>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</si>
  <si>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</si>
  <si>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</si>
  <si>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</si>
  <si>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</si>
  <si>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</si>
  <si>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</si>
  <si>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</si>
  <si>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</si>
  <si>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</si>
  <si>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</si>
  <si>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</si>
  <si>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</si>
  <si>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</si>
  <si>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</si>
  <si>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</si>
  <si>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</si>
  <si>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</si>
  <si>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</si>
  <si>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</si>
  <si>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</si>
  <si>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</si>
  <si>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</si>
  <si>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</si>
  <si>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</si>
  <si>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</si>
  <si>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</si>
  <si>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</si>
  <si>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</si>
  <si>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</si>
  <si>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</si>
  <si>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</si>
  <si>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</si>
  <si>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</si>
  <si>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</si>
  <si>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</si>
  <si>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</si>
  <si>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</si>
  <si>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</si>
  <si>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</si>
  <si>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</si>
  <si>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</si>
  <si>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</si>
  <si>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</si>
  <si>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</si>
  <si>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</si>
  <si>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</si>
  <si>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</si>
  <si>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</si>
  <si>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</si>
  <si>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</si>
  <si>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</si>
  <si>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</si>
  <si>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</si>
  <si>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</si>
  <si>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</si>
  <si>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</si>
  <si>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</si>
  <si>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</si>
  <si>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</si>
  <si>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</si>
  <si>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</si>
  <si>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</si>
  <si>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</si>
  <si>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</si>
  <si>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</si>
  <si>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</si>
  <si>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</si>
  <si>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</si>
  <si>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</si>
  <si>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</si>
  <si>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</si>
  <si>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</si>
  <si>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</si>
  <si>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</si>
  <si>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</si>
  <si>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</si>
  <si>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</si>
  <si>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</si>
  <si>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</si>
  <si>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</si>
  <si>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</si>
  <si>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</si>
  <si>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</si>
  <si>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</si>
  <si>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</si>
  <si>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</si>
  <si>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</si>
  <si>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</si>
  <si>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</si>
  <si>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</si>
  <si>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</si>
  <si>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</si>
  <si>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</si>
  <si>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</si>
  <si>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</si>
  <si>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</si>
  <si>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</si>
  <si>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</si>
  <si>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</si>
  <si>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</si>
  <si>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</si>
  <si>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</si>
  <si>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</si>
  <si>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</si>
  <si>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</si>
  <si>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</si>
  <si>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</si>
  <si>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</si>
  <si>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</si>
  <si>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</si>
  <si>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</si>
  <si>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</si>
  <si>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</si>
  <si>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</si>
  <si>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</si>
  <si>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</si>
  <si>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</si>
  <si>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</si>
  <si>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</si>
  <si>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</si>
  <si>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</si>
  <si>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</si>
  <si>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</si>
  <si>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</si>
  <si>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</si>
  <si>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</si>
  <si>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</si>
  <si>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</si>
  <si>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</si>
  <si>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</si>
  <si>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</si>
  <si>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</si>
  <si>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</si>
  <si>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</si>
  <si>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</si>
  <si>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</si>
  <si>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</si>
  <si>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</si>
  <si>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</si>
  <si>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</si>
  <si>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</si>
  <si>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</si>
  <si>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</si>
  <si>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</si>
  <si>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</si>
  <si>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</si>
  <si>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</si>
  <si>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</si>
  <si>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</si>
  <si>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</si>
  <si>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</si>
  <si>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</si>
  <si>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</si>
  <si>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</si>
  <si>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</si>
  <si>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</si>
  <si>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</si>
  <si>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</si>
  <si>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</si>
  <si>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</si>
  <si>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</si>
  <si>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</si>
  <si>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</si>
  <si>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</si>
  <si>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</si>
  <si>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</si>
  <si>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</si>
  <si>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</si>
  <si>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</si>
  <si>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</si>
  <si>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</si>
  <si>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</si>
  <si>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</si>
  <si>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</si>
  <si>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</si>
  <si>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</si>
  <si>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</si>
  <si>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</si>
  <si>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</si>
  <si>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</si>
  <si>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</si>
  <si>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</si>
  <si>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</si>
  <si>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</si>
  <si>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</si>
  <si>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</si>
  <si>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</si>
  <si>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</si>
  <si>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</si>
  <si>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</si>
  <si>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</si>
  <si>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</si>
  <si>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</si>
  <si>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</si>
  <si>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</si>
  <si>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</si>
  <si>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</si>
  <si>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</si>
  <si>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</si>
  <si>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</si>
  <si>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</si>
  <si>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</si>
  <si>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</si>
  <si>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</si>
  <si>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</si>
  <si>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</si>
  <si>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</si>
  <si>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</si>
  <si>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</si>
  <si>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</si>
  <si>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</si>
  <si>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</si>
  <si>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</si>
  <si>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</si>
  <si>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</si>
  <si>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</si>
  <si>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</si>
  <si>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</si>
  <si>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</si>
  <si>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</si>
  <si>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</si>
  <si>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</si>
  <si>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</si>
  <si>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</si>
  <si>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</si>
  <si>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</si>
  <si>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</si>
  <si>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</si>
  <si>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</si>
  <si>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</si>
  <si>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</si>
  <si>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</si>
  <si>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</si>
  <si>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</si>
  <si>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</si>
  <si>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</si>
  <si>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</si>
  <si>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</si>
  <si>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</si>
  <si>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</si>
  <si>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</si>
  <si>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</si>
  <si>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</si>
  <si>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</si>
  <si>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</si>
  <si>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</si>
  <si>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</si>
  <si>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</si>
  <si>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</si>
  <si>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</si>
  <si>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</si>
  <si>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</si>
  <si>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</si>
  <si>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</si>
  <si>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</si>
  <si>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</si>
  <si>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</si>
  <si>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</si>
  <si>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</si>
  <si>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</si>
  <si>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</si>
  <si>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</si>
  <si>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</si>
  <si>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</si>
  <si>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</si>
  <si>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</si>
  <si>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</si>
  <si>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</si>
  <si>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</si>
  <si>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</si>
  <si>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</si>
  <si>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</si>
  <si>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</si>
  <si>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</si>
  <si>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</si>
  <si>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</si>
  <si>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</si>
  <si>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</si>
  <si>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</si>
  <si>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</si>
  <si>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</si>
  <si>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</si>
  <si>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</si>
  <si>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</si>
  <si>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</si>
  <si>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</si>
  <si>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</si>
  <si>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</si>
  <si>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</si>
  <si>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</si>
  <si>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</si>
  <si>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</si>
  <si>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</si>
  <si>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</si>
  <si>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</si>
  <si>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</si>
  <si>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</si>
  <si>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</si>
  <si>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</si>
  <si>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</si>
  <si>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</si>
  <si>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</si>
  <si>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</si>
  <si>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</si>
  <si>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</si>
  <si>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</si>
  <si>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</si>
  <si>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</si>
  <si>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</si>
  <si>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</si>
  <si>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</si>
  <si>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</si>
  <si>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</si>
  <si>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</si>
  <si>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</si>
  <si>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</si>
  <si>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</si>
  <si>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</si>
  <si>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</si>
  <si>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</si>
  <si>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</si>
  <si>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</si>
  <si>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</si>
  <si>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</si>
  <si>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</si>
  <si>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</si>
  <si>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</si>
  <si>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</si>
  <si>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</si>
  <si>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</si>
  <si>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</si>
  <si>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</si>
  <si>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</si>
  <si>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</si>
  <si>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</si>
  <si>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</si>
  <si>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</si>
  <si>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</si>
  <si>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</si>
  <si>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</si>
  <si>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</si>
  <si>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</si>
  <si>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</si>
  <si>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</si>
  <si>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</si>
  <si>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</si>
  <si>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</si>
  <si>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</si>
  <si>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</si>
  <si>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</si>
  <si>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</si>
  <si>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</si>
  <si>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</si>
  <si>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</si>
  <si>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</si>
  <si>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</si>
  <si>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</si>
  <si>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</si>
  <si>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</si>
  <si>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</si>
  <si>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</si>
  <si>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</si>
  <si>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</si>
  <si>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</si>
  <si>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</si>
  <si>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</si>
  <si>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</si>
  <si>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</si>
  <si>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</si>
  <si>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</si>
  <si>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</si>
  <si>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</si>
  <si>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</si>
  <si>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</si>
  <si>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</si>
  <si>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</si>
  <si>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</si>
  <si>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</si>
  <si>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</si>
  <si>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</si>
  <si>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</si>
  <si>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</si>
  <si>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</si>
  <si>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</si>
  <si>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</si>
  <si>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</si>
  <si>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</si>
  <si>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</si>
  <si>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</si>
  <si>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</si>
  <si>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</si>
  <si>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</si>
  <si>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</si>
  <si>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</si>
  <si>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</si>
  <si>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</si>
  <si>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</si>
  <si>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</si>
  <si>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</si>
  <si>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</si>
  <si>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</si>
  <si>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</si>
  <si>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</si>
  <si>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</si>
  <si>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</si>
  <si>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</si>
  <si>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</si>
  <si>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</si>
  <si>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</si>
  <si>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</si>
  <si>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</si>
  <si>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</si>
  <si>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</si>
  <si>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</si>
  <si>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</si>
  <si>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</si>
  <si>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</si>
  <si>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</si>
  <si>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</si>
  <si>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</si>
  <si>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</si>
  <si>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</si>
  <si>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</si>
  <si>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</si>
  <si>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</si>
  <si>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</si>
  <si>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</si>
  <si>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</si>
  <si>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</si>
  <si>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</si>
  <si>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</si>
  <si>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</si>
  <si>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</si>
  <si>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</si>
  <si>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</si>
  <si>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</si>
  <si>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</si>
  <si>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</si>
  <si>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</si>
  <si>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</si>
  <si>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</si>
  <si>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</si>
  <si>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</si>
  <si>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</si>
  <si>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</si>
  <si>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</si>
  <si>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</si>
  <si>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</si>
  <si>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</si>
  <si>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</si>
  <si>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</si>
  <si>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</si>
  <si>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</si>
  <si>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</si>
  <si>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</si>
  <si>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</si>
  <si>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</si>
  <si>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</si>
  <si>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</si>
  <si>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</si>
  <si>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</si>
  <si>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</si>
  <si>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</si>
  <si>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</si>
  <si>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</si>
  <si>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</si>
  <si>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</si>
  <si>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</si>
  <si>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</si>
  <si>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</si>
  <si>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</si>
  <si>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</si>
  <si>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</si>
  <si>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</si>
  <si>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</si>
  <si>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</si>
  <si>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</si>
  <si>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</si>
  <si>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</si>
  <si>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</si>
  <si>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</si>
  <si>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</si>
  <si>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</si>
  <si>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</si>
  <si>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</si>
  <si>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</si>
  <si>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</si>
  <si>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</si>
  <si>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</si>
  <si>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</si>
  <si>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</si>
  <si>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</si>
  <si>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</si>
  <si>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</si>
  <si>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</si>
  <si>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</si>
  <si>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</si>
  <si>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</si>
  <si>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</si>
  <si>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</si>
  <si>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</si>
  <si>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</si>
  <si>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</si>
  <si>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</si>
  <si>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</si>
  <si>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</si>
  <si>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</si>
  <si>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</si>
  <si>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</si>
  <si>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</si>
  <si>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</si>
  <si>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</si>
  <si>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</si>
  <si>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</si>
  <si>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</si>
  <si>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</si>
  <si>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</si>
  <si>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</si>
  <si>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</si>
  <si>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</si>
  <si>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</si>
  <si>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</si>
  <si>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</si>
  <si>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</si>
  <si>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</si>
  <si>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</si>
  <si>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</si>
  <si>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</si>
  <si>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</si>
  <si>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</si>
  <si>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</si>
  <si>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</si>
  <si>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</si>
  <si>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</si>
  <si>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</si>
  <si>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</si>
  <si>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</si>
  <si>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</si>
  <si>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</si>
  <si>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</si>
  <si>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</si>
  <si>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</si>
  <si>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</si>
  <si>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</si>
  <si>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</si>
  <si>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</si>
  <si>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</si>
  <si>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</si>
  <si>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</si>
  <si>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</si>
  <si>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</si>
  <si>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</si>
  <si>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</si>
  <si>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</si>
  <si>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</si>
  <si>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</si>
  <si>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</si>
  <si>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</si>
  <si>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</si>
  <si>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</si>
  <si>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</si>
  <si>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</si>
  <si>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</si>
  <si>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</si>
  <si>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</si>
  <si>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</si>
  <si>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</si>
  <si>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</si>
  <si>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</si>
  <si>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</si>
  <si>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</si>
  <si>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</si>
  <si>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</si>
  <si>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</si>
  <si>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</si>
  <si>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</si>
  <si>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</si>
  <si>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</si>
  <si>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</si>
  <si>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</si>
  <si>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</si>
  <si>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</si>
  <si>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</si>
  <si>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</si>
  <si>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</si>
  <si>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</si>
  <si>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</si>
  <si>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</si>
  <si>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</si>
  <si>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</si>
  <si>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</si>
  <si>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</si>
  <si>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</si>
  <si>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</si>
  <si>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</si>
  <si>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</si>
  <si>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</si>
  <si>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</si>
  <si>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</si>
  <si>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</si>
  <si>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</si>
  <si>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</si>
  <si>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</si>
  <si>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</si>
  <si>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</si>
  <si>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</si>
  <si>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</si>
  <si>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</si>
  <si>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</si>
  <si>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</si>
  <si>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</si>
  <si>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</si>
  <si>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</si>
  <si>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</si>
  <si>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</si>
  <si>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</si>
  <si>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</si>
  <si>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</si>
  <si>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</si>
  <si>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</si>
  <si>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</si>
  <si>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</si>
  <si>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</si>
  <si>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</si>
  <si>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</si>
  <si>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</si>
  <si>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</si>
  <si>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</si>
  <si>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</si>
  <si>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</si>
  <si>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</si>
  <si>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</si>
  <si>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</si>
  <si>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</si>
  <si>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</si>
  <si>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</si>
  <si>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</si>
  <si>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</si>
  <si>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</si>
  <si>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</si>
  <si>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</si>
  <si>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</si>
  <si>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</si>
  <si>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</si>
  <si>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</si>
  <si>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</si>
  <si>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</si>
  <si>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</si>
  <si>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</si>
  <si>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</si>
  <si>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</si>
  <si>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</si>
  <si>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</si>
  <si>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</si>
  <si>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</si>
  <si>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</si>
  <si>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</si>
  <si>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</si>
  <si>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</si>
  <si>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</si>
  <si>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</si>
  <si>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</si>
  <si>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</si>
  <si>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</si>
  <si>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</si>
  <si>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</si>
  <si>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</si>
  <si>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</si>
  <si>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</si>
  <si>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</si>
  <si>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</si>
  <si>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</si>
  <si>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</si>
  <si>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</si>
  <si>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</si>
  <si>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</si>
  <si>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</si>
  <si>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</si>
  <si>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</si>
  <si>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</si>
  <si>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</si>
  <si>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</si>
  <si>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</si>
  <si>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</si>
  <si>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</si>
  <si>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</si>
  <si>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</si>
  <si>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</si>
  <si>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</si>
  <si>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</si>
  <si>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</si>
  <si>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</si>
  <si>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</si>
  <si>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</si>
  <si>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</si>
  <si>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</si>
  <si>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</si>
  <si>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</si>
  <si>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</si>
  <si>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</si>
  <si>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</si>
  <si>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</si>
  <si>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</si>
  <si>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</si>
  <si>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</si>
  <si>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</si>
  <si>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</si>
  <si>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</si>
  <si>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</si>
  <si>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</si>
  <si>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</si>
  <si>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</si>
  <si>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</si>
  <si>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</si>
  <si>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</si>
  <si>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</si>
  <si>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</si>
  <si>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</si>
  <si>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</si>
  <si>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</si>
  <si>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</si>
  <si>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</si>
  <si>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</si>
  <si>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</si>
  <si>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</si>
  <si>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</si>
  <si>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</si>
  <si>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</si>
  <si>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</si>
  <si>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</si>
  <si>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</si>
  <si>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</si>
  <si>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</si>
  <si>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</si>
  <si>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</si>
  <si>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</si>
  <si>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</si>
  <si>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</si>
  <si>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</si>
  <si>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</si>
  <si>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</si>
  <si>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</si>
  <si>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</si>
  <si>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</si>
  <si>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</si>
  <si>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</si>
  <si>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</si>
  <si>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</si>
  <si>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</si>
  <si>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</si>
  <si>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</si>
  <si>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</si>
  <si>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</si>
  <si>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</si>
  <si>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</si>
  <si>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</si>
  <si>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</si>
  <si>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</si>
  <si>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</si>
  <si>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</si>
  <si>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</si>
  <si>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</si>
  <si>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</si>
  <si>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</si>
  <si>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</si>
  <si>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</si>
  <si>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</si>
  <si>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</si>
  <si>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</si>
  <si>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</si>
  <si>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</si>
  <si>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</si>
  <si>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</si>
  <si>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</si>
  <si>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</si>
  <si>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</si>
  <si>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</si>
  <si>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</si>
  <si>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</si>
  <si>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</si>
  <si>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</si>
  <si>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</si>
  <si>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</si>
  <si>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</si>
  <si>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</si>
  <si>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</si>
  <si>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</si>
  <si>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</si>
  <si>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</si>
  <si>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</si>
  <si>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</si>
  <si>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</si>
  <si>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</si>
  <si>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</si>
  <si>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</si>
  <si>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</si>
  <si>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</si>
  <si>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</si>
  <si>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</si>
  <si>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</si>
  <si>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</si>
  <si>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</si>
  <si>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</si>
  <si>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</si>
  <si>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</si>
  <si>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</si>
  <si>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</si>
  <si>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</si>
  <si>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</si>
  <si>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</si>
  <si>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</si>
  <si>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</si>
  <si>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</si>
  <si>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</si>
  <si>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</si>
  <si>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</si>
  <si>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</si>
  <si>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</si>
  <si>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</si>
  <si>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</si>
  <si>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</si>
  <si>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</si>
  <si>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</si>
  <si>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</si>
  <si>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</si>
  <si>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</si>
  <si>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</si>
  <si>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</si>
  <si>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</si>
  <si>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</si>
  <si>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</si>
  <si>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</si>
  <si>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</si>
  <si>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</si>
  <si>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</si>
  <si>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</si>
  <si>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</si>
  <si>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</si>
  <si>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</si>
  <si>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</si>
  <si>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</si>
  <si>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</si>
  <si>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</si>
  <si>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</si>
  <si>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</si>
  <si>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</si>
  <si>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</si>
  <si>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</si>
  <si>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</si>
  <si>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</si>
  <si>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</si>
  <si>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</si>
  <si>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</si>
  <si>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</si>
  <si>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</si>
  <si>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</si>
  <si>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</si>
  <si>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</si>
  <si>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</si>
  <si>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</si>
  <si>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</si>
  <si>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</si>
  <si>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</si>
  <si>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</si>
  <si>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</si>
  <si>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</si>
  <si>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</si>
  <si>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</si>
  <si>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</si>
  <si>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</si>
  <si>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</si>
  <si>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</si>
  <si>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</si>
  <si>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</si>
  <si>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</si>
  <si>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</si>
  <si>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</si>
  <si>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</si>
  <si>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</si>
  <si>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</si>
  <si>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</si>
  <si>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</si>
  <si>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</si>
  <si>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</si>
  <si>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</si>
  <si>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</si>
  <si>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</si>
  <si>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</si>
  <si>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</si>
  <si>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</si>
  <si>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</si>
  <si>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</si>
  <si>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</si>
  <si>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</si>
  <si>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</si>
  <si>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</si>
  <si>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</si>
  <si>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</si>
  <si>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</si>
  <si>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</si>
  <si>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</si>
  <si>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</si>
  <si>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</si>
  <si>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</si>
  <si>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</si>
  <si>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</si>
  <si>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</si>
  <si>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</si>
  <si>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</si>
  <si>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</si>
  <si>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</si>
  <si>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</si>
  <si>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</si>
  <si>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</si>
  <si>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</si>
  <si>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</si>
  <si>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</si>
  <si>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</si>
  <si>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</si>
  <si>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</si>
  <si>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</si>
  <si>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</si>
  <si>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</si>
  <si>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</si>
  <si>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</si>
  <si>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</si>
  <si>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</si>
  <si>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</si>
  <si>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</si>
  <si>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</si>
  <si>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</si>
  <si>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</si>
  <si>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</si>
  <si>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</si>
  <si>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</si>
  <si>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</si>
  <si>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</si>
  <si>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</si>
  <si>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</si>
  <si>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</si>
  <si>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</si>
  <si>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</si>
  <si>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</si>
  <si>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</si>
  <si>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</si>
  <si>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</si>
  <si>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</si>
  <si>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</si>
  <si>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</si>
  <si>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</si>
  <si>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</si>
  <si>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</si>
  <si>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</si>
  <si>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</si>
  <si>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</si>
  <si>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</si>
  <si>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</si>
  <si>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</si>
  <si>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</si>
  <si>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</si>
  <si>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</si>
  <si>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</si>
  <si>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</si>
  <si>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</si>
  <si>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</si>
  <si>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</si>
  <si>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</si>
  <si>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</si>
  <si>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</si>
  <si>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</si>
  <si>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</si>
  <si>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</si>
  <si>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</si>
  <si>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</si>
  <si>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</si>
  <si>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</si>
  <si>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</si>
  <si>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</si>
  <si>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</si>
  <si>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</si>
  <si>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</si>
  <si>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</si>
  <si>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</si>
  <si>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</si>
  <si>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</si>
  <si>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</si>
  <si>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</si>
  <si>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</si>
  <si>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</si>
  <si>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</si>
  <si>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</si>
  <si>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</si>
  <si>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</si>
  <si>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</si>
  <si>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</si>
  <si>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</si>
  <si>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</si>
  <si>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</si>
  <si>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</si>
  <si>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</si>
  <si>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</si>
  <si>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</si>
  <si>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</si>
  <si>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</si>
  <si>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</si>
  <si>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</si>
  <si>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</si>
  <si>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</si>
  <si>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</si>
  <si>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</si>
  <si>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</si>
  <si>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</si>
  <si>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</si>
  <si>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</si>
  <si>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</si>
  <si>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</si>
  <si>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</si>
  <si>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</si>
  <si>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</si>
  <si>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</si>
  <si>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</si>
  <si>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</si>
  <si>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</si>
  <si>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</si>
  <si>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</si>
  <si>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</si>
  <si>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</si>
  <si>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</si>
  <si>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</si>
  <si>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</si>
  <si>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</si>
  <si>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</si>
  <si>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</si>
  <si>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</si>
  <si>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</si>
  <si>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</si>
  <si>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</si>
  <si>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</si>
  <si>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</si>
  <si>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</si>
  <si>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</si>
  <si>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</si>
  <si>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</si>
  <si>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</si>
  <si>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</si>
  <si>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</si>
  <si>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</si>
  <si>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</si>
  <si>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</si>
  <si>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</si>
  <si>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</si>
  <si>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</si>
  <si>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</si>
  <si>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</si>
  <si>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</si>
  <si>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</si>
  <si>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</si>
  <si>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</si>
  <si>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</si>
  <si>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</si>
  <si>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</si>
  <si>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</si>
  <si>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</si>
  <si>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</si>
  <si>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</si>
  <si>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</si>
  <si>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</si>
  <si>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</si>
  <si>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</si>
  <si>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</si>
  <si>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</si>
  <si>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</si>
  <si>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</si>
  <si>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</si>
  <si>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</si>
  <si>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</si>
  <si>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</si>
  <si>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</si>
  <si>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</si>
  <si>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</si>
  <si>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</si>
  <si>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</si>
  <si>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</si>
  <si>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</si>
  <si>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</si>
  <si>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</si>
  <si>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</si>
  <si>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</si>
  <si>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</si>
  <si>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</si>
  <si>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</si>
  <si>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</si>
  <si>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</si>
  <si>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</si>
  <si>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</si>
  <si>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</si>
  <si>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</si>
  <si>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</si>
  <si>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</si>
  <si>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</si>
  <si>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</si>
  <si>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</si>
  <si>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</si>
  <si>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</si>
  <si>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</si>
  <si>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</si>
  <si>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</si>
  <si>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</si>
  <si>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</si>
  <si>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</si>
  <si>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</si>
  <si>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</si>
  <si>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</si>
  <si>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</si>
  <si>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</si>
  <si>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</si>
  <si>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</si>
  <si>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</si>
  <si>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</si>
  <si>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</si>
  <si>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</si>
  <si>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</si>
  <si>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</si>
  <si>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</si>
  <si>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</si>
  <si>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</si>
  <si>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</si>
  <si>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</si>
  <si>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</si>
  <si>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</si>
  <si>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</si>
  <si>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</si>
  <si>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</si>
  <si>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</si>
  <si>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</si>
  <si>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</si>
  <si>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</si>
  <si>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</si>
  <si>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</si>
  <si>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</si>
  <si>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</si>
  <si>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</si>
  <si>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</si>
  <si>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</si>
  <si>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</si>
  <si>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</si>
  <si>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</si>
  <si>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</si>
  <si>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</si>
  <si>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</si>
  <si>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</si>
  <si>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</si>
  <si>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</si>
  <si>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</si>
  <si>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</si>
  <si>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</si>
  <si>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</si>
  <si>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</si>
  <si>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</si>
  <si>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</si>
  <si>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</si>
  <si>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</si>
  <si>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</si>
  <si>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</si>
  <si>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</si>
  <si>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</si>
  <si>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</si>
  <si>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</si>
  <si>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</si>
  <si>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</si>
  <si>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</si>
  <si>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</si>
  <si>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</si>
  <si>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</si>
  <si>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</si>
  <si>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</si>
  <si>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</si>
  <si>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</si>
  <si>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</si>
  <si>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</si>
  <si>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</si>
  <si>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</si>
  <si>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</si>
  <si>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</si>
  <si>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</si>
  <si>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</si>
  <si>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</si>
  <si>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</si>
  <si>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</si>
  <si>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</si>
  <si>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</si>
  <si>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</si>
  <si>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</si>
  <si>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</si>
  <si>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</si>
  <si>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</si>
  <si>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</si>
  <si>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</si>
  <si>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</si>
  <si>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</si>
  <si>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</si>
  <si>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</si>
  <si>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</si>
  <si>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</si>
  <si>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</si>
  <si>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</si>
  <si>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</si>
  <si>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</si>
  <si>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</si>
  <si>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</si>
  <si>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</si>
  <si>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</si>
  <si>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</si>
  <si>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</si>
  <si>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</si>
  <si>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</si>
  <si>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</si>
  <si>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</si>
  <si>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</si>
  <si>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</si>
  <si>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</si>
  <si>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</si>
  <si>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</si>
  <si>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</si>
  <si>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</si>
  <si>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</si>
  <si>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</si>
  <si>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</si>
  <si>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</si>
  <si>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</si>
  <si>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</si>
  <si>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</si>
  <si>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</si>
  <si>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</si>
  <si>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</si>
  <si>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</si>
  <si>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</si>
  <si>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</si>
  <si>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</si>
  <si>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</si>
  <si>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</si>
  <si>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</si>
  <si>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</si>
  <si>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</si>
  <si>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</si>
  <si>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</si>
  <si>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</si>
  <si>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</si>
  <si>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</si>
  <si>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</si>
  <si>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</si>
  <si>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</si>
  <si>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</si>
  <si>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</si>
  <si>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</si>
  <si>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</si>
  <si>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</si>
  <si>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</si>
  <si>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</si>
  <si>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</si>
  <si>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</si>
  <si>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</si>
  <si>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</si>
  <si>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</si>
  <si>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</si>
  <si>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</si>
  <si>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</si>
  <si>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</si>
  <si>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</si>
  <si>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</si>
  <si>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</si>
  <si>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</si>
  <si>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</si>
  <si>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</si>
  <si>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</si>
  <si>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</si>
  <si>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</si>
  <si>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</si>
  <si>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</si>
  <si>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</si>
  <si>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</si>
  <si>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</si>
  <si>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</si>
  <si>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</si>
  <si>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</si>
  <si>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</si>
  <si>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</si>
  <si>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</si>
  <si>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</si>
  <si>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</si>
  <si>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</si>
  <si>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</si>
  <si>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</si>
  <si>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</si>
  <si>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</si>
  <si>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</si>
  <si>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</si>
  <si>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</si>
  <si>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</si>
  <si>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</si>
  <si>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</si>
  <si>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</si>
  <si>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</si>
  <si>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</si>
  <si>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</si>
  <si>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</si>
  <si>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</si>
  <si>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</si>
  <si>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</si>
  <si>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</si>
  <si>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</si>
  <si>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</si>
  <si>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</si>
  <si>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</si>
  <si>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</si>
  <si>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</si>
  <si>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</si>
  <si>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</si>
  <si>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</si>
  <si>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</si>
  <si>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</si>
  <si>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</si>
  <si>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</si>
  <si>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</si>
  <si>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</si>
  <si>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</si>
  <si>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</si>
  <si>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</si>
  <si>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</si>
  <si>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</si>
  <si>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</si>
  <si>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</si>
  <si>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</si>
  <si>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</si>
  <si>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</si>
  <si>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</si>
  <si>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</si>
  <si>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</si>
  <si>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</si>
  <si>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</si>
  <si>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</si>
  <si>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</si>
  <si>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</si>
  <si>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</si>
  <si>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</si>
  <si>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</si>
  <si>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</si>
  <si>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</si>
  <si>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</si>
  <si>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</si>
  <si>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</si>
  <si>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</si>
  <si>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</si>
  <si>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</si>
  <si>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</si>
  <si>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</si>
  <si>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</si>
  <si>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</si>
  <si>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</si>
  <si>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</si>
  <si>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</si>
  <si>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</si>
  <si>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</si>
  <si>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</si>
  <si>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</si>
  <si>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</si>
  <si>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</si>
  <si>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</si>
  <si>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</si>
  <si>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</si>
  <si>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</si>
  <si>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</si>
  <si>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</si>
  <si>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</si>
  <si>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</si>
  <si>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</si>
  <si>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</si>
  <si>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</si>
  <si>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</si>
  <si>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</si>
  <si>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</si>
  <si>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</si>
  <si>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</si>
  <si>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</si>
  <si>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</si>
  <si>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</si>
  <si>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</si>
  <si>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</si>
  <si>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</si>
  <si>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</si>
  <si>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</si>
  <si>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</si>
  <si>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</si>
  <si>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</si>
  <si>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</si>
  <si>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</si>
  <si>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</si>
  <si>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</si>
  <si>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</si>
  <si>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</si>
  <si>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</si>
  <si>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</si>
  <si>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</si>
  <si>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</si>
  <si>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</si>
  <si>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</si>
  <si>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</si>
  <si>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</si>
  <si>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</si>
  <si>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</si>
  <si>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</si>
  <si>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</si>
  <si>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</si>
  <si>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</si>
  <si>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</si>
  <si>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</si>
  <si>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</si>
  <si>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</si>
  <si>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</si>
  <si>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</si>
  <si>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</si>
  <si>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</si>
  <si>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</si>
  <si>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</si>
  <si>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</si>
  <si>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</si>
  <si>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</si>
  <si>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</si>
  <si>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</si>
  <si>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</si>
  <si>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</si>
  <si>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</si>
  <si>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</si>
  <si>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</si>
  <si>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</si>
  <si>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</si>
  <si>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</si>
  <si>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</si>
  <si>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</si>
  <si>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</si>
  <si>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</si>
  <si>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</si>
  <si>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</si>
  <si>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</si>
  <si>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</si>
  <si>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</si>
  <si>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</si>
  <si>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</si>
  <si>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</si>
  <si>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</si>
  <si>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</si>
  <si>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</si>
  <si>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</si>
  <si>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</si>
  <si>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</si>
  <si>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</si>
  <si>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</si>
  <si>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</si>
  <si>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</si>
  <si>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</si>
  <si>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</si>
  <si>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</si>
  <si>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</si>
  <si>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</si>
  <si>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</si>
  <si>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</si>
  <si>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</si>
  <si>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</si>
  <si>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</si>
  <si>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</si>
  <si>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</si>
  <si>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</si>
  <si>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</si>
  <si>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</si>
  <si>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</si>
  <si>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</si>
  <si>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</si>
  <si>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</si>
  <si>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</si>
  <si>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</si>
  <si>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</si>
  <si>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</si>
  <si>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</si>
  <si>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</si>
  <si>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</si>
  <si>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</si>
  <si>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</si>
  <si>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</si>
  <si>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</si>
  <si>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</si>
  <si>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</si>
  <si>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</si>
  <si>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</si>
  <si>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</si>
  <si>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</si>
  <si>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</si>
  <si>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</si>
  <si>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</si>
  <si>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</si>
  <si>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</si>
  <si>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</si>
  <si>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</si>
  <si>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</si>
  <si>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</si>
  <si>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</si>
  <si>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</si>
  <si>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</si>
  <si>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</si>
  <si>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</si>
  <si>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</si>
  <si>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</si>
  <si>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</si>
  <si>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</si>
  <si>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</si>
  <si>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</si>
  <si>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</si>
  <si>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</si>
  <si>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</si>
  <si>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</si>
  <si>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</si>
  <si>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</si>
  <si>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</si>
  <si>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</si>
  <si>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</si>
  <si>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</si>
  <si>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</si>
  <si>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</si>
  <si>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</si>
  <si>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</si>
  <si>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</si>
  <si>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</si>
  <si>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</si>
  <si>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</si>
  <si>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</si>
  <si>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</si>
  <si>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</si>
  <si>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</si>
  <si>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</si>
  <si>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</si>
  <si>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</si>
  <si>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</si>
  <si>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</si>
  <si>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</si>
  <si>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</si>
  <si>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</si>
  <si>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</si>
  <si>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</si>
  <si>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</si>
  <si>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</si>
  <si>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</si>
  <si>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</si>
  <si>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</si>
  <si>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</si>
  <si>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</si>
  <si>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</si>
  <si>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</si>
  <si>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</si>
  <si>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</si>
  <si>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</si>
  <si>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</si>
  <si>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</si>
  <si>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</si>
  <si>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</si>
  <si>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</si>
  <si>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</si>
  <si>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</si>
  <si>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</si>
  <si>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</si>
  <si>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</si>
  <si>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</si>
  <si>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</si>
  <si>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</si>
  <si>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</si>
  <si>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</si>
  <si>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</si>
  <si>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</si>
  <si>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</si>
  <si>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</si>
  <si>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</si>
  <si>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</si>
  <si>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</si>
  <si>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</si>
  <si>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</si>
  <si>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</si>
  <si>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</si>
  <si>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</si>
  <si>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</si>
  <si>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</si>
  <si>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</si>
  <si>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</si>
  <si>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</si>
  <si>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</si>
  <si>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</si>
  <si>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</si>
  <si>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</si>
  <si>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</si>
  <si>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</si>
  <si>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</si>
  <si>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</si>
  <si>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</si>
  <si>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</si>
  <si>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</si>
  <si>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</si>
  <si>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</si>
  <si>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</si>
  <si>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</si>
  <si>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</si>
  <si>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</si>
  <si>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</si>
  <si>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</si>
  <si>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</si>
  <si>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</si>
  <si>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</si>
  <si>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</si>
  <si>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</si>
  <si>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</si>
  <si>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</si>
  <si>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</si>
  <si>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</si>
  <si>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</si>
  <si>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</si>
  <si>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</si>
  <si>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</si>
  <si>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</si>
  <si>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</si>
  <si>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</si>
  <si>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</si>
  <si>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</si>
  <si>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</si>
  <si>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</si>
  <si>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</si>
  <si>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</si>
  <si>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</si>
  <si>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</si>
  <si>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</si>
  <si>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</si>
  <si>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</si>
  <si>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</si>
  <si>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</si>
  <si>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</si>
  <si>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</si>
  <si>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</si>
  <si>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</si>
  <si>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</si>
  <si>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</si>
  <si>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</si>
  <si>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</si>
  <si>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</si>
  <si>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</si>
  <si>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</si>
  <si>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</si>
  <si>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</si>
  <si>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</si>
  <si>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</si>
  <si>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</si>
  <si>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</si>
  <si>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</si>
  <si>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</si>
  <si>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</si>
  <si>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</si>
  <si>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</si>
  <si>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</si>
  <si>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</si>
  <si>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</si>
  <si>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</si>
  <si>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</si>
  <si>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</si>
  <si>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</si>
  <si>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</si>
  <si>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</si>
  <si>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</si>
  <si>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</si>
  <si>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</si>
  <si>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</si>
  <si>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</si>
  <si>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</si>
  <si>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</si>
  <si>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</si>
  <si>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</si>
  <si>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</si>
  <si>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</si>
  <si>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</si>
  <si>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</si>
  <si>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</si>
  <si>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</si>
  <si>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</si>
  <si>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</si>
  <si>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</si>
  <si>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</si>
  <si>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</si>
  <si>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</si>
  <si>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</si>
  <si>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</si>
  <si>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</si>
  <si>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</si>
  <si>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</si>
  <si>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</si>
  <si>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</si>
  <si>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</si>
  <si>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</si>
  <si>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</si>
  <si>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</si>
  <si>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</si>
  <si>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</si>
  <si>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</si>
  <si>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</si>
  <si>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</si>
  <si>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</si>
  <si>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</si>
  <si>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</si>
  <si>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</si>
  <si>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</si>
  <si>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</si>
  <si>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</si>
  <si>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</si>
  <si>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</si>
  <si>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</si>
  <si>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</si>
  <si>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</si>
  <si>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</si>
  <si>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</si>
  <si>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</si>
  <si>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</si>
  <si>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</si>
  <si>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</si>
  <si>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</si>
  <si>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</si>
  <si>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</si>
  <si>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</si>
  <si>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</si>
  <si>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</si>
  <si>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</si>
  <si>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</si>
  <si>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</si>
  <si>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</si>
  <si>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</si>
  <si>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</si>
  <si>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</si>
  <si>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</si>
  <si>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</si>
  <si>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</si>
  <si>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</si>
  <si>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</si>
  <si>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</si>
  <si>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</si>
  <si>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</si>
  <si>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</si>
  <si>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</si>
  <si>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</si>
  <si>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</si>
  <si>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</si>
  <si>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</si>
  <si>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</si>
  <si>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</si>
  <si>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</si>
  <si>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</si>
  <si>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</si>
  <si>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</si>
  <si>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</si>
  <si>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</si>
  <si>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</si>
  <si>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</si>
  <si>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</si>
  <si>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</si>
  <si>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</si>
  <si>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</si>
  <si>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</si>
  <si>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</si>
  <si>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</si>
  <si>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</si>
  <si>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</si>
  <si>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</si>
  <si>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</si>
  <si>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</si>
  <si>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</si>
  <si>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</si>
  <si>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</si>
  <si>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</si>
  <si>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</si>
  <si>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</si>
  <si>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</si>
  <si>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</si>
  <si>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</si>
  <si>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</si>
  <si>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</si>
  <si>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</si>
  <si>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</si>
  <si>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</si>
  <si>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</si>
  <si>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</si>
  <si>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</si>
  <si>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</si>
  <si>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</si>
  <si>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</si>
  <si>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</si>
  <si>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</si>
  <si>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</si>
  <si>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</si>
  <si>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</si>
  <si>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</si>
  <si>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</si>
  <si>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</si>
  <si>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</si>
  <si>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</si>
  <si>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</si>
  <si>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</si>
  <si>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</si>
  <si>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</si>
  <si>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</si>
  <si>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</si>
  <si>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</si>
  <si>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</si>
  <si>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</si>
  <si>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</si>
  <si>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</si>
  <si>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</si>
  <si>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</si>
  <si>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</si>
  <si>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</si>
  <si>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</si>
  <si>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</si>
  <si>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</si>
  <si>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</si>
  <si>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</si>
  <si>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</si>
  <si>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</si>
  <si>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</si>
  <si>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</si>
  <si>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</si>
  <si>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</si>
  <si>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</si>
  <si>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</si>
  <si>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</si>
  <si>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</si>
  <si>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</si>
  <si>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</si>
  <si>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</si>
  <si>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</si>
  <si>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</si>
  <si>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</si>
  <si>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</si>
  <si>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</si>
  <si>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</si>
  <si>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</si>
  <si>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</si>
  <si>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</si>
  <si>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</si>
  <si>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</si>
  <si>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</si>
  <si>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</si>
  <si>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</si>
  <si>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</si>
  <si>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</si>
  <si>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</si>
  <si>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</si>
  <si>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</si>
  <si>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</si>
  <si>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</si>
  <si>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</si>
  <si>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</si>
  <si>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</si>
  <si>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</si>
  <si>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</si>
  <si>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</si>
  <si>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</si>
  <si>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</si>
  <si>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</si>
  <si>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</si>
  <si>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</si>
  <si>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</si>
  <si>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</si>
  <si>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</si>
  <si>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</si>
  <si>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</si>
  <si>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</si>
  <si>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</si>
  <si>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</si>
  <si>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</si>
  <si>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</si>
  <si>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</si>
  <si>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</si>
  <si>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</si>
  <si>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</si>
  <si>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</si>
  <si>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</si>
  <si>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</si>
  <si>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</si>
  <si>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</si>
  <si>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</si>
  <si>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</si>
  <si>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</si>
  <si>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</si>
  <si>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</si>
  <si>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</si>
  <si>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</si>
  <si>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</si>
  <si>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</si>
  <si>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</si>
  <si>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</si>
  <si>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</si>
  <si>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</si>
  <si>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</si>
  <si>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</si>
  <si>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</si>
  <si>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</si>
  <si>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</si>
  <si>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</si>
  <si>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</si>
  <si>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</si>
  <si>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</si>
  <si>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</si>
  <si>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</si>
  <si>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</si>
  <si>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</si>
  <si>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</si>
  <si>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</si>
  <si>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</si>
  <si>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</si>
  <si>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</si>
  <si>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</si>
  <si>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</si>
  <si>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</si>
  <si>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</si>
  <si>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</si>
  <si>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</si>
  <si>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</si>
  <si>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</si>
  <si>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</si>
  <si>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</si>
  <si>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</si>
  <si>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</si>
  <si>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</si>
  <si>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</si>
  <si>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</si>
  <si>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</si>
  <si>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</si>
  <si>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</si>
  <si>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</si>
  <si>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</si>
  <si>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</si>
  <si>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</si>
  <si>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</si>
  <si>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</si>
  <si>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</si>
  <si>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</si>
  <si>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</si>
  <si>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</si>
  <si>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</si>
  <si>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</si>
  <si>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</si>
  <si>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</si>
  <si>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</si>
  <si>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</si>
  <si>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</si>
  <si>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</si>
  <si>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</si>
  <si>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</si>
  <si>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</si>
  <si>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</si>
  <si>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</si>
  <si>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</si>
  <si>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</si>
  <si>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</si>
  <si>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</si>
  <si>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</si>
  <si>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</si>
  <si>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</si>
  <si>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</si>
  <si>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</si>
  <si>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</si>
  <si>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</si>
  <si>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</si>
  <si>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</si>
  <si>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</si>
  <si>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</si>
  <si>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</si>
  <si>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</si>
  <si>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</si>
  <si>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</si>
  <si>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</si>
  <si>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</si>
  <si>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</si>
  <si>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</si>
  <si>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</si>
  <si>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</si>
  <si>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</si>
  <si>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</si>
  <si>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</si>
  <si>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</si>
  <si>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</si>
  <si>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</si>
  <si>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</si>
  <si>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</si>
  <si>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</si>
  <si>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</si>
  <si>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</si>
  <si>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</si>
  <si>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</si>
  <si>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</si>
  <si>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</si>
  <si>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</si>
  <si>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</si>
  <si>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</si>
  <si>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</si>
  <si>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</si>
  <si>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</si>
  <si>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</si>
  <si>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</si>
  <si>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</si>
  <si>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</si>
  <si>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</si>
  <si>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</si>
  <si>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</si>
  <si>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</si>
  <si>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</si>
  <si>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</si>
  <si>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</si>
  <si>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</si>
  <si>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</si>
  <si>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</si>
  <si>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</si>
  <si>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</si>
  <si>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</si>
  <si>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</si>
  <si>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</si>
  <si>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</si>
  <si>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</si>
  <si>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</si>
  <si>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</si>
  <si>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</si>
  <si>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</si>
  <si>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</si>
  <si>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</si>
  <si>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</si>
  <si>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</si>
  <si>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</si>
  <si>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</si>
  <si>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</si>
  <si>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</si>
  <si>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</si>
  <si>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</si>
  <si>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</si>
  <si>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</si>
  <si>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</si>
  <si>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</si>
  <si>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</si>
  <si>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</si>
  <si>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</si>
  <si>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</si>
  <si>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</si>
  <si>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</si>
  <si>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</si>
  <si>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</si>
  <si>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</si>
  <si>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</si>
  <si>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</si>
  <si>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</si>
  <si>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</si>
  <si>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</si>
  <si>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</si>
  <si>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</si>
  <si>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</si>
  <si>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</si>
  <si>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</si>
  <si>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</si>
  <si>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</si>
  <si>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</si>
  <si>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</si>
  <si>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</si>
  <si>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</si>
  <si>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</si>
  <si>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</si>
  <si>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</si>
  <si>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</si>
  <si>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</si>
  <si>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</si>
  <si>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</si>
  <si>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</si>
  <si>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</si>
  <si>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</si>
  <si>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</si>
  <si>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</si>
  <si>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</si>
  <si>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</si>
  <si>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</si>
  <si>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</si>
  <si>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</si>
  <si>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</si>
  <si>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</si>
  <si>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</si>
  <si>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</si>
  <si>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</si>
  <si>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</si>
  <si>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</si>
  <si>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</si>
  <si>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</si>
  <si>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</si>
  <si>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</si>
  <si>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</si>
  <si>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</si>
  <si>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</si>
  <si>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</si>
  <si>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</si>
  <si>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</si>
  <si>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</si>
  <si>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</si>
  <si>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</si>
  <si>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</si>
  <si>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</si>
  <si>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</si>
  <si>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</si>
  <si>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</si>
  <si>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</si>
  <si>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</si>
  <si>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</si>
  <si>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</si>
  <si>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</si>
  <si>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</si>
  <si>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</si>
  <si>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</si>
  <si>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</si>
  <si>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</si>
  <si>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</si>
  <si>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</si>
  <si>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</si>
  <si>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</si>
  <si>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</si>
  <si>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</si>
  <si>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</si>
  <si>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</si>
  <si>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</si>
  <si>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</si>
  <si>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</si>
  <si>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</si>
  <si>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</si>
  <si>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</si>
  <si>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</si>
  <si>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</si>
  <si>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</si>
  <si>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</si>
  <si>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</si>
  <si>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</si>
  <si>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</si>
  <si>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</si>
  <si>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</si>
  <si>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</si>
  <si>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</si>
  <si>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</si>
  <si>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</si>
  <si>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</si>
  <si>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</si>
  <si>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</si>
  <si>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</si>
  <si>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</si>
  <si>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</si>
  <si>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</si>
  <si>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</si>
  <si>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</si>
  <si>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</si>
  <si>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</si>
  <si>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</si>
  <si>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</si>
  <si>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</si>
  <si>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</si>
  <si>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</si>
  <si>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</si>
  <si>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</si>
  <si>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</si>
  <si>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</si>
  <si>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</si>
  <si>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</si>
  <si>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</si>
  <si>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</si>
  <si>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</si>
  <si>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</si>
  <si>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</si>
  <si>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</si>
  <si>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</si>
  <si>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</si>
  <si>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</si>
  <si>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</si>
  <si>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</si>
  <si>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</si>
  <si>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</si>
  <si>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</si>
  <si>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</si>
  <si>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</si>
  <si>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</si>
  <si>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</si>
  <si>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</si>
  <si>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</si>
  <si>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</si>
  <si>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</si>
  <si>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</si>
  <si>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</si>
  <si>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</si>
  <si>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</si>
  <si>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</si>
  <si>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</si>
  <si>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</si>
  <si>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</si>
  <si>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</si>
  <si>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</si>
  <si>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</si>
  <si>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海淀区中关村大街</t>
    </r>
    <r>
      <rPr>
        <sz val="10"/>
        <color theme="9" tint="-0.249977111117893"/>
        <rFont val="Arial"/>
        <family val="2"/>
      </rPr>
      <t>18</t>
    </r>
    <r>
      <rPr>
        <sz val="10"/>
        <color theme="9" tint="-0.249977111117893"/>
        <rFont val="宋体"/>
        <family val="3"/>
        <charset val="134"/>
      </rPr>
      <t>号五层部分综合用房</t>
    </r>
    <phoneticPr fontId="6" type="noConversion"/>
  </si>
  <si>
    <t>是</t>
  </si>
  <si>
    <t>地上</t>
  </si>
  <si>
    <t>办公楼</t>
  </si>
  <si>
    <t>办公</t>
    <phoneticPr fontId="7" type="noConversion"/>
  </si>
  <si>
    <t>综合</t>
    <phoneticPr fontId="3" type="noConversion"/>
  </si>
  <si>
    <t>成新度</t>
  </si>
  <si>
    <t>收益法</t>
  </si>
  <si>
    <t>商务金融用地</t>
  </si>
  <si>
    <t>估价对象容积率</t>
  </si>
  <si>
    <t>不临65条商业街</t>
  </si>
  <si>
    <t>与级别开发程度不一致</t>
  </si>
  <si>
    <t>通路</t>
  </si>
  <si>
    <t>通电</t>
  </si>
  <si>
    <t>通讯</t>
  </si>
  <si>
    <t>通上水</t>
  </si>
  <si>
    <t>通下水</t>
  </si>
  <si>
    <t>平整</t>
  </si>
  <si>
    <t>较好</t>
  </si>
  <si>
    <t>好</t>
  </si>
  <si>
    <t>押一</t>
  </si>
  <si>
    <t>钢混</t>
  </si>
  <si>
    <t>非生产用房</t>
  </si>
  <si>
    <t>否</t>
  </si>
  <si>
    <r>
      <t>2021</t>
    </r>
    <r>
      <rPr>
        <sz val="10"/>
        <color indexed="8"/>
        <rFont val="宋体"/>
        <family val="3"/>
        <charset val="134"/>
      </rPr>
      <t>年</t>
    </r>
    <phoneticPr fontId="8" type="noConversion"/>
  </si>
  <si>
    <r>
      <t>1.65</t>
    </r>
    <r>
      <rPr>
        <sz val="10"/>
        <color indexed="8"/>
        <rFont val="宋体"/>
        <family val="3"/>
        <charset val="134"/>
      </rPr>
      <t>亿</t>
    </r>
    <phoneticPr fontId="8" type="noConversion"/>
  </si>
  <si>
    <t>未包含在土地购买价格中</t>
  </si>
  <si>
    <t>全部缴纳</t>
  </si>
  <si>
    <t>已包含在土地取得成本中</t>
  </si>
  <si>
    <t>成本法</t>
  </si>
  <si>
    <t>项目模式</t>
  </si>
  <si>
    <t>售价</t>
  </si>
  <si>
    <t>中关村科贸电子城</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</si>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</sst>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6" fontId="47" fillId="22" borderId="1" xfId="0" applyNumberFormat="1" applyFont="1" applyFill="1" applyBorder="1" applyAlignment="1" applyProtection="1">
      <alignment vertical="center" wrapText="1"/>
      <protection locked="0"/>
    </xf>
    <xf numFmtId="176" fontId="47" fillId="10" borderId="1" xfId="0" applyNumberFormat="1" applyFont="1" applyFill="1" applyBorder="1" applyAlignment="1" applyProtection="1">
      <alignment vertical="center" wrapText="1"/>
      <protection locked="0"/>
    </xf>
    <xf numFmtId="176" fontId="47" fillId="23" borderId="1" xfId="0" applyNumberFormat="1" applyFont="1" applyFill="1" applyBorder="1" applyAlignment="1" applyProtection="1">
      <alignment vertical="center" wrapText="1"/>
      <protection locked="0"/>
    </xf>
    <xf numFmtId="176" fontId="47" fillId="24" borderId="1" xfId="0" applyNumberFormat="1" applyFont="1" applyFill="1" applyBorder="1" applyAlignment="1" applyProtection="1">
      <alignment vertical="center" wrapText="1"/>
      <protection locked="0"/>
    </xf>
    <xf numFmtId="176" fontId="47" fillId="25" borderId="1"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53" fillId="5" borderId="28"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北京市海淀区中关村大街18号五层部分综合用房房地产抵押价值预评估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受贵公司委托，我公司对北京市海淀区中关村大街18号五层部分综合用房房地产抵押价值进行了预评估。</v>
      </c>
    </row>
    <row r="7" spans="1:2" s="1203" customFormat="1">
      <c r="A7" s="1201" t="s">
        <v>566</v>
      </c>
      <c r="B7" s="1202" t="str">
        <f>'预评函-1'!A7</f>
        <v>估价对象为北京市海淀区中关村大街18号五层部分综合用房房地产，为所有。根据《国有土地使用证》[]，估价对象（分摊）出让国有建设用地使用权面积为563.73平方米，建筑面积为5028.58平方米。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中关村大街18号五层部分综合用房房地产,属开发建设的，该项目尚在开发建设中。根据《国有土地使用证》[]，估价对象（分摊）出让国有建设用地使用权面积为563.73平方米，规划建筑面积为5028.58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中关村大街18号五层部分综合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2024年1月5日</v>
      </c>
    </row>
    <row r="13" spans="1:2" s="1203" customFormat="1">
      <c r="A13" s="1201" t="s">
        <v>529</v>
      </c>
      <c r="B13" s="1202"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13532</v>
      </c>
    </row>
    <row r="21" spans="1:2" s="1203" customFormat="1">
      <c r="A21" s="1201" t="s">
        <v>537</v>
      </c>
      <c r="B21" s="1202">
        <f ca="1">'预评函-2'!D7</f>
        <v>26910</v>
      </c>
    </row>
    <row r="22" spans="1:2" s="1203" customFormat="1">
      <c r="A22" s="1201" t="s">
        <v>538</v>
      </c>
      <c r="B22" s="1202" t="str">
        <f ca="1">'预评函-2'!D6</f>
        <v>壹亿叁仟伍佰叁拾贰万元整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13532</v>
      </c>
    </row>
    <row r="31" spans="1:2" s="1203" customFormat="1">
      <c r="A31" s="1201" t="s">
        <v>576</v>
      </c>
      <c r="B31" s="1202">
        <f ca="1">'预评函-2'!D15</f>
        <v>26910</v>
      </c>
    </row>
    <row r="32" spans="1:2" s="1203" customFormat="1">
      <c r="A32" s="1201" t="s">
        <v>543</v>
      </c>
      <c r="B32" s="1202" t="str">
        <f ca="1">'预评函-2'!D14</f>
        <v>壹亿叁仟伍佰叁拾贰万元整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北京市海淀区中关村大街18号五层部分综合用房房地产</v>
      </c>
    </row>
    <row r="42" spans="1:2" s="1203" customFormat="1">
      <c r="A42" s="1201" t="s">
        <v>590</v>
      </c>
      <c r="B42" s="1202" t="str">
        <f>'预评函-3'!B2</f>
        <v>建筑面积</v>
      </c>
    </row>
    <row r="43" spans="1:2" s="1203" customFormat="1">
      <c r="A43" s="1201" t="s">
        <v>591</v>
      </c>
      <c r="B43" s="1202">
        <f>'预评函-3'!B4</f>
        <v>5028.579999999999</v>
      </c>
    </row>
    <row r="44" spans="1:2" s="1203" customFormat="1">
      <c r="A44" s="1201" t="s">
        <v>575</v>
      </c>
      <c r="B44" s="1202" t="str">
        <f>'预评函-3'!C2</f>
        <v>(分摊)土地面积</v>
      </c>
    </row>
    <row r="45" spans="1:2" s="1203" customFormat="1">
      <c r="A45" s="1201" t="s">
        <v>547</v>
      </c>
      <c r="B45" s="1202">
        <f>'预评函-3'!C4</f>
        <v>563.73</v>
      </c>
    </row>
    <row r="46" spans="1:2" s="1203" customFormat="1">
      <c r="A46" s="1201" t="s">
        <v>573</v>
      </c>
      <c r="B46" s="1202" t="str">
        <f>'预评函-3'!D2</f>
        <v>出让国有建设用地使用权价值</v>
      </c>
    </row>
    <row r="47" spans="1:2" s="1203" customFormat="1">
      <c r="A47" s="1201" t="s">
        <v>548</v>
      </c>
      <c r="B47" s="1202">
        <f ca="1">'预评函-3'!D4</f>
        <v>12030</v>
      </c>
    </row>
    <row r="48" spans="1:2" s="1203" customFormat="1">
      <c r="A48" s="1201" t="s">
        <v>549</v>
      </c>
      <c r="B48" s="1202">
        <f ca="1">'预评函-3'!E4</f>
        <v>23923</v>
      </c>
    </row>
    <row r="49" spans="1:2" s="1203" customFormat="1">
      <c r="A49" s="1201" t="s">
        <v>550</v>
      </c>
      <c r="B49" s="1202" t="str">
        <f ca="1">'预评函-3'!D5</f>
        <v>壹亿贰仟零叁拾万元整</v>
      </c>
    </row>
    <row r="50" spans="1:2" s="1203" customFormat="1">
      <c r="A50" s="1201" t="s">
        <v>574</v>
      </c>
      <c r="B50" s="1202" t="str">
        <f>'预评函-3'!F2</f>
        <v>在建建筑物价值</v>
      </c>
    </row>
    <row r="51" spans="1:2" s="1203" customFormat="1">
      <c r="A51" s="1201" t="s">
        <v>551</v>
      </c>
      <c r="B51" s="1202">
        <f ca="1">'预评函-3'!F4</f>
        <v>1502</v>
      </c>
    </row>
    <row r="52" spans="1:2" s="1203" customFormat="1">
      <c r="A52" s="1201" t="s">
        <v>552</v>
      </c>
      <c r="B52" s="1202">
        <f ca="1">'预评函-3'!G4</f>
        <v>2987</v>
      </c>
    </row>
    <row r="53" spans="1:2" s="1203" customFormat="1">
      <c r="A53" s="1201" t="s">
        <v>580</v>
      </c>
      <c r="B53" s="1202" t="str">
        <f ca="1">'预评函-3'!F5</f>
        <v>壹仟伍佰零贰万元整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大街18号五层部分综合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5" t="s">
        <v>2597</v>
      </c>
      <c r="J1" s="3226"/>
      <c r="K1" s="3226"/>
      <c r="L1" s="3226"/>
      <c r="M1" s="3226"/>
      <c r="N1" s="3436"/>
      <c r="O1" s="3436"/>
      <c r="P1" s="3436"/>
      <c r="Q1" s="3436"/>
      <c r="R1" s="3436"/>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45296</v>
      </c>
      <c r="C3" s="3023"/>
      <c r="D3" s="3023"/>
      <c r="E3" s="3023"/>
      <c r="F3" s="3019"/>
      <c r="I3" s="3437"/>
      <c r="J3" s="3437" t="s">
        <v>2588</v>
      </c>
      <c r="K3" s="3437" t="s">
        <v>2589</v>
      </c>
      <c r="L3" s="3437" t="s">
        <v>2590</v>
      </c>
      <c r="M3" s="3437" t="s">
        <v>2591</v>
      </c>
      <c r="N3" s="3438" t="s">
        <v>2592</v>
      </c>
      <c r="O3" s="3438" t="s">
        <v>2593</v>
      </c>
      <c r="P3" s="3438" t="s">
        <v>2594</v>
      </c>
      <c r="Q3" s="3438" t="s">
        <v>2595</v>
      </c>
      <c r="R3" s="3438" t="s">
        <v>2596</v>
      </c>
    </row>
    <row r="4" spans="1:18">
      <c r="A4" s="3020" t="s">
        <v>2506</v>
      </c>
      <c r="B4" s="3023" t="s">
        <v>2507</v>
      </c>
      <c r="C4" s="3023" t="s">
        <v>2508</v>
      </c>
      <c r="D4" s="3023" t="s">
        <v>2509</v>
      </c>
      <c r="E4" s="3023" t="s">
        <v>2510</v>
      </c>
      <c r="F4" s="3019"/>
      <c r="I4" s="3437" t="s">
        <v>2585</v>
      </c>
      <c r="J4" s="3437">
        <v>80</v>
      </c>
      <c r="K4" s="3437">
        <v>70</v>
      </c>
      <c r="L4" s="3437">
        <v>20</v>
      </c>
      <c r="M4" s="3437">
        <v>30</v>
      </c>
      <c r="N4" s="3023">
        <v>45</v>
      </c>
      <c r="O4" s="3023">
        <v>60</v>
      </c>
      <c r="P4" s="3023">
        <v>50</v>
      </c>
      <c r="Q4" s="3023">
        <v>20</v>
      </c>
      <c r="R4" s="3023">
        <v>375</v>
      </c>
    </row>
    <row r="5" spans="1:18">
      <c r="A5" s="3024">
        <v>40</v>
      </c>
      <c r="B5" s="3021">
        <v>46375</v>
      </c>
      <c r="C5" s="3023">
        <f>ROUNDDOWN(MIN((B5-B3)/365,A5),2)</f>
        <v>2.95</v>
      </c>
      <c r="D5" s="3025">
        <f>IF(ISERROR(ROUND(POWER(1+E5,A5-C5)*(POWER(1+E5,C5)-1)/(POWER(1+E5,A5)-1),3)),0,ROUND(POWER(1+E5,A5-C5)*(POWER(1+E5,C5)-1)/(POWER(1+E5,A5)-1),4))</f>
        <v>0.13800000000000001</v>
      </c>
      <c r="E5" s="3026">
        <v>0.04</v>
      </c>
      <c r="F5" s="3019"/>
      <c r="I5" s="3437" t="s">
        <v>2586</v>
      </c>
      <c r="J5" s="3437">
        <v>70</v>
      </c>
      <c r="K5" s="3437">
        <v>60</v>
      </c>
      <c r="L5" s="3437">
        <v>15</v>
      </c>
      <c r="M5" s="3437">
        <v>25</v>
      </c>
      <c r="N5" s="3023">
        <v>40</v>
      </c>
      <c r="O5" s="3023">
        <v>50</v>
      </c>
      <c r="P5" s="3023">
        <v>40</v>
      </c>
      <c r="Q5" s="3023">
        <v>15</v>
      </c>
      <c r="R5" s="3023">
        <v>315</v>
      </c>
    </row>
    <row r="6" spans="1:18">
      <c r="A6" s="3024">
        <v>50</v>
      </c>
      <c r="B6" s="3021">
        <v>50028</v>
      </c>
      <c r="C6" s="3023">
        <f>ROUNDDOWN(MIN((B6-B3)/365,A6),2)</f>
        <v>12.96</v>
      </c>
      <c r="D6" s="3025">
        <f>IF(ISERROR(ROUND(POWER(1+E6,A6-C6)*(POWER(1+E6,C6)-1)/(POWER(1+E6,A6)-1),3)),0,ROUND(POWER(1+E6,A6-C6)*(POWER(1+E6,C6)-1)/(POWER(1+E6,A6)-1),4))</f>
        <v>0.4637</v>
      </c>
      <c r="E6" s="3026">
        <v>0.04</v>
      </c>
      <c r="F6" s="3019"/>
      <c r="I6" s="3437" t="s">
        <v>2587</v>
      </c>
      <c r="J6" s="3437">
        <v>60</v>
      </c>
      <c r="K6" s="3437">
        <v>50</v>
      </c>
      <c r="L6" s="3437">
        <v>10</v>
      </c>
      <c r="M6" s="3437">
        <v>20</v>
      </c>
      <c r="N6" s="3023">
        <v>35</v>
      </c>
      <c r="O6" s="3023">
        <v>40</v>
      </c>
      <c r="P6" s="3023">
        <v>30</v>
      </c>
      <c r="Q6" s="3023">
        <v>10</v>
      </c>
      <c r="R6" s="3023">
        <v>255</v>
      </c>
    </row>
    <row r="7" spans="1:18">
      <c r="A7" s="3024">
        <v>70</v>
      </c>
      <c r="B7" s="3021">
        <v>57333</v>
      </c>
      <c r="C7" s="3023">
        <f>ROUNDDOWN(MIN((B7-B3)/365,A7),2)</f>
        <v>32.97</v>
      </c>
      <c r="D7" s="3025">
        <f>IF(ISERROR(ROUND(POWER(1+E7,A7-C7)*(POWER(1+E7,C7)-1)/(POWER(1+E7,A7)-1),3)),0,ROUND(POWER(1+E7,A7-C7)*(POWER(1+E7,C7)-1)/(POWER(1+E7,A7)-1),4))</f>
        <v>0.77539999999999998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北京市海淀区中关村大街18号五层部分综合用房房地产抵押价值预评估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北京市海淀区中关村大街18号五层部分综合用房房地产抵押价值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北京市海淀区中关村大街18号五层部分综合用房房地产</v>
      </c>
      <c r="T2" s="1745"/>
      <c r="U2" s="1745"/>
      <c r="V2" s="1745"/>
      <c r="W2" s="1745"/>
      <c r="X2" s="1745"/>
      <c r="Y2" s="1745"/>
      <c r="Z2" s="1745"/>
      <c r="AA2" s="1745"/>
      <c r="AB2" s="1745"/>
    </row>
    <row r="3" spans="1:30">
      <c r="A3" s="302" t="s">
        <v>2170</v>
      </c>
      <c r="B3" s="2373"/>
      <c r="C3" s="2374" t="s">
        <v>2171</v>
      </c>
      <c r="D3" s="2373">
        <v>45296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9"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0"/>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1" t="s">
        <v>3336</v>
      </c>
      <c r="B13" s="2407" t="s">
        <v>2190</v>
      </c>
      <c r="C13" s="856"/>
      <c r="D13" s="856"/>
      <c r="E13" s="856">
        <v>55330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27.49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5028.579999999999</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563.73</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111</v>
      </c>
      <c r="D38" s="2432" t="s">
        <v>111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9" sqref="I9: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563.73</v>
      </c>
      <c r="B3" s="11">
        <f>IF(C3="否",G5-AT5,G5)</f>
        <v>5028.579999999999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5028.579999999999</v>
      </c>
      <c r="H5" s="13">
        <f t="shared" ref="H5:AT5" si="0">SUM(H13:H656)</f>
        <v>5028.579999999999</v>
      </c>
      <c r="I5" s="13">
        <f t="shared" si="0"/>
        <v>5028.579999999999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5028.579999999999</v>
      </c>
      <c r="BA5" s="15">
        <f t="shared" si="1"/>
        <v>5028.579999999999</v>
      </c>
      <c r="BB5" s="15">
        <f t="shared" si="1"/>
        <v>5028.579999999999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563.73</v>
      </c>
      <c r="F6" s="13" t="s">
        <v>0</v>
      </c>
      <c r="G6" s="13" t="s">
        <v>1</v>
      </c>
      <c r="H6" s="17">
        <f>SUMIF(I$12:AB$12,"总值",I6:AB6)</f>
        <v>563.73</v>
      </c>
      <c r="I6" s="13">
        <f t="shared" ref="I6:AB6" si="2">ROUND($A$3*I5/$B$3,2)</f>
        <v>563.73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563.73</v>
      </c>
      <c r="AZ6" s="13" t="s">
        <v>2</v>
      </c>
      <c r="BA6" s="13">
        <f>ROUND($AY$6*BA5/$AZ$5,2)</f>
        <v>563.73</v>
      </c>
      <c r="BB6" s="13">
        <f>ROUND($AY$6*BB5/$AZ$5,2)</f>
        <v>563.73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3388</v>
      </c>
      <c r="E13" s="13">
        <f>IF($C$3="是",ROUND($A$3*G13/$B$3,2),ROUND($A$3*(G13-AT13)/$B$3,2))</f>
        <v>1.38</v>
      </c>
      <c r="F13" s="29"/>
      <c r="G13" s="30">
        <f>H13+AC13+AT13</f>
        <v>12.28</v>
      </c>
      <c r="H13" s="17">
        <f>SUMIF(I$12:AB$12,"总值",I13:AB13)</f>
        <v>12.28</v>
      </c>
      <c r="I13" s="3447">
        <v>12.28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1.38</v>
      </c>
      <c r="AZ13" s="13">
        <f>BA13+BL13</f>
        <v>12.28</v>
      </c>
      <c r="BA13" s="13">
        <f>SUM(BB13:BK13)</f>
        <v>12.28</v>
      </c>
      <c r="BB13" s="13">
        <f>IF($D13="是",I13-J13,0)</f>
        <v>12.28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3388</v>
      </c>
      <c r="E14" s="13">
        <f>IF($C$3="是",ROUND($A$3*G14/$B$3,2),ROUND($A$3*(G14-AT14)/$B$3,2))</f>
        <v>1.38</v>
      </c>
      <c r="F14" s="29"/>
      <c r="G14" s="30">
        <f>H14+AC14+AT14</f>
        <v>12.28</v>
      </c>
      <c r="H14" s="17">
        <f>SUMIF(I$12:AB$12,"总值",I14:AB14)</f>
        <v>12.28</v>
      </c>
      <c r="I14" s="3447">
        <v>12.28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1.38</v>
      </c>
      <c r="AZ14" s="13">
        <f>BA14+BL14</f>
        <v>12.28</v>
      </c>
      <c r="BA14" s="13">
        <f>SUM(BB14:BK14)</f>
        <v>12.28</v>
      </c>
      <c r="BB14" s="13">
        <f>IF($D14="是",I14-J14,0)</f>
        <v>12.28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3388</v>
      </c>
      <c r="E15" s="13">
        <f>IF($C$3="是",ROUND($A$3*G15/$B$3,2),ROUND($A$3*(G15-AT15)/$B$3,2))</f>
        <v>1.38</v>
      </c>
      <c r="F15" s="29"/>
      <c r="G15" s="30">
        <f>H15+AC15+AT15</f>
        <v>12.28</v>
      </c>
      <c r="H15" s="17">
        <f>SUMIF(I$12:AB$12,"总值",I15:AB15)</f>
        <v>12.28</v>
      </c>
      <c r="I15" s="3447">
        <v>12.28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1.38</v>
      </c>
      <c r="AZ15" s="13">
        <f>BA15+BL15</f>
        <v>12.28</v>
      </c>
      <c r="BA15" s="13">
        <f>SUM(BB15:BK15)</f>
        <v>12.28</v>
      </c>
      <c r="BB15" s="13">
        <f>IF($D15="是",I15-J15,0)</f>
        <v>12.28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3388</v>
      </c>
      <c r="E16" s="13">
        <f>IF($C$3="是",ROUND($A$3*G16/$B$3,2),ROUND($A$3*(G16-AT16)/$B$3,2))</f>
        <v>1.38</v>
      </c>
      <c r="F16" s="29"/>
      <c r="G16" s="30">
        <f>H16+AC16+AT16</f>
        <v>12.28</v>
      </c>
      <c r="H16" s="17">
        <f>SUMIF(I$12:AB$12,"总值",I16:AB16)</f>
        <v>12.28</v>
      </c>
      <c r="I16" s="3447">
        <v>12.28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1.38</v>
      </c>
      <c r="AZ16" s="13">
        <f>BA16+BL16</f>
        <v>12.28</v>
      </c>
      <c r="BA16" s="13">
        <f>SUM(BB16:BK16)</f>
        <v>12.28</v>
      </c>
      <c r="BB16" s="13">
        <f>IF($D16="是",I16-J16,0)</f>
        <v>12.28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3388</v>
      </c>
      <c r="E17" s="13">
        <f>IF($C$3="是",ROUND($A$3*G17/$B$3,2),ROUND($A$3*(G17-AT17)/$B$3,2))</f>
        <v>1.38</v>
      </c>
      <c r="F17" s="29"/>
      <c r="G17" s="30">
        <f>H17+AC17+AT17</f>
        <v>12.28</v>
      </c>
      <c r="H17" s="17">
        <f>SUMIF(I$12:AB$12,"总值",I17:AB17)</f>
        <v>12.28</v>
      </c>
      <c r="I17" s="3447">
        <v>12.28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1.38</v>
      </c>
      <c r="AZ17" s="13">
        <f>BA17+BL17</f>
        <v>12.28</v>
      </c>
      <c r="BA17" s="13">
        <f>SUM(BB17:BK17)</f>
        <v>12.28</v>
      </c>
      <c r="BB17" s="13">
        <f>IF($D17="是",I17-J17,0)</f>
        <v>12.28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v>6</v>
      </c>
      <c r="D18" s="1625" t="s">
        <v>3388</v>
      </c>
      <c r="E18" s="32">
        <f t="shared" ref="E18:E112" si="7">IF($C$3="是",ROUND($A$3*G18/$B$3,2),ROUND($A$3*(G18-AT18)/$B$3,2))</f>
        <v>1.38</v>
      </c>
      <c r="F18" s="33"/>
      <c r="G18" s="34">
        <f t="shared" ref="G18:G109" si="8">H18+AC18+AT18</f>
        <v>12.28</v>
      </c>
      <c r="H18" s="35">
        <f t="shared" ref="H18:H109" si="9">SUMIF(I$12:AB$12,"总值",I18:AB18)</f>
        <v>12.28</v>
      </c>
      <c r="I18" s="3447">
        <v>12.28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1.38</v>
      </c>
      <c r="AZ18" s="32">
        <f t="shared" ref="AZ18:AZ109" si="15">BA18+BL18</f>
        <v>12.28</v>
      </c>
      <c r="BA18" s="32">
        <f t="shared" ref="BA18:BA109" si="16">SUM(BB18:BK18)</f>
        <v>12.28</v>
      </c>
      <c r="BB18" s="32">
        <f t="shared" ref="BB18:BB109" si="17">IF($D18="是",I18-J18,0)</f>
        <v>12.28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v>7</v>
      </c>
      <c r="D19" s="1625" t="s">
        <v>3388</v>
      </c>
      <c r="E19" s="32">
        <f t="shared" si="7"/>
        <v>1.38</v>
      </c>
      <c r="F19" s="33"/>
      <c r="G19" s="34">
        <f t="shared" si="8"/>
        <v>12.28</v>
      </c>
      <c r="H19" s="35">
        <f t="shared" si="9"/>
        <v>12.28</v>
      </c>
      <c r="I19" s="3447">
        <v>12.28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v>
      </c>
      <c r="AY19" s="39">
        <f t="shared" si="14"/>
        <v>1.38</v>
      </c>
      <c r="AZ19" s="32">
        <f t="shared" si="15"/>
        <v>12.28</v>
      </c>
      <c r="BA19" s="32">
        <f t="shared" si="16"/>
        <v>12.28</v>
      </c>
      <c r="BB19" s="32">
        <f t="shared" si="17"/>
        <v>12.28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v>8</v>
      </c>
      <c r="D20" s="1625" t="s">
        <v>3388</v>
      </c>
      <c r="E20" s="32">
        <f t="shared" si="7"/>
        <v>1.38</v>
      </c>
      <c r="F20" s="33"/>
      <c r="G20" s="34">
        <f t="shared" si="8"/>
        <v>12.28</v>
      </c>
      <c r="H20" s="35">
        <f t="shared" si="9"/>
        <v>12.28</v>
      </c>
      <c r="I20" s="3447">
        <v>12.28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8</v>
      </c>
      <c r="AY20" s="39">
        <f t="shared" si="14"/>
        <v>1.38</v>
      </c>
      <c r="AZ20" s="32">
        <f t="shared" si="15"/>
        <v>12.28</v>
      </c>
      <c r="BA20" s="32">
        <f t="shared" si="16"/>
        <v>12.28</v>
      </c>
      <c r="BB20" s="32">
        <f t="shared" si="17"/>
        <v>12.28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v>9</v>
      </c>
      <c r="D21" s="1625" t="s">
        <v>3388</v>
      </c>
      <c r="E21" s="32">
        <f t="shared" si="7"/>
        <v>1.38</v>
      </c>
      <c r="F21" s="33"/>
      <c r="G21" s="34">
        <f t="shared" si="8"/>
        <v>12.28</v>
      </c>
      <c r="H21" s="35">
        <f t="shared" si="9"/>
        <v>12.28</v>
      </c>
      <c r="I21" s="3447">
        <v>12.28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9</v>
      </c>
      <c r="AY21" s="39">
        <f t="shared" si="14"/>
        <v>1.38</v>
      </c>
      <c r="AZ21" s="32">
        <f t="shared" si="15"/>
        <v>12.28</v>
      </c>
      <c r="BA21" s="32">
        <f t="shared" si="16"/>
        <v>12.28</v>
      </c>
      <c r="BB21" s="32">
        <f t="shared" si="17"/>
        <v>12.28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v>10</v>
      </c>
      <c r="D22" s="1625" t="s">
        <v>3388</v>
      </c>
      <c r="E22" s="32">
        <f t="shared" si="7"/>
        <v>1.38</v>
      </c>
      <c r="F22" s="33"/>
      <c r="G22" s="34">
        <f t="shared" si="8"/>
        <v>12.28</v>
      </c>
      <c r="H22" s="35">
        <f t="shared" si="9"/>
        <v>12.28</v>
      </c>
      <c r="I22" s="3447">
        <v>12.28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10</v>
      </c>
      <c r="AY22" s="39">
        <f t="shared" si="14"/>
        <v>1.38</v>
      </c>
      <c r="AZ22" s="32">
        <f t="shared" si="15"/>
        <v>12.28</v>
      </c>
      <c r="BA22" s="32">
        <f t="shared" si="16"/>
        <v>12.28</v>
      </c>
      <c r="BB22" s="32">
        <f t="shared" si="17"/>
        <v>12.28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v>11</v>
      </c>
      <c r="D23" s="1625" t="s">
        <v>3388</v>
      </c>
      <c r="E23" s="32">
        <f t="shared" si="7"/>
        <v>1.38</v>
      </c>
      <c r="F23" s="33"/>
      <c r="G23" s="34">
        <f t="shared" si="8"/>
        <v>12.28</v>
      </c>
      <c r="H23" s="35">
        <f t="shared" si="9"/>
        <v>12.28</v>
      </c>
      <c r="I23" s="3447">
        <v>12.28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11</v>
      </c>
      <c r="AY23" s="39">
        <f t="shared" si="14"/>
        <v>1.38</v>
      </c>
      <c r="AZ23" s="32">
        <f t="shared" si="15"/>
        <v>12.28</v>
      </c>
      <c r="BA23" s="32">
        <f t="shared" si="16"/>
        <v>12.28</v>
      </c>
      <c r="BB23" s="32">
        <f t="shared" si="17"/>
        <v>12.28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v>12</v>
      </c>
      <c r="D24" s="1625" t="s">
        <v>3388</v>
      </c>
      <c r="E24" s="32">
        <f t="shared" si="7"/>
        <v>1.38</v>
      </c>
      <c r="F24" s="33"/>
      <c r="G24" s="34">
        <f t="shared" si="8"/>
        <v>12.28</v>
      </c>
      <c r="H24" s="35">
        <f t="shared" si="9"/>
        <v>12.28</v>
      </c>
      <c r="I24" s="3447">
        <v>12.28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12</v>
      </c>
      <c r="AY24" s="39">
        <f t="shared" si="14"/>
        <v>1.38</v>
      </c>
      <c r="AZ24" s="32">
        <f t="shared" si="15"/>
        <v>12.28</v>
      </c>
      <c r="BA24" s="32">
        <f t="shared" si="16"/>
        <v>12.28</v>
      </c>
      <c r="BB24" s="32">
        <f t="shared" si="17"/>
        <v>12.28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v>13</v>
      </c>
      <c r="D25" s="1625" t="s">
        <v>3388</v>
      </c>
      <c r="E25" s="32">
        <f t="shared" si="7"/>
        <v>3.59</v>
      </c>
      <c r="F25" s="33"/>
      <c r="G25" s="34">
        <f t="shared" si="8"/>
        <v>32.04</v>
      </c>
      <c r="H25" s="35">
        <f t="shared" si="9"/>
        <v>32.04</v>
      </c>
      <c r="I25" s="3447">
        <v>32.04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13</v>
      </c>
      <c r="AY25" s="39">
        <f t="shared" si="14"/>
        <v>3.59</v>
      </c>
      <c r="AZ25" s="32">
        <f t="shared" si="15"/>
        <v>32.04</v>
      </c>
      <c r="BA25" s="32">
        <f t="shared" si="16"/>
        <v>32.04</v>
      </c>
      <c r="BB25" s="32">
        <f t="shared" si="17"/>
        <v>32.04</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v>14</v>
      </c>
      <c r="D26" s="1625" t="s">
        <v>3388</v>
      </c>
      <c r="E26" s="32">
        <f t="shared" si="7"/>
        <v>4.8499999999999996</v>
      </c>
      <c r="F26" s="33"/>
      <c r="G26" s="34">
        <f t="shared" si="8"/>
        <v>43.3</v>
      </c>
      <c r="H26" s="35">
        <f t="shared" si="9"/>
        <v>43.3</v>
      </c>
      <c r="I26" s="3447">
        <v>43.3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14</v>
      </c>
      <c r="AY26" s="39">
        <f t="shared" si="14"/>
        <v>4.8499999999999996</v>
      </c>
      <c r="AZ26" s="32">
        <f t="shared" si="15"/>
        <v>43.3</v>
      </c>
      <c r="BA26" s="32">
        <f t="shared" si="16"/>
        <v>43.3</v>
      </c>
      <c r="BB26" s="32">
        <f t="shared" si="17"/>
        <v>43.3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1">
        <v>15</v>
      </c>
      <c r="D27" s="1625" t="s">
        <v>3388</v>
      </c>
      <c r="E27" s="32">
        <f t="shared" si="7"/>
        <v>4.7699999999999996</v>
      </c>
      <c r="F27" s="33"/>
      <c r="G27" s="34">
        <f t="shared" si="8"/>
        <v>42.59</v>
      </c>
      <c r="H27" s="35">
        <f t="shared" si="9"/>
        <v>42.59</v>
      </c>
      <c r="I27" s="3447">
        <v>42.59</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15</v>
      </c>
      <c r="AY27" s="39">
        <f t="shared" si="14"/>
        <v>4.7699999999999996</v>
      </c>
      <c r="AZ27" s="32">
        <f t="shared" si="15"/>
        <v>42.59</v>
      </c>
      <c r="BA27" s="32">
        <f t="shared" si="16"/>
        <v>42.59</v>
      </c>
      <c r="BB27" s="32">
        <f t="shared" si="17"/>
        <v>42.59</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1">
        <v>16</v>
      </c>
      <c r="D28" s="1625" t="s">
        <v>3388</v>
      </c>
      <c r="E28" s="32">
        <f t="shared" si="7"/>
        <v>4.93</v>
      </c>
      <c r="F28" s="33"/>
      <c r="G28" s="34">
        <f t="shared" si="8"/>
        <v>43.95</v>
      </c>
      <c r="H28" s="35">
        <f t="shared" si="9"/>
        <v>43.95</v>
      </c>
      <c r="I28" s="3447">
        <v>43.95</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16</v>
      </c>
      <c r="AY28" s="39">
        <f t="shared" si="14"/>
        <v>4.93</v>
      </c>
      <c r="AZ28" s="32">
        <f t="shared" si="15"/>
        <v>43.95</v>
      </c>
      <c r="BA28" s="32">
        <f t="shared" si="16"/>
        <v>43.95</v>
      </c>
      <c r="BB28" s="32">
        <f t="shared" si="17"/>
        <v>43.95</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v>17</v>
      </c>
      <c r="D29" s="1625" t="s">
        <v>3388</v>
      </c>
      <c r="E29" s="32">
        <f t="shared" si="7"/>
        <v>4.9000000000000004</v>
      </c>
      <c r="F29" s="33"/>
      <c r="G29" s="34">
        <f t="shared" si="8"/>
        <v>43.72</v>
      </c>
      <c r="H29" s="35">
        <f t="shared" si="9"/>
        <v>43.72</v>
      </c>
      <c r="I29" s="3447">
        <v>43.72</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17</v>
      </c>
      <c r="AY29" s="39">
        <f t="shared" si="14"/>
        <v>4.9000000000000004</v>
      </c>
      <c r="AZ29" s="32">
        <f t="shared" si="15"/>
        <v>43.72</v>
      </c>
      <c r="BA29" s="32">
        <f t="shared" si="16"/>
        <v>43.72</v>
      </c>
      <c r="BB29" s="32">
        <f t="shared" si="17"/>
        <v>43.72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1">
        <v>18</v>
      </c>
      <c r="D30" s="1625" t="s">
        <v>3388</v>
      </c>
      <c r="E30" s="32">
        <f t="shared" si="7"/>
        <v>5.03</v>
      </c>
      <c r="F30" s="33"/>
      <c r="G30" s="34">
        <f t="shared" si="8"/>
        <v>44.88</v>
      </c>
      <c r="H30" s="35">
        <f t="shared" si="9"/>
        <v>44.88</v>
      </c>
      <c r="I30" s="3447">
        <v>44.88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18</v>
      </c>
      <c r="AY30" s="39">
        <f t="shared" si="14"/>
        <v>5.03</v>
      </c>
      <c r="AZ30" s="32">
        <f t="shared" si="15"/>
        <v>44.88</v>
      </c>
      <c r="BA30" s="32">
        <f t="shared" si="16"/>
        <v>44.88</v>
      </c>
      <c r="BB30" s="32">
        <f t="shared" si="17"/>
        <v>44.88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1">
        <v>19</v>
      </c>
      <c r="D31" s="1625" t="s">
        <v>3388</v>
      </c>
      <c r="E31" s="32">
        <f t="shared" si="7"/>
        <v>4.82</v>
      </c>
      <c r="F31" s="33"/>
      <c r="G31" s="34">
        <f t="shared" si="8"/>
        <v>42.99</v>
      </c>
      <c r="H31" s="35">
        <f t="shared" si="9"/>
        <v>42.99</v>
      </c>
      <c r="I31" s="3447">
        <v>42.99</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19</v>
      </c>
      <c r="AY31" s="39">
        <f t="shared" si="14"/>
        <v>4.82</v>
      </c>
      <c r="AZ31" s="32">
        <f t="shared" si="15"/>
        <v>42.99</v>
      </c>
      <c r="BA31" s="32">
        <f t="shared" si="16"/>
        <v>42.99</v>
      </c>
      <c r="BB31" s="32">
        <f t="shared" si="17"/>
        <v>42.99</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v>20</v>
      </c>
      <c r="D32" s="1625" t="s">
        <v>3388</v>
      </c>
      <c r="E32" s="32">
        <f t="shared" si="7"/>
        <v>4.1399999999999997</v>
      </c>
      <c r="F32" s="33"/>
      <c r="G32" s="34">
        <f t="shared" si="8"/>
        <v>36.950000000000003</v>
      </c>
      <c r="H32" s="35">
        <f t="shared" si="9"/>
        <v>36.950000000000003</v>
      </c>
      <c r="I32" s="3447">
        <v>36.950000000000003</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20</v>
      </c>
      <c r="AY32" s="39">
        <f t="shared" si="14"/>
        <v>4.1399999999999997</v>
      </c>
      <c r="AZ32" s="32">
        <f t="shared" si="15"/>
        <v>36.950000000000003</v>
      </c>
      <c r="BA32" s="32">
        <f t="shared" si="16"/>
        <v>36.950000000000003</v>
      </c>
      <c r="BB32" s="32">
        <f t="shared" si="17"/>
        <v>36.950000000000003</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v>21</v>
      </c>
      <c r="D33" s="1625" t="s">
        <v>3388</v>
      </c>
      <c r="E33" s="32">
        <f t="shared" si="7"/>
        <v>1.96</v>
      </c>
      <c r="F33" s="33"/>
      <c r="G33" s="34">
        <f t="shared" si="8"/>
        <v>17.5</v>
      </c>
      <c r="H33" s="35">
        <f t="shared" si="9"/>
        <v>17.5</v>
      </c>
      <c r="I33" s="3447">
        <v>17.5</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21</v>
      </c>
      <c r="AY33" s="39">
        <f t="shared" si="14"/>
        <v>1.96</v>
      </c>
      <c r="AZ33" s="32">
        <f t="shared" si="15"/>
        <v>17.5</v>
      </c>
      <c r="BA33" s="32">
        <f t="shared" si="16"/>
        <v>17.5</v>
      </c>
      <c r="BB33" s="32">
        <f t="shared" si="17"/>
        <v>17.5</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1">
        <v>22</v>
      </c>
      <c r="D34" s="1625" t="s">
        <v>3388</v>
      </c>
      <c r="E34" s="32">
        <f t="shared" si="7"/>
        <v>1.64</v>
      </c>
      <c r="F34" s="33"/>
      <c r="G34" s="34">
        <f t="shared" si="8"/>
        <v>14.61</v>
      </c>
      <c r="H34" s="35">
        <f t="shared" si="9"/>
        <v>14.61</v>
      </c>
      <c r="I34" s="3447">
        <v>14.61</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22</v>
      </c>
      <c r="AY34" s="39">
        <f t="shared" si="14"/>
        <v>1.64</v>
      </c>
      <c r="AZ34" s="32">
        <f t="shared" si="15"/>
        <v>14.61</v>
      </c>
      <c r="BA34" s="32">
        <f t="shared" si="16"/>
        <v>14.61</v>
      </c>
      <c r="BB34" s="32">
        <f t="shared" si="17"/>
        <v>14.61</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1">
        <v>23</v>
      </c>
      <c r="D35" s="1625" t="s">
        <v>3388</v>
      </c>
      <c r="E35" s="32">
        <f t="shared" si="7"/>
        <v>1.64</v>
      </c>
      <c r="F35" s="33"/>
      <c r="G35" s="34">
        <f t="shared" si="8"/>
        <v>14.63</v>
      </c>
      <c r="H35" s="35">
        <f t="shared" si="9"/>
        <v>14.63</v>
      </c>
      <c r="I35" s="3447">
        <v>14.63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23</v>
      </c>
      <c r="AY35" s="39">
        <f t="shared" si="14"/>
        <v>1.64</v>
      </c>
      <c r="AZ35" s="32">
        <f t="shared" si="15"/>
        <v>14.63</v>
      </c>
      <c r="BA35" s="32">
        <f t="shared" si="16"/>
        <v>14.63</v>
      </c>
      <c r="BB35" s="32">
        <f t="shared" si="17"/>
        <v>14.63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1">
        <v>24</v>
      </c>
      <c r="D36" s="1625" t="s">
        <v>3388</v>
      </c>
      <c r="E36" s="32">
        <f t="shared" si="7"/>
        <v>1.65</v>
      </c>
      <c r="F36" s="33"/>
      <c r="G36" s="34">
        <f t="shared" si="8"/>
        <v>14.72</v>
      </c>
      <c r="H36" s="35">
        <f t="shared" si="9"/>
        <v>14.72</v>
      </c>
      <c r="I36" s="3447">
        <v>14.72</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24</v>
      </c>
      <c r="AY36" s="39">
        <f t="shared" si="14"/>
        <v>1.65</v>
      </c>
      <c r="AZ36" s="32">
        <f t="shared" si="15"/>
        <v>14.72</v>
      </c>
      <c r="BA36" s="32">
        <f t="shared" si="16"/>
        <v>14.72</v>
      </c>
      <c r="BB36" s="32">
        <f t="shared" si="17"/>
        <v>14.72</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1">
        <v>25</v>
      </c>
      <c r="D37" s="1625" t="s">
        <v>3388</v>
      </c>
      <c r="E37" s="32">
        <f t="shared" si="7"/>
        <v>1.61</v>
      </c>
      <c r="F37" s="33"/>
      <c r="G37" s="34">
        <f t="shared" si="8"/>
        <v>14.37</v>
      </c>
      <c r="H37" s="35">
        <f t="shared" si="9"/>
        <v>14.37</v>
      </c>
      <c r="I37" s="3447">
        <v>14.37</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25</v>
      </c>
      <c r="AY37" s="39">
        <f t="shared" si="14"/>
        <v>1.61</v>
      </c>
      <c r="AZ37" s="32">
        <f t="shared" si="15"/>
        <v>14.37</v>
      </c>
      <c r="BA37" s="32">
        <f t="shared" si="16"/>
        <v>14.37</v>
      </c>
      <c r="BB37" s="32">
        <f t="shared" si="17"/>
        <v>14.37</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1">
        <v>26</v>
      </c>
      <c r="D38" s="1625" t="s">
        <v>3388</v>
      </c>
      <c r="E38" s="32">
        <f t="shared" si="7"/>
        <v>1.35</v>
      </c>
      <c r="F38" s="33"/>
      <c r="G38" s="34">
        <f t="shared" si="8"/>
        <v>12.06</v>
      </c>
      <c r="H38" s="35">
        <f t="shared" si="9"/>
        <v>12.06</v>
      </c>
      <c r="I38" s="3447">
        <v>12.06</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26</v>
      </c>
      <c r="AY38" s="39">
        <f t="shared" si="14"/>
        <v>1.35</v>
      </c>
      <c r="AZ38" s="32">
        <f t="shared" si="15"/>
        <v>12.06</v>
      </c>
      <c r="BA38" s="32">
        <f t="shared" si="16"/>
        <v>12.06</v>
      </c>
      <c r="BB38" s="32">
        <f t="shared" si="17"/>
        <v>12.06</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1">
        <v>27</v>
      </c>
      <c r="D39" s="1625" t="s">
        <v>3388</v>
      </c>
      <c r="E39" s="32">
        <f t="shared" si="7"/>
        <v>1.61</v>
      </c>
      <c r="F39" s="33"/>
      <c r="G39" s="34">
        <f t="shared" si="8"/>
        <v>14.39</v>
      </c>
      <c r="H39" s="35">
        <f t="shared" si="9"/>
        <v>14.39</v>
      </c>
      <c r="I39" s="3448">
        <v>14.39</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27</v>
      </c>
      <c r="AY39" s="39">
        <f t="shared" si="14"/>
        <v>1.61</v>
      </c>
      <c r="AZ39" s="32">
        <f t="shared" si="15"/>
        <v>14.39</v>
      </c>
      <c r="BA39" s="32">
        <f t="shared" si="16"/>
        <v>14.39</v>
      </c>
      <c r="BB39" s="32">
        <f t="shared" si="17"/>
        <v>14.39</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51">
        <v>28</v>
      </c>
      <c r="D40" s="1625" t="s">
        <v>3388</v>
      </c>
      <c r="E40" s="32">
        <f t="shared" si="7"/>
        <v>1.68</v>
      </c>
      <c r="F40" s="33"/>
      <c r="G40" s="34">
        <f t="shared" si="8"/>
        <v>14.99</v>
      </c>
      <c r="H40" s="35">
        <f t="shared" si="9"/>
        <v>14.99</v>
      </c>
      <c r="I40" s="3448">
        <v>14.99</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28</v>
      </c>
      <c r="AY40" s="39">
        <f t="shared" si="14"/>
        <v>1.68</v>
      </c>
      <c r="AZ40" s="32">
        <f t="shared" si="15"/>
        <v>14.99</v>
      </c>
      <c r="BA40" s="32">
        <f t="shared" si="16"/>
        <v>14.99</v>
      </c>
      <c r="BB40" s="32">
        <f t="shared" si="17"/>
        <v>14.99</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51">
        <v>29</v>
      </c>
      <c r="D41" s="1625" t="s">
        <v>3388</v>
      </c>
      <c r="E41" s="32">
        <f t="shared" si="7"/>
        <v>1.65</v>
      </c>
      <c r="F41" s="33"/>
      <c r="G41" s="34">
        <f t="shared" si="8"/>
        <v>14.68</v>
      </c>
      <c r="H41" s="35">
        <f t="shared" si="9"/>
        <v>14.68</v>
      </c>
      <c r="I41" s="3448">
        <v>14.68</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29</v>
      </c>
      <c r="AY41" s="39">
        <f t="shared" si="14"/>
        <v>1.65</v>
      </c>
      <c r="AZ41" s="32">
        <f t="shared" si="15"/>
        <v>14.68</v>
      </c>
      <c r="BA41" s="32">
        <f t="shared" si="16"/>
        <v>14.68</v>
      </c>
      <c r="BB41" s="32">
        <f t="shared" si="17"/>
        <v>14.68</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51">
        <v>30</v>
      </c>
      <c r="D42" s="1625" t="s">
        <v>3388</v>
      </c>
      <c r="E42" s="32">
        <f t="shared" si="7"/>
        <v>1.63</v>
      </c>
      <c r="F42" s="33"/>
      <c r="G42" s="34">
        <f t="shared" si="8"/>
        <v>14.57</v>
      </c>
      <c r="H42" s="35">
        <f t="shared" si="9"/>
        <v>14.57</v>
      </c>
      <c r="I42" s="3448">
        <v>14.57</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30</v>
      </c>
      <c r="AY42" s="39">
        <f t="shared" si="14"/>
        <v>1.63</v>
      </c>
      <c r="AZ42" s="32">
        <f t="shared" si="15"/>
        <v>14.57</v>
      </c>
      <c r="BA42" s="32">
        <f t="shared" si="16"/>
        <v>14.57</v>
      </c>
      <c r="BB42" s="32">
        <f t="shared" si="17"/>
        <v>14.57</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51">
        <v>31</v>
      </c>
      <c r="D43" s="1625" t="s">
        <v>3388</v>
      </c>
      <c r="E43" s="32">
        <f t="shared" si="7"/>
        <v>1.67</v>
      </c>
      <c r="F43" s="33"/>
      <c r="G43" s="34">
        <f t="shared" si="8"/>
        <v>14.94</v>
      </c>
      <c r="H43" s="35">
        <f t="shared" si="9"/>
        <v>14.94</v>
      </c>
      <c r="I43" s="3448">
        <v>14.94</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31</v>
      </c>
      <c r="AY43" s="39">
        <f t="shared" si="14"/>
        <v>1.67</v>
      </c>
      <c r="AZ43" s="32">
        <f t="shared" si="15"/>
        <v>14.94</v>
      </c>
      <c r="BA43" s="32">
        <f t="shared" si="16"/>
        <v>14.94</v>
      </c>
      <c r="BB43" s="32">
        <f t="shared" si="17"/>
        <v>14.94</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51">
        <v>32</v>
      </c>
      <c r="D44" s="1625" t="s">
        <v>3388</v>
      </c>
      <c r="E44" s="32">
        <f t="shared" si="7"/>
        <v>1.37</v>
      </c>
      <c r="F44" s="33"/>
      <c r="G44" s="34">
        <f t="shared" si="8"/>
        <v>12.19</v>
      </c>
      <c r="H44" s="35">
        <f t="shared" si="9"/>
        <v>12.19</v>
      </c>
      <c r="I44" s="3448">
        <v>12.19</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32</v>
      </c>
      <c r="AY44" s="39">
        <f t="shared" si="14"/>
        <v>1.37</v>
      </c>
      <c r="AZ44" s="32">
        <f t="shared" si="15"/>
        <v>12.19</v>
      </c>
      <c r="BA44" s="32">
        <f t="shared" si="16"/>
        <v>12.19</v>
      </c>
      <c r="BB44" s="32">
        <f t="shared" si="17"/>
        <v>12.19</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51">
        <v>33</v>
      </c>
      <c r="D45" s="1625" t="s">
        <v>3388</v>
      </c>
      <c r="E45" s="32">
        <f t="shared" si="7"/>
        <v>1.62</v>
      </c>
      <c r="F45" s="33"/>
      <c r="G45" s="34">
        <f t="shared" si="8"/>
        <v>14.41</v>
      </c>
      <c r="H45" s="35">
        <f t="shared" si="9"/>
        <v>14.41</v>
      </c>
      <c r="I45" s="3448">
        <v>14.41</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33</v>
      </c>
      <c r="AY45" s="39">
        <f t="shared" si="14"/>
        <v>1.62</v>
      </c>
      <c r="AZ45" s="32">
        <f t="shared" si="15"/>
        <v>14.41</v>
      </c>
      <c r="BA45" s="32">
        <f t="shared" si="16"/>
        <v>14.41</v>
      </c>
      <c r="BB45" s="32">
        <f t="shared" si="17"/>
        <v>14.41</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51">
        <v>34</v>
      </c>
      <c r="D46" s="1625" t="s">
        <v>3388</v>
      </c>
      <c r="E46" s="32">
        <f t="shared" si="7"/>
        <v>1.57</v>
      </c>
      <c r="F46" s="33"/>
      <c r="G46" s="34">
        <f t="shared" si="8"/>
        <v>13.99</v>
      </c>
      <c r="H46" s="35">
        <f t="shared" si="9"/>
        <v>13.99</v>
      </c>
      <c r="I46" s="3448">
        <v>13.99</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34</v>
      </c>
      <c r="AY46" s="39">
        <f t="shared" si="14"/>
        <v>1.57</v>
      </c>
      <c r="AZ46" s="32">
        <f t="shared" si="15"/>
        <v>13.99</v>
      </c>
      <c r="BA46" s="32">
        <f t="shared" si="16"/>
        <v>13.99</v>
      </c>
      <c r="BB46" s="32">
        <f t="shared" si="17"/>
        <v>13.99</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51">
        <v>35</v>
      </c>
      <c r="D47" s="1625" t="s">
        <v>3388</v>
      </c>
      <c r="E47" s="32">
        <f t="shared" si="7"/>
        <v>1.59</v>
      </c>
      <c r="F47" s="33"/>
      <c r="G47" s="34">
        <f t="shared" si="8"/>
        <v>14.21</v>
      </c>
      <c r="H47" s="35">
        <f t="shared" si="9"/>
        <v>14.21</v>
      </c>
      <c r="I47" s="3448">
        <v>14.21</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35</v>
      </c>
      <c r="AY47" s="39">
        <f t="shared" si="14"/>
        <v>1.59</v>
      </c>
      <c r="AZ47" s="32">
        <f t="shared" si="15"/>
        <v>14.21</v>
      </c>
      <c r="BA47" s="32">
        <f t="shared" si="16"/>
        <v>14.21</v>
      </c>
      <c r="BB47" s="32">
        <f t="shared" si="17"/>
        <v>14.21</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51">
        <v>36</v>
      </c>
      <c r="D48" s="1625" t="s">
        <v>3388</v>
      </c>
      <c r="E48" s="32">
        <f t="shared" si="7"/>
        <v>1.6</v>
      </c>
      <c r="F48" s="33"/>
      <c r="G48" s="34">
        <f t="shared" si="8"/>
        <v>14.3</v>
      </c>
      <c r="H48" s="35">
        <f t="shared" si="9"/>
        <v>14.3</v>
      </c>
      <c r="I48" s="3448">
        <v>14.3</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36</v>
      </c>
      <c r="AY48" s="39">
        <f t="shared" si="14"/>
        <v>1.6</v>
      </c>
      <c r="AZ48" s="32">
        <f t="shared" si="15"/>
        <v>14.3</v>
      </c>
      <c r="BA48" s="32">
        <f t="shared" si="16"/>
        <v>14.3</v>
      </c>
      <c r="BB48" s="32">
        <f t="shared" si="17"/>
        <v>14.3</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51">
        <v>37</v>
      </c>
      <c r="D49" s="1625" t="s">
        <v>3388</v>
      </c>
      <c r="E49" s="32">
        <f t="shared" si="7"/>
        <v>1.92</v>
      </c>
      <c r="F49" s="33"/>
      <c r="G49" s="34">
        <f t="shared" si="8"/>
        <v>17.100000000000001</v>
      </c>
      <c r="H49" s="35">
        <f t="shared" si="9"/>
        <v>17.100000000000001</v>
      </c>
      <c r="I49" s="3448">
        <v>17.100000000000001</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37</v>
      </c>
      <c r="AY49" s="39">
        <f t="shared" si="14"/>
        <v>1.92</v>
      </c>
      <c r="AZ49" s="32">
        <f t="shared" si="15"/>
        <v>17.100000000000001</v>
      </c>
      <c r="BA49" s="32">
        <f t="shared" si="16"/>
        <v>17.100000000000001</v>
      </c>
      <c r="BB49" s="32">
        <f t="shared" si="17"/>
        <v>17.100000000000001</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51">
        <v>38</v>
      </c>
      <c r="D50" s="1625" t="s">
        <v>3388</v>
      </c>
      <c r="E50" s="32">
        <f t="shared" si="7"/>
        <v>3.69</v>
      </c>
      <c r="F50" s="33"/>
      <c r="G50" s="34">
        <f t="shared" si="8"/>
        <v>32.93</v>
      </c>
      <c r="H50" s="35">
        <f t="shared" si="9"/>
        <v>32.93</v>
      </c>
      <c r="I50" s="3448">
        <v>32.93</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38</v>
      </c>
      <c r="AY50" s="39">
        <f t="shared" si="14"/>
        <v>3.69</v>
      </c>
      <c r="AZ50" s="32">
        <f t="shared" si="15"/>
        <v>32.93</v>
      </c>
      <c r="BA50" s="32">
        <f t="shared" si="16"/>
        <v>32.93</v>
      </c>
      <c r="BB50" s="32">
        <f t="shared" si="17"/>
        <v>32.93</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51">
        <v>39</v>
      </c>
      <c r="D51" s="1625" t="s">
        <v>3388</v>
      </c>
      <c r="E51" s="32">
        <f t="shared" si="7"/>
        <v>2.29</v>
      </c>
      <c r="F51" s="33"/>
      <c r="G51" s="34">
        <f t="shared" si="8"/>
        <v>20.45</v>
      </c>
      <c r="H51" s="35">
        <f t="shared" si="9"/>
        <v>20.45</v>
      </c>
      <c r="I51" s="3448">
        <v>20.45</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39</v>
      </c>
      <c r="AY51" s="39">
        <f t="shared" si="14"/>
        <v>2.29</v>
      </c>
      <c r="AZ51" s="32">
        <f t="shared" si="15"/>
        <v>20.45</v>
      </c>
      <c r="BA51" s="32">
        <f t="shared" si="16"/>
        <v>20.45</v>
      </c>
      <c r="BB51" s="32">
        <f t="shared" si="17"/>
        <v>20.45</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51">
        <v>40</v>
      </c>
      <c r="D52" s="1625" t="s">
        <v>3388</v>
      </c>
      <c r="E52" s="32">
        <f t="shared" si="7"/>
        <v>2.39</v>
      </c>
      <c r="F52" s="33"/>
      <c r="G52" s="34">
        <f t="shared" si="8"/>
        <v>21.3</v>
      </c>
      <c r="H52" s="35">
        <f t="shared" si="9"/>
        <v>21.3</v>
      </c>
      <c r="I52" s="3448">
        <v>21.3</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40</v>
      </c>
      <c r="AY52" s="39">
        <f t="shared" si="14"/>
        <v>2.39</v>
      </c>
      <c r="AZ52" s="32">
        <f t="shared" si="15"/>
        <v>21.3</v>
      </c>
      <c r="BA52" s="32">
        <f t="shared" si="16"/>
        <v>21.3</v>
      </c>
      <c r="BB52" s="32">
        <f t="shared" si="17"/>
        <v>21.3</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51">
        <v>41</v>
      </c>
      <c r="D53" s="1625" t="s">
        <v>3388</v>
      </c>
      <c r="E53" s="32">
        <f t="shared" si="7"/>
        <v>1.53</v>
      </c>
      <c r="F53" s="33"/>
      <c r="G53" s="34">
        <f t="shared" si="8"/>
        <v>13.66</v>
      </c>
      <c r="H53" s="35">
        <f t="shared" si="9"/>
        <v>13.66</v>
      </c>
      <c r="I53" s="3448">
        <v>13.66</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41</v>
      </c>
      <c r="AY53" s="39">
        <f t="shared" si="14"/>
        <v>1.53</v>
      </c>
      <c r="AZ53" s="32">
        <f t="shared" si="15"/>
        <v>13.66</v>
      </c>
      <c r="BA53" s="32">
        <f t="shared" si="16"/>
        <v>13.66</v>
      </c>
      <c r="BB53" s="32">
        <f t="shared" si="17"/>
        <v>13.66</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51">
        <v>42</v>
      </c>
      <c r="D54" s="1625" t="s">
        <v>3388</v>
      </c>
      <c r="E54" s="32">
        <f t="shared" si="7"/>
        <v>1.64</v>
      </c>
      <c r="F54" s="33"/>
      <c r="G54" s="34">
        <f t="shared" si="8"/>
        <v>14.59</v>
      </c>
      <c r="H54" s="35">
        <f t="shared" si="9"/>
        <v>14.59</v>
      </c>
      <c r="I54" s="3448">
        <v>14.59</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42</v>
      </c>
      <c r="AY54" s="39">
        <f t="shared" si="14"/>
        <v>1.64</v>
      </c>
      <c r="AZ54" s="32">
        <f t="shared" si="15"/>
        <v>14.59</v>
      </c>
      <c r="BA54" s="32">
        <f t="shared" si="16"/>
        <v>14.59</v>
      </c>
      <c r="BB54" s="32">
        <f t="shared" si="17"/>
        <v>14.59</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51">
        <v>43</v>
      </c>
      <c r="D55" s="1625" t="s">
        <v>3388</v>
      </c>
      <c r="E55" s="32">
        <f t="shared" si="7"/>
        <v>5.89</v>
      </c>
      <c r="F55" s="33"/>
      <c r="G55" s="34">
        <f t="shared" si="8"/>
        <v>52.52</v>
      </c>
      <c r="H55" s="35">
        <f t="shared" si="9"/>
        <v>52.52</v>
      </c>
      <c r="I55" s="3448">
        <v>52.52</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43</v>
      </c>
      <c r="AY55" s="39">
        <f t="shared" si="14"/>
        <v>5.89</v>
      </c>
      <c r="AZ55" s="32">
        <f t="shared" si="15"/>
        <v>52.52</v>
      </c>
      <c r="BA55" s="32">
        <f t="shared" si="16"/>
        <v>52.52</v>
      </c>
      <c r="BB55" s="32">
        <f t="shared" si="17"/>
        <v>52.52</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51">
        <v>44</v>
      </c>
      <c r="D56" s="1625" t="s">
        <v>3388</v>
      </c>
      <c r="E56" s="32">
        <f t="shared" si="7"/>
        <v>5.98</v>
      </c>
      <c r="F56" s="33"/>
      <c r="G56" s="34">
        <f t="shared" si="8"/>
        <v>53.32</v>
      </c>
      <c r="H56" s="35">
        <f t="shared" si="9"/>
        <v>53.32</v>
      </c>
      <c r="I56" s="3448">
        <v>53.32</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44</v>
      </c>
      <c r="AY56" s="39">
        <f t="shared" si="14"/>
        <v>5.98</v>
      </c>
      <c r="AZ56" s="32">
        <f t="shared" si="15"/>
        <v>53.32</v>
      </c>
      <c r="BA56" s="32">
        <f t="shared" si="16"/>
        <v>53.32</v>
      </c>
      <c r="BB56" s="32">
        <f t="shared" si="17"/>
        <v>53.32</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51">
        <v>45</v>
      </c>
      <c r="D57" s="1625" t="s">
        <v>3388</v>
      </c>
      <c r="E57" s="32">
        <f t="shared" si="7"/>
        <v>5.25</v>
      </c>
      <c r="F57" s="33"/>
      <c r="G57" s="34">
        <f t="shared" si="8"/>
        <v>46.81</v>
      </c>
      <c r="H57" s="35">
        <f t="shared" si="9"/>
        <v>46.81</v>
      </c>
      <c r="I57" s="3448">
        <v>46.81</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45</v>
      </c>
      <c r="AY57" s="39">
        <f t="shared" si="14"/>
        <v>5.25</v>
      </c>
      <c r="AZ57" s="32">
        <f t="shared" si="15"/>
        <v>46.81</v>
      </c>
      <c r="BA57" s="32">
        <f t="shared" si="16"/>
        <v>46.81</v>
      </c>
      <c r="BB57" s="32">
        <f t="shared" si="17"/>
        <v>46.81</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51">
        <v>46</v>
      </c>
      <c r="D58" s="1625" t="s">
        <v>3388</v>
      </c>
      <c r="E58" s="32">
        <f t="shared" si="7"/>
        <v>5.25</v>
      </c>
      <c r="F58" s="33"/>
      <c r="G58" s="34">
        <f t="shared" si="8"/>
        <v>46.81</v>
      </c>
      <c r="H58" s="35">
        <f t="shared" si="9"/>
        <v>46.81</v>
      </c>
      <c r="I58" s="3448">
        <v>46.81</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46</v>
      </c>
      <c r="AY58" s="39">
        <f t="shared" si="14"/>
        <v>5.25</v>
      </c>
      <c r="AZ58" s="32">
        <f t="shared" si="15"/>
        <v>46.81</v>
      </c>
      <c r="BA58" s="32">
        <f t="shared" si="16"/>
        <v>46.81</v>
      </c>
      <c r="BB58" s="32">
        <f t="shared" si="17"/>
        <v>46.81</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51">
        <v>47</v>
      </c>
      <c r="D59" s="1625" t="s">
        <v>3388</v>
      </c>
      <c r="E59" s="32">
        <f t="shared" si="7"/>
        <v>5.25</v>
      </c>
      <c r="F59" s="33"/>
      <c r="G59" s="34">
        <f t="shared" si="8"/>
        <v>46.81</v>
      </c>
      <c r="H59" s="35">
        <f t="shared" si="9"/>
        <v>46.81</v>
      </c>
      <c r="I59" s="3448">
        <v>46.81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47</v>
      </c>
      <c r="AY59" s="39">
        <f t="shared" si="14"/>
        <v>5.25</v>
      </c>
      <c r="AZ59" s="32">
        <f t="shared" si="15"/>
        <v>46.81</v>
      </c>
      <c r="BA59" s="32">
        <f t="shared" si="16"/>
        <v>46.81</v>
      </c>
      <c r="BB59" s="32">
        <f t="shared" si="17"/>
        <v>46.81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51">
        <v>48</v>
      </c>
      <c r="D60" s="1625" t="s">
        <v>3388</v>
      </c>
      <c r="E60" s="32">
        <f t="shared" si="7"/>
        <v>1.1399999999999999</v>
      </c>
      <c r="F60" s="33"/>
      <c r="G60" s="34">
        <f t="shared" si="8"/>
        <v>10.210000000000001</v>
      </c>
      <c r="H60" s="35">
        <f t="shared" si="9"/>
        <v>10.210000000000001</v>
      </c>
      <c r="I60" s="3448">
        <v>10.210000000000001</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48</v>
      </c>
      <c r="AY60" s="39">
        <f t="shared" si="14"/>
        <v>1.1399999999999999</v>
      </c>
      <c r="AZ60" s="32">
        <f t="shared" si="15"/>
        <v>10.210000000000001</v>
      </c>
      <c r="BA60" s="32">
        <f t="shared" si="16"/>
        <v>10.210000000000001</v>
      </c>
      <c r="BB60" s="32">
        <f t="shared" si="17"/>
        <v>10.210000000000001</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51">
        <v>49</v>
      </c>
      <c r="D61" s="1625" t="s">
        <v>3388</v>
      </c>
      <c r="E61" s="32">
        <f t="shared" si="7"/>
        <v>1.05</v>
      </c>
      <c r="F61" s="33"/>
      <c r="G61" s="34">
        <f t="shared" si="8"/>
        <v>9.33</v>
      </c>
      <c r="H61" s="35">
        <f t="shared" si="9"/>
        <v>9.33</v>
      </c>
      <c r="I61" s="3448">
        <v>9.33</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49</v>
      </c>
      <c r="AY61" s="39">
        <f t="shared" si="14"/>
        <v>1.05</v>
      </c>
      <c r="AZ61" s="32">
        <f t="shared" si="15"/>
        <v>9.33</v>
      </c>
      <c r="BA61" s="32">
        <f t="shared" si="16"/>
        <v>9.33</v>
      </c>
      <c r="BB61" s="32">
        <f t="shared" si="17"/>
        <v>9.33</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51">
        <v>50</v>
      </c>
      <c r="D62" s="1625" t="s">
        <v>3388</v>
      </c>
      <c r="E62" s="32">
        <f t="shared" si="7"/>
        <v>1.05</v>
      </c>
      <c r="F62" s="33"/>
      <c r="G62" s="34">
        <f t="shared" si="8"/>
        <v>9.33</v>
      </c>
      <c r="H62" s="35">
        <f t="shared" si="9"/>
        <v>9.33</v>
      </c>
      <c r="I62" s="3448">
        <v>9.33</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50</v>
      </c>
      <c r="AY62" s="39">
        <f t="shared" si="14"/>
        <v>1.05</v>
      </c>
      <c r="AZ62" s="32">
        <f t="shared" si="15"/>
        <v>9.33</v>
      </c>
      <c r="BA62" s="32">
        <f t="shared" si="16"/>
        <v>9.33</v>
      </c>
      <c r="BB62" s="32">
        <f t="shared" si="17"/>
        <v>9.33</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51">
        <v>51</v>
      </c>
      <c r="D63" s="1625" t="s">
        <v>3388</v>
      </c>
      <c r="E63" s="32">
        <f t="shared" si="7"/>
        <v>1.08</v>
      </c>
      <c r="F63" s="33"/>
      <c r="G63" s="34">
        <f t="shared" si="8"/>
        <v>9.59</v>
      </c>
      <c r="H63" s="35">
        <f t="shared" si="9"/>
        <v>9.59</v>
      </c>
      <c r="I63" s="3448">
        <v>9.59</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51</v>
      </c>
      <c r="AY63" s="39">
        <f t="shared" si="14"/>
        <v>1.08</v>
      </c>
      <c r="AZ63" s="32">
        <f t="shared" si="15"/>
        <v>9.59</v>
      </c>
      <c r="BA63" s="32">
        <f t="shared" si="16"/>
        <v>9.59</v>
      </c>
      <c r="BB63" s="32">
        <f t="shared" si="17"/>
        <v>9.59</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51">
        <v>52</v>
      </c>
      <c r="D64" s="1625" t="s">
        <v>3388</v>
      </c>
      <c r="E64" s="32">
        <f t="shared" si="7"/>
        <v>1.08</v>
      </c>
      <c r="F64" s="33"/>
      <c r="G64" s="34">
        <f t="shared" si="8"/>
        <v>9.59</v>
      </c>
      <c r="H64" s="35">
        <f t="shared" si="9"/>
        <v>9.59</v>
      </c>
      <c r="I64" s="3448">
        <v>9.59</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52</v>
      </c>
      <c r="AY64" s="39">
        <f t="shared" si="14"/>
        <v>1.08</v>
      </c>
      <c r="AZ64" s="32">
        <f t="shared" si="15"/>
        <v>9.59</v>
      </c>
      <c r="BA64" s="32">
        <f t="shared" si="16"/>
        <v>9.59</v>
      </c>
      <c r="BB64" s="32">
        <f t="shared" si="17"/>
        <v>9.59</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51">
        <v>53</v>
      </c>
      <c r="D65" s="1625" t="s">
        <v>3388</v>
      </c>
      <c r="E65" s="32">
        <f t="shared" si="7"/>
        <v>1.5</v>
      </c>
      <c r="F65" s="33"/>
      <c r="G65" s="34">
        <f t="shared" si="8"/>
        <v>13.37</v>
      </c>
      <c r="H65" s="35">
        <f t="shared" si="9"/>
        <v>13.37</v>
      </c>
      <c r="I65" s="3449">
        <v>13.37</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53</v>
      </c>
      <c r="AY65" s="39">
        <f t="shared" si="14"/>
        <v>1.5</v>
      </c>
      <c r="AZ65" s="32">
        <f t="shared" si="15"/>
        <v>13.37</v>
      </c>
      <c r="BA65" s="32">
        <f t="shared" si="16"/>
        <v>13.37</v>
      </c>
      <c r="BB65" s="32">
        <f t="shared" si="17"/>
        <v>13.37</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51">
        <v>54</v>
      </c>
      <c r="D66" s="1625" t="s">
        <v>3388</v>
      </c>
      <c r="E66" s="32">
        <f t="shared" si="7"/>
        <v>1.0900000000000001</v>
      </c>
      <c r="F66" s="33"/>
      <c r="G66" s="34">
        <f t="shared" si="8"/>
        <v>9.73</v>
      </c>
      <c r="H66" s="35">
        <f t="shared" si="9"/>
        <v>9.73</v>
      </c>
      <c r="I66" s="3449">
        <v>9.73</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54</v>
      </c>
      <c r="AY66" s="39">
        <f t="shared" si="14"/>
        <v>1.0900000000000001</v>
      </c>
      <c r="AZ66" s="32">
        <f t="shared" si="15"/>
        <v>9.73</v>
      </c>
      <c r="BA66" s="32">
        <f t="shared" si="16"/>
        <v>9.73</v>
      </c>
      <c r="BB66" s="32">
        <f t="shared" si="17"/>
        <v>9.73</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51">
        <v>55</v>
      </c>
      <c r="D67" s="1625" t="s">
        <v>3388</v>
      </c>
      <c r="E67" s="32">
        <f t="shared" si="7"/>
        <v>1.1000000000000001</v>
      </c>
      <c r="F67" s="33"/>
      <c r="G67" s="34">
        <f t="shared" si="8"/>
        <v>9.82</v>
      </c>
      <c r="H67" s="35">
        <f t="shared" si="9"/>
        <v>9.82</v>
      </c>
      <c r="I67" s="3449">
        <v>9.82</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55</v>
      </c>
      <c r="AY67" s="39">
        <f t="shared" si="14"/>
        <v>1.1000000000000001</v>
      </c>
      <c r="AZ67" s="32">
        <f t="shared" si="15"/>
        <v>9.82</v>
      </c>
      <c r="BA67" s="32">
        <f t="shared" si="16"/>
        <v>9.82</v>
      </c>
      <c r="BB67" s="32">
        <f t="shared" si="17"/>
        <v>9.82</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51">
        <v>56</v>
      </c>
      <c r="D68" s="1625" t="s">
        <v>3388</v>
      </c>
      <c r="E68" s="32">
        <f t="shared" si="7"/>
        <v>1.1200000000000001</v>
      </c>
      <c r="F68" s="33"/>
      <c r="G68" s="34">
        <f t="shared" si="8"/>
        <v>9.99</v>
      </c>
      <c r="H68" s="35">
        <f t="shared" si="9"/>
        <v>9.99</v>
      </c>
      <c r="I68" s="3449">
        <v>9.99</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56</v>
      </c>
      <c r="AY68" s="39">
        <f t="shared" si="14"/>
        <v>1.1200000000000001</v>
      </c>
      <c r="AZ68" s="32">
        <f t="shared" si="15"/>
        <v>9.99</v>
      </c>
      <c r="BA68" s="32">
        <f t="shared" si="16"/>
        <v>9.99</v>
      </c>
      <c r="BB68" s="32">
        <f t="shared" si="17"/>
        <v>9.99</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51">
        <v>57</v>
      </c>
      <c r="D69" s="1625" t="s">
        <v>3388</v>
      </c>
      <c r="E69" s="32">
        <f t="shared" si="7"/>
        <v>1.1200000000000001</v>
      </c>
      <c r="F69" s="33"/>
      <c r="G69" s="34">
        <f t="shared" si="8"/>
        <v>9.99</v>
      </c>
      <c r="H69" s="35">
        <f t="shared" si="9"/>
        <v>9.99</v>
      </c>
      <c r="I69" s="3449">
        <v>9.99</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57</v>
      </c>
      <c r="AY69" s="39">
        <f t="shared" si="14"/>
        <v>1.1200000000000001</v>
      </c>
      <c r="AZ69" s="32">
        <f t="shared" si="15"/>
        <v>9.99</v>
      </c>
      <c r="BA69" s="32">
        <f t="shared" si="16"/>
        <v>9.99</v>
      </c>
      <c r="BB69" s="32">
        <f t="shared" si="17"/>
        <v>9.99</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51">
        <v>58</v>
      </c>
      <c r="D70" s="1625" t="s">
        <v>3388</v>
      </c>
      <c r="E70" s="32">
        <f t="shared" si="7"/>
        <v>1.1200000000000001</v>
      </c>
      <c r="F70" s="33"/>
      <c r="G70" s="34">
        <f t="shared" si="8"/>
        <v>9.99</v>
      </c>
      <c r="H70" s="35">
        <f t="shared" si="9"/>
        <v>9.99</v>
      </c>
      <c r="I70" s="3449">
        <v>9.99</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58</v>
      </c>
      <c r="AY70" s="39">
        <f t="shared" si="14"/>
        <v>1.1200000000000001</v>
      </c>
      <c r="AZ70" s="32">
        <f t="shared" si="15"/>
        <v>9.99</v>
      </c>
      <c r="BA70" s="32">
        <f t="shared" si="16"/>
        <v>9.99</v>
      </c>
      <c r="BB70" s="32">
        <f t="shared" si="17"/>
        <v>9.99</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51">
        <v>59</v>
      </c>
      <c r="D71" s="1625" t="s">
        <v>3388</v>
      </c>
      <c r="E71" s="32">
        <f t="shared" si="7"/>
        <v>1.1100000000000001</v>
      </c>
      <c r="F71" s="33"/>
      <c r="G71" s="34">
        <f t="shared" si="8"/>
        <v>9.9</v>
      </c>
      <c r="H71" s="35">
        <f t="shared" si="9"/>
        <v>9.9</v>
      </c>
      <c r="I71" s="3449">
        <v>9.9</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59</v>
      </c>
      <c r="AY71" s="39">
        <f t="shared" si="14"/>
        <v>1.1100000000000001</v>
      </c>
      <c r="AZ71" s="32">
        <f t="shared" si="15"/>
        <v>9.9</v>
      </c>
      <c r="BA71" s="32">
        <f t="shared" si="16"/>
        <v>9.9</v>
      </c>
      <c r="BB71" s="32">
        <f t="shared" si="17"/>
        <v>9.9</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51">
        <v>60</v>
      </c>
      <c r="D72" s="1625" t="s">
        <v>3388</v>
      </c>
      <c r="E72" s="32">
        <f t="shared" si="7"/>
        <v>1.1499999999999999</v>
      </c>
      <c r="F72" s="33"/>
      <c r="G72" s="34">
        <f t="shared" si="8"/>
        <v>10.28</v>
      </c>
      <c r="H72" s="35">
        <f t="shared" si="9"/>
        <v>10.28</v>
      </c>
      <c r="I72" s="3449">
        <v>10.28</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60</v>
      </c>
      <c r="AY72" s="39">
        <f t="shared" si="14"/>
        <v>1.1499999999999999</v>
      </c>
      <c r="AZ72" s="32">
        <f t="shared" si="15"/>
        <v>10.28</v>
      </c>
      <c r="BA72" s="32">
        <f t="shared" si="16"/>
        <v>10.28</v>
      </c>
      <c r="BB72" s="32">
        <f t="shared" si="17"/>
        <v>10.28</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1051">
        <v>61</v>
      </c>
      <c r="D73" s="1625" t="s">
        <v>3388</v>
      </c>
      <c r="E73" s="32">
        <f t="shared" si="7"/>
        <v>1.1000000000000001</v>
      </c>
      <c r="F73" s="33"/>
      <c r="G73" s="34">
        <f t="shared" si="8"/>
        <v>9.82</v>
      </c>
      <c r="H73" s="35">
        <f t="shared" si="9"/>
        <v>9.82</v>
      </c>
      <c r="I73" s="3449">
        <v>9.82</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61</v>
      </c>
      <c r="AY73" s="39">
        <f t="shared" si="14"/>
        <v>1.1000000000000001</v>
      </c>
      <c r="AZ73" s="32">
        <f t="shared" si="15"/>
        <v>9.82</v>
      </c>
      <c r="BA73" s="32">
        <f t="shared" si="16"/>
        <v>9.82</v>
      </c>
      <c r="BB73" s="32">
        <f t="shared" si="17"/>
        <v>9.82</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1051">
        <v>62</v>
      </c>
      <c r="D74" s="1625" t="s">
        <v>3388</v>
      </c>
      <c r="E74" s="32">
        <f t="shared" si="7"/>
        <v>1.31</v>
      </c>
      <c r="F74" s="33"/>
      <c r="G74" s="34">
        <f t="shared" si="8"/>
        <v>11.7</v>
      </c>
      <c r="H74" s="35">
        <f t="shared" si="9"/>
        <v>11.7</v>
      </c>
      <c r="I74" s="3449">
        <v>11.7</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62</v>
      </c>
      <c r="AY74" s="39">
        <f t="shared" si="14"/>
        <v>1.31</v>
      </c>
      <c r="AZ74" s="32">
        <f t="shared" si="15"/>
        <v>11.7</v>
      </c>
      <c r="BA74" s="32">
        <f t="shared" si="16"/>
        <v>11.7</v>
      </c>
      <c r="BB74" s="32">
        <f t="shared" si="17"/>
        <v>11.7</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1051">
        <v>63</v>
      </c>
      <c r="D75" s="1625" t="s">
        <v>3388</v>
      </c>
      <c r="E75" s="32">
        <f t="shared" si="7"/>
        <v>1.42</v>
      </c>
      <c r="F75" s="33"/>
      <c r="G75" s="34">
        <f t="shared" si="8"/>
        <v>12.66</v>
      </c>
      <c r="H75" s="35">
        <f t="shared" si="9"/>
        <v>12.66</v>
      </c>
      <c r="I75" s="3449">
        <v>12.66</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63</v>
      </c>
      <c r="AY75" s="39">
        <f t="shared" si="14"/>
        <v>1.42</v>
      </c>
      <c r="AZ75" s="32">
        <f t="shared" si="15"/>
        <v>12.66</v>
      </c>
      <c r="BA75" s="32">
        <f t="shared" si="16"/>
        <v>12.66</v>
      </c>
      <c r="BB75" s="32">
        <f t="shared" si="17"/>
        <v>12.66</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1051">
        <v>64</v>
      </c>
      <c r="D76" s="1625" t="s">
        <v>3388</v>
      </c>
      <c r="E76" s="32">
        <f t="shared" si="7"/>
        <v>1.38</v>
      </c>
      <c r="F76" s="33"/>
      <c r="G76" s="34">
        <f t="shared" si="8"/>
        <v>12.35</v>
      </c>
      <c r="H76" s="35">
        <f t="shared" si="9"/>
        <v>12.35</v>
      </c>
      <c r="I76" s="3449">
        <v>12.35</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64</v>
      </c>
      <c r="AY76" s="39">
        <f t="shared" si="14"/>
        <v>1.38</v>
      </c>
      <c r="AZ76" s="32">
        <f t="shared" si="15"/>
        <v>12.35</v>
      </c>
      <c r="BA76" s="32">
        <f t="shared" si="16"/>
        <v>12.35</v>
      </c>
      <c r="BB76" s="32">
        <f t="shared" si="17"/>
        <v>12.35</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1051">
        <v>65</v>
      </c>
      <c r="D77" s="1625" t="s">
        <v>3388</v>
      </c>
      <c r="E77" s="32">
        <f t="shared" si="7"/>
        <v>1.61</v>
      </c>
      <c r="F77" s="33"/>
      <c r="G77" s="34">
        <f t="shared" si="8"/>
        <v>14.35</v>
      </c>
      <c r="H77" s="35">
        <f t="shared" si="9"/>
        <v>14.35</v>
      </c>
      <c r="I77" s="3449">
        <v>14.35</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65</v>
      </c>
      <c r="AY77" s="39">
        <f t="shared" si="14"/>
        <v>1.61</v>
      </c>
      <c r="AZ77" s="32">
        <f t="shared" si="15"/>
        <v>14.35</v>
      </c>
      <c r="BA77" s="32">
        <f t="shared" si="16"/>
        <v>14.35</v>
      </c>
      <c r="BB77" s="32">
        <f t="shared" si="17"/>
        <v>14.35</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1051">
        <v>66</v>
      </c>
      <c r="D78" s="1625" t="s">
        <v>3388</v>
      </c>
      <c r="E78" s="32">
        <f t="shared" si="7"/>
        <v>1.5</v>
      </c>
      <c r="F78" s="33"/>
      <c r="G78" s="34">
        <f t="shared" si="8"/>
        <v>13.39</v>
      </c>
      <c r="H78" s="35">
        <f t="shared" si="9"/>
        <v>13.39</v>
      </c>
      <c r="I78" s="3449">
        <v>13.39</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66</v>
      </c>
      <c r="AY78" s="39">
        <f t="shared" si="14"/>
        <v>1.5</v>
      </c>
      <c r="AZ78" s="32">
        <f t="shared" si="15"/>
        <v>13.39</v>
      </c>
      <c r="BA78" s="32">
        <f t="shared" si="16"/>
        <v>13.39</v>
      </c>
      <c r="BB78" s="32">
        <f t="shared" si="17"/>
        <v>13.39</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1051">
        <v>67</v>
      </c>
      <c r="D79" s="1625" t="s">
        <v>3388</v>
      </c>
      <c r="E79" s="32">
        <f t="shared" si="7"/>
        <v>1.42</v>
      </c>
      <c r="F79" s="33"/>
      <c r="G79" s="34">
        <f t="shared" si="8"/>
        <v>12.7</v>
      </c>
      <c r="H79" s="35">
        <f t="shared" si="9"/>
        <v>12.7</v>
      </c>
      <c r="I79" s="3449">
        <v>12.7</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67</v>
      </c>
      <c r="AY79" s="39">
        <f t="shared" si="14"/>
        <v>1.42</v>
      </c>
      <c r="AZ79" s="32">
        <f t="shared" si="15"/>
        <v>12.7</v>
      </c>
      <c r="BA79" s="32">
        <f t="shared" si="16"/>
        <v>12.7</v>
      </c>
      <c r="BB79" s="32">
        <f t="shared" si="17"/>
        <v>12.7</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1051">
        <v>68</v>
      </c>
      <c r="D80" s="1625" t="s">
        <v>3388</v>
      </c>
      <c r="E80" s="32">
        <f t="shared" si="7"/>
        <v>1.41</v>
      </c>
      <c r="F80" s="33"/>
      <c r="G80" s="34">
        <f t="shared" si="8"/>
        <v>12.61</v>
      </c>
      <c r="H80" s="35">
        <f t="shared" si="9"/>
        <v>12.61</v>
      </c>
      <c r="I80" s="3449">
        <v>12.61</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68</v>
      </c>
      <c r="AY80" s="39">
        <f t="shared" si="14"/>
        <v>1.41</v>
      </c>
      <c r="AZ80" s="32">
        <f t="shared" si="15"/>
        <v>12.61</v>
      </c>
      <c r="BA80" s="32">
        <f t="shared" si="16"/>
        <v>12.61</v>
      </c>
      <c r="BB80" s="32">
        <f t="shared" si="17"/>
        <v>12.61</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1051">
        <v>69</v>
      </c>
      <c r="D81" s="1625" t="s">
        <v>3388</v>
      </c>
      <c r="E81" s="32">
        <f t="shared" si="7"/>
        <v>1.52</v>
      </c>
      <c r="F81" s="33"/>
      <c r="G81" s="34">
        <f t="shared" si="8"/>
        <v>13.59</v>
      </c>
      <c r="H81" s="35">
        <f t="shared" si="9"/>
        <v>13.59</v>
      </c>
      <c r="I81" s="3449">
        <v>13.59</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69</v>
      </c>
      <c r="AY81" s="39">
        <f t="shared" si="14"/>
        <v>1.52</v>
      </c>
      <c r="AZ81" s="32">
        <f t="shared" si="15"/>
        <v>13.59</v>
      </c>
      <c r="BA81" s="32">
        <f t="shared" si="16"/>
        <v>13.59</v>
      </c>
      <c r="BB81" s="32">
        <f t="shared" si="17"/>
        <v>13.59</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1051">
        <v>70</v>
      </c>
      <c r="D82" s="1625" t="s">
        <v>3388</v>
      </c>
      <c r="E82" s="32">
        <f t="shared" si="7"/>
        <v>1.59</v>
      </c>
      <c r="F82" s="33"/>
      <c r="G82" s="34">
        <f t="shared" si="8"/>
        <v>14.17</v>
      </c>
      <c r="H82" s="35">
        <f t="shared" si="9"/>
        <v>14.17</v>
      </c>
      <c r="I82" s="3449">
        <v>14.17</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70</v>
      </c>
      <c r="AY82" s="39">
        <f t="shared" si="14"/>
        <v>1.59</v>
      </c>
      <c r="AZ82" s="32">
        <f t="shared" si="15"/>
        <v>14.17</v>
      </c>
      <c r="BA82" s="32">
        <f t="shared" si="16"/>
        <v>14.17</v>
      </c>
      <c r="BB82" s="32">
        <f t="shared" si="17"/>
        <v>14.17</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1051">
        <v>71</v>
      </c>
      <c r="D83" s="1625" t="s">
        <v>3388</v>
      </c>
      <c r="E83" s="32">
        <f t="shared" si="7"/>
        <v>1.32</v>
      </c>
      <c r="F83" s="33"/>
      <c r="G83" s="34">
        <f t="shared" si="8"/>
        <v>11.77</v>
      </c>
      <c r="H83" s="35">
        <f t="shared" si="9"/>
        <v>11.77</v>
      </c>
      <c r="I83" s="3449">
        <v>11.77</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71</v>
      </c>
      <c r="AY83" s="39">
        <f t="shared" si="14"/>
        <v>1.32</v>
      </c>
      <c r="AZ83" s="32">
        <f t="shared" si="15"/>
        <v>11.77</v>
      </c>
      <c r="BA83" s="32">
        <f t="shared" si="16"/>
        <v>11.77</v>
      </c>
      <c r="BB83" s="32">
        <f t="shared" si="17"/>
        <v>11.77</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1051">
        <v>72</v>
      </c>
      <c r="D84" s="1625" t="s">
        <v>3388</v>
      </c>
      <c r="E84" s="32">
        <f t="shared" si="7"/>
        <v>1.59</v>
      </c>
      <c r="F84" s="33"/>
      <c r="G84" s="34">
        <f t="shared" si="8"/>
        <v>14.17</v>
      </c>
      <c r="H84" s="35">
        <f t="shared" si="9"/>
        <v>14.17</v>
      </c>
      <c r="I84" s="3449">
        <v>14.17</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72</v>
      </c>
      <c r="AY84" s="39">
        <f t="shared" si="14"/>
        <v>1.59</v>
      </c>
      <c r="AZ84" s="32">
        <f t="shared" si="15"/>
        <v>14.17</v>
      </c>
      <c r="BA84" s="32">
        <f t="shared" si="16"/>
        <v>14.17</v>
      </c>
      <c r="BB84" s="32">
        <f t="shared" si="17"/>
        <v>14.17</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1051">
        <v>73</v>
      </c>
      <c r="D85" s="1625" t="s">
        <v>3388</v>
      </c>
      <c r="E85" s="32">
        <f t="shared" si="7"/>
        <v>1.94</v>
      </c>
      <c r="F85" s="33"/>
      <c r="G85" s="34">
        <f t="shared" si="8"/>
        <v>17.3</v>
      </c>
      <c r="H85" s="35">
        <f t="shared" si="9"/>
        <v>17.3</v>
      </c>
      <c r="I85" s="3449">
        <v>17.3</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73</v>
      </c>
      <c r="AY85" s="39">
        <f t="shared" si="14"/>
        <v>1.94</v>
      </c>
      <c r="AZ85" s="32">
        <f t="shared" si="15"/>
        <v>17.3</v>
      </c>
      <c r="BA85" s="32">
        <f t="shared" si="16"/>
        <v>17.3</v>
      </c>
      <c r="BB85" s="32">
        <f t="shared" si="17"/>
        <v>17.3</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1051">
        <v>74</v>
      </c>
      <c r="D86" s="1625" t="s">
        <v>3388</v>
      </c>
      <c r="E86" s="32">
        <f t="shared" si="7"/>
        <v>1.94</v>
      </c>
      <c r="F86" s="33"/>
      <c r="G86" s="34">
        <f t="shared" si="8"/>
        <v>17.3</v>
      </c>
      <c r="H86" s="35">
        <f t="shared" si="9"/>
        <v>17.3</v>
      </c>
      <c r="I86" s="3449">
        <v>17.3</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74</v>
      </c>
      <c r="AY86" s="39">
        <f t="shared" si="14"/>
        <v>1.94</v>
      </c>
      <c r="AZ86" s="32">
        <f t="shared" si="15"/>
        <v>17.3</v>
      </c>
      <c r="BA86" s="32">
        <f t="shared" si="16"/>
        <v>17.3</v>
      </c>
      <c r="BB86" s="32">
        <f t="shared" si="17"/>
        <v>17.3</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1051">
        <v>75</v>
      </c>
      <c r="D87" s="1625" t="s">
        <v>3388</v>
      </c>
      <c r="E87" s="32">
        <f t="shared" si="7"/>
        <v>3.96</v>
      </c>
      <c r="F87" s="33"/>
      <c r="G87" s="34">
        <f t="shared" si="8"/>
        <v>35.31</v>
      </c>
      <c r="H87" s="35">
        <f t="shared" si="9"/>
        <v>35.31</v>
      </c>
      <c r="I87" s="3449">
        <v>35.31</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75</v>
      </c>
      <c r="AY87" s="39">
        <f t="shared" si="14"/>
        <v>3.96</v>
      </c>
      <c r="AZ87" s="32">
        <f t="shared" si="15"/>
        <v>35.31</v>
      </c>
      <c r="BA87" s="32">
        <f t="shared" si="16"/>
        <v>35.31</v>
      </c>
      <c r="BB87" s="32">
        <f t="shared" si="17"/>
        <v>35.31</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1051">
        <v>76</v>
      </c>
      <c r="D88" s="1625" t="s">
        <v>3388</v>
      </c>
      <c r="E88" s="32">
        <f t="shared" si="7"/>
        <v>4.1399999999999997</v>
      </c>
      <c r="F88" s="33"/>
      <c r="G88" s="34">
        <f t="shared" si="8"/>
        <v>36.93</v>
      </c>
      <c r="H88" s="35">
        <f t="shared" si="9"/>
        <v>36.93</v>
      </c>
      <c r="I88" s="3449">
        <v>36.93</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76</v>
      </c>
      <c r="AY88" s="39">
        <f t="shared" si="14"/>
        <v>4.1399999999999997</v>
      </c>
      <c r="AZ88" s="32">
        <f t="shared" si="15"/>
        <v>36.93</v>
      </c>
      <c r="BA88" s="32">
        <f t="shared" si="16"/>
        <v>36.93</v>
      </c>
      <c r="BB88" s="32">
        <f t="shared" si="17"/>
        <v>36.93</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1051">
        <v>77</v>
      </c>
      <c r="D89" s="1625" t="s">
        <v>3388</v>
      </c>
      <c r="E89" s="32">
        <f t="shared" si="7"/>
        <v>5.34</v>
      </c>
      <c r="F89" s="33"/>
      <c r="G89" s="34">
        <f t="shared" si="8"/>
        <v>47.63</v>
      </c>
      <c r="H89" s="35">
        <f t="shared" si="9"/>
        <v>47.63</v>
      </c>
      <c r="I89" s="3449">
        <v>47.63</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77</v>
      </c>
      <c r="AY89" s="39">
        <f t="shared" si="14"/>
        <v>5.34</v>
      </c>
      <c r="AZ89" s="32">
        <f t="shared" si="15"/>
        <v>47.63</v>
      </c>
      <c r="BA89" s="32">
        <f t="shared" si="16"/>
        <v>47.63</v>
      </c>
      <c r="BB89" s="32">
        <f t="shared" si="17"/>
        <v>47.63</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1051">
        <v>78</v>
      </c>
      <c r="D90" s="1625" t="s">
        <v>3388</v>
      </c>
      <c r="E90" s="32">
        <f t="shared" si="7"/>
        <v>3.84</v>
      </c>
      <c r="F90" s="33"/>
      <c r="G90" s="34">
        <f t="shared" si="8"/>
        <v>34.29</v>
      </c>
      <c r="H90" s="35">
        <f t="shared" si="9"/>
        <v>34.29</v>
      </c>
      <c r="I90" s="3449">
        <v>34.29</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78</v>
      </c>
      <c r="AY90" s="39">
        <f t="shared" si="14"/>
        <v>3.84</v>
      </c>
      <c r="AZ90" s="32">
        <f t="shared" si="15"/>
        <v>34.29</v>
      </c>
      <c r="BA90" s="32">
        <f t="shared" si="16"/>
        <v>34.29</v>
      </c>
      <c r="BB90" s="32">
        <f t="shared" si="17"/>
        <v>34.29</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1051">
        <v>79</v>
      </c>
      <c r="D91" s="1625" t="s">
        <v>3388</v>
      </c>
      <c r="E91" s="32">
        <f t="shared" si="7"/>
        <v>3.84</v>
      </c>
      <c r="F91" s="33"/>
      <c r="G91" s="34">
        <f t="shared" si="8"/>
        <v>34.29</v>
      </c>
      <c r="H91" s="35">
        <f t="shared" si="9"/>
        <v>34.29</v>
      </c>
      <c r="I91" s="3449">
        <v>34.29</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79</v>
      </c>
      <c r="AY91" s="39">
        <f t="shared" si="14"/>
        <v>3.84</v>
      </c>
      <c r="AZ91" s="32">
        <f t="shared" si="15"/>
        <v>34.29</v>
      </c>
      <c r="BA91" s="32">
        <f t="shared" si="16"/>
        <v>34.29</v>
      </c>
      <c r="BB91" s="32">
        <f t="shared" si="17"/>
        <v>34.29</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1051">
        <v>80</v>
      </c>
      <c r="D92" s="1625" t="s">
        <v>3388</v>
      </c>
      <c r="E92" s="32">
        <f t="shared" si="7"/>
        <v>3.98</v>
      </c>
      <c r="F92" s="33"/>
      <c r="G92" s="34">
        <f t="shared" si="8"/>
        <v>35.49</v>
      </c>
      <c r="H92" s="35">
        <f t="shared" si="9"/>
        <v>35.49</v>
      </c>
      <c r="I92" s="3449">
        <v>35.49</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80</v>
      </c>
      <c r="AY92" s="39">
        <f t="shared" si="14"/>
        <v>3.98</v>
      </c>
      <c r="AZ92" s="32">
        <f t="shared" si="15"/>
        <v>35.49</v>
      </c>
      <c r="BA92" s="32">
        <f t="shared" si="16"/>
        <v>35.49</v>
      </c>
      <c r="BB92" s="32">
        <f t="shared" si="17"/>
        <v>35.49</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1051">
        <v>81</v>
      </c>
      <c r="D93" s="1625" t="s">
        <v>3388</v>
      </c>
      <c r="E93" s="32">
        <f t="shared" si="7"/>
        <v>1.34</v>
      </c>
      <c r="F93" s="33"/>
      <c r="G93" s="34">
        <f t="shared" si="8"/>
        <v>11.92</v>
      </c>
      <c r="H93" s="35">
        <f t="shared" si="9"/>
        <v>11.92</v>
      </c>
      <c r="I93" s="3449">
        <v>11.92</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81</v>
      </c>
      <c r="AY93" s="39">
        <f t="shared" si="14"/>
        <v>1.34</v>
      </c>
      <c r="AZ93" s="32">
        <f t="shared" si="15"/>
        <v>11.92</v>
      </c>
      <c r="BA93" s="32">
        <f t="shared" si="16"/>
        <v>11.92</v>
      </c>
      <c r="BB93" s="32">
        <f t="shared" si="17"/>
        <v>11.92</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1051">
        <v>82</v>
      </c>
      <c r="D94" s="1625" t="s">
        <v>3388</v>
      </c>
      <c r="E94" s="32">
        <f t="shared" si="7"/>
        <v>1.24</v>
      </c>
      <c r="F94" s="33"/>
      <c r="G94" s="34">
        <f t="shared" si="8"/>
        <v>11.1</v>
      </c>
      <c r="H94" s="35">
        <f t="shared" si="9"/>
        <v>11.1</v>
      </c>
      <c r="I94" s="3450">
        <v>11.1</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82</v>
      </c>
      <c r="AY94" s="39">
        <f t="shared" si="14"/>
        <v>1.24</v>
      </c>
      <c r="AZ94" s="32">
        <f t="shared" si="15"/>
        <v>11.1</v>
      </c>
      <c r="BA94" s="32">
        <f t="shared" si="16"/>
        <v>11.1</v>
      </c>
      <c r="BB94" s="32">
        <f t="shared" si="17"/>
        <v>11.1</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1051">
        <v>83</v>
      </c>
      <c r="D95" s="1625" t="s">
        <v>3388</v>
      </c>
      <c r="E95" s="32">
        <f t="shared" si="7"/>
        <v>1.27</v>
      </c>
      <c r="F95" s="33"/>
      <c r="G95" s="34">
        <f t="shared" si="8"/>
        <v>11.35</v>
      </c>
      <c r="H95" s="35">
        <f t="shared" si="9"/>
        <v>11.35</v>
      </c>
      <c r="I95" s="3450">
        <v>11.35</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83</v>
      </c>
      <c r="AY95" s="39">
        <f t="shared" si="14"/>
        <v>1.27</v>
      </c>
      <c r="AZ95" s="32">
        <f t="shared" si="15"/>
        <v>11.35</v>
      </c>
      <c r="BA95" s="32">
        <f t="shared" si="16"/>
        <v>11.35</v>
      </c>
      <c r="BB95" s="32">
        <f t="shared" si="17"/>
        <v>11.35</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1051">
        <v>84</v>
      </c>
      <c r="D96" s="1625" t="s">
        <v>3388</v>
      </c>
      <c r="E96" s="32">
        <f t="shared" si="7"/>
        <v>1.29</v>
      </c>
      <c r="F96" s="33"/>
      <c r="G96" s="34">
        <f t="shared" si="8"/>
        <v>11.55</v>
      </c>
      <c r="H96" s="35">
        <f t="shared" si="9"/>
        <v>11.55</v>
      </c>
      <c r="I96" s="3450">
        <v>11.55</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84</v>
      </c>
      <c r="AY96" s="39">
        <f t="shared" si="14"/>
        <v>1.29</v>
      </c>
      <c r="AZ96" s="32">
        <f t="shared" si="15"/>
        <v>11.55</v>
      </c>
      <c r="BA96" s="32">
        <f t="shared" si="16"/>
        <v>11.55</v>
      </c>
      <c r="BB96" s="32">
        <f t="shared" si="17"/>
        <v>11.55</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1051">
        <v>85</v>
      </c>
      <c r="D97" s="1625" t="s">
        <v>3388</v>
      </c>
      <c r="E97" s="32">
        <f t="shared" si="7"/>
        <v>1.29</v>
      </c>
      <c r="F97" s="33"/>
      <c r="G97" s="34">
        <f t="shared" si="8"/>
        <v>11.55</v>
      </c>
      <c r="H97" s="35">
        <f t="shared" si="9"/>
        <v>11.55</v>
      </c>
      <c r="I97" s="3450">
        <v>11.55</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85</v>
      </c>
      <c r="AY97" s="39">
        <f t="shared" si="14"/>
        <v>1.29</v>
      </c>
      <c r="AZ97" s="32">
        <f t="shared" si="15"/>
        <v>11.55</v>
      </c>
      <c r="BA97" s="32">
        <f t="shared" si="16"/>
        <v>11.55</v>
      </c>
      <c r="BB97" s="32">
        <f t="shared" si="17"/>
        <v>11.55</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1051">
        <v>86</v>
      </c>
      <c r="D98" s="1625" t="s">
        <v>3388</v>
      </c>
      <c r="E98" s="32">
        <f t="shared" si="7"/>
        <v>1.29</v>
      </c>
      <c r="F98" s="33"/>
      <c r="G98" s="34">
        <f t="shared" si="8"/>
        <v>11.55</v>
      </c>
      <c r="H98" s="35">
        <f t="shared" si="9"/>
        <v>11.55</v>
      </c>
      <c r="I98" s="3450">
        <v>11.55</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86</v>
      </c>
      <c r="AY98" s="39">
        <f t="shared" si="14"/>
        <v>1.29</v>
      </c>
      <c r="AZ98" s="32">
        <f t="shared" si="15"/>
        <v>11.55</v>
      </c>
      <c r="BA98" s="32">
        <f t="shared" si="16"/>
        <v>11.55</v>
      </c>
      <c r="BB98" s="32">
        <f t="shared" si="17"/>
        <v>11.55</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1051">
        <v>87</v>
      </c>
      <c r="D99" s="1625" t="s">
        <v>3388</v>
      </c>
      <c r="E99" s="32">
        <f t="shared" si="7"/>
        <v>1.29</v>
      </c>
      <c r="F99" s="33"/>
      <c r="G99" s="34">
        <f t="shared" si="8"/>
        <v>11.55</v>
      </c>
      <c r="H99" s="35">
        <f t="shared" si="9"/>
        <v>11.55</v>
      </c>
      <c r="I99" s="3450">
        <v>11.55</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87</v>
      </c>
      <c r="AY99" s="39">
        <f t="shared" si="14"/>
        <v>1.29</v>
      </c>
      <c r="AZ99" s="32">
        <f t="shared" si="15"/>
        <v>11.55</v>
      </c>
      <c r="BA99" s="32">
        <f t="shared" si="16"/>
        <v>11.55</v>
      </c>
      <c r="BB99" s="32">
        <f t="shared" si="17"/>
        <v>11.55</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1051">
        <v>88</v>
      </c>
      <c r="D100" s="1625" t="s">
        <v>3388</v>
      </c>
      <c r="E100" s="32">
        <f t="shared" si="7"/>
        <v>2.79</v>
      </c>
      <c r="F100" s="33"/>
      <c r="G100" s="34">
        <f t="shared" si="8"/>
        <v>24.87</v>
      </c>
      <c r="H100" s="35">
        <f t="shared" si="9"/>
        <v>24.87</v>
      </c>
      <c r="I100" s="3450">
        <v>24.87</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88</v>
      </c>
      <c r="AY100" s="39">
        <f t="shared" si="14"/>
        <v>2.79</v>
      </c>
      <c r="AZ100" s="32">
        <f t="shared" si="15"/>
        <v>24.87</v>
      </c>
      <c r="BA100" s="32">
        <f t="shared" si="16"/>
        <v>24.87</v>
      </c>
      <c r="BB100" s="32">
        <f t="shared" si="17"/>
        <v>24.87</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1051">
        <v>89</v>
      </c>
      <c r="D101" s="1625" t="s">
        <v>3388</v>
      </c>
      <c r="E101" s="32">
        <f t="shared" si="7"/>
        <v>2</v>
      </c>
      <c r="F101" s="33"/>
      <c r="G101" s="34">
        <f t="shared" si="8"/>
        <v>17.809999999999999</v>
      </c>
      <c r="H101" s="35">
        <f t="shared" si="9"/>
        <v>17.809999999999999</v>
      </c>
      <c r="I101" s="3450">
        <v>17.809999999999999</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89</v>
      </c>
      <c r="AY101" s="39">
        <f t="shared" si="14"/>
        <v>2</v>
      </c>
      <c r="AZ101" s="32">
        <f t="shared" si="15"/>
        <v>17.809999999999999</v>
      </c>
      <c r="BA101" s="32">
        <f t="shared" si="16"/>
        <v>17.809999999999999</v>
      </c>
      <c r="BB101" s="32">
        <f t="shared" si="17"/>
        <v>17.809999999999999</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1051">
        <v>90</v>
      </c>
      <c r="D102" s="1625" t="s">
        <v>3388</v>
      </c>
      <c r="E102" s="32">
        <f t="shared" si="7"/>
        <v>1</v>
      </c>
      <c r="F102" s="33"/>
      <c r="G102" s="34">
        <f t="shared" si="8"/>
        <v>8.8800000000000008</v>
      </c>
      <c r="H102" s="35">
        <f t="shared" si="9"/>
        <v>8.8800000000000008</v>
      </c>
      <c r="I102" s="3450">
        <v>8.8800000000000008</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90</v>
      </c>
      <c r="AY102" s="39">
        <f t="shared" si="14"/>
        <v>1</v>
      </c>
      <c r="AZ102" s="32">
        <f t="shared" si="15"/>
        <v>8.8800000000000008</v>
      </c>
      <c r="BA102" s="32">
        <f t="shared" si="16"/>
        <v>8.8800000000000008</v>
      </c>
      <c r="BB102" s="32">
        <f t="shared" si="17"/>
        <v>8.8800000000000008</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1051">
        <v>91</v>
      </c>
      <c r="D103" s="1625" t="s">
        <v>3388</v>
      </c>
      <c r="E103" s="32">
        <f t="shared" si="7"/>
        <v>1</v>
      </c>
      <c r="F103" s="33"/>
      <c r="G103" s="34">
        <f t="shared" si="8"/>
        <v>8.8800000000000008</v>
      </c>
      <c r="H103" s="35">
        <f t="shared" si="9"/>
        <v>8.8800000000000008</v>
      </c>
      <c r="I103" s="3450">
        <v>8.8800000000000008</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91</v>
      </c>
      <c r="AY103" s="39">
        <f t="shared" si="14"/>
        <v>1</v>
      </c>
      <c r="AZ103" s="32">
        <f t="shared" si="15"/>
        <v>8.8800000000000008</v>
      </c>
      <c r="BA103" s="32">
        <f t="shared" si="16"/>
        <v>8.8800000000000008</v>
      </c>
      <c r="BB103" s="32">
        <f t="shared" si="17"/>
        <v>8.8800000000000008</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1051">
        <v>92</v>
      </c>
      <c r="D104" s="1625" t="s">
        <v>3388</v>
      </c>
      <c r="E104" s="32">
        <f t="shared" si="7"/>
        <v>1</v>
      </c>
      <c r="F104" s="33"/>
      <c r="G104" s="34">
        <f t="shared" si="8"/>
        <v>8.8800000000000008</v>
      </c>
      <c r="H104" s="35">
        <f t="shared" si="9"/>
        <v>8.8800000000000008</v>
      </c>
      <c r="I104" s="3450">
        <v>8.8800000000000008</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92</v>
      </c>
      <c r="AY104" s="39">
        <f t="shared" si="14"/>
        <v>1</v>
      </c>
      <c r="AZ104" s="32">
        <f t="shared" si="15"/>
        <v>8.8800000000000008</v>
      </c>
      <c r="BA104" s="32">
        <f t="shared" si="16"/>
        <v>8.8800000000000008</v>
      </c>
      <c r="BB104" s="32">
        <f t="shared" si="17"/>
        <v>8.8800000000000008</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1051">
        <v>93</v>
      </c>
      <c r="D105" s="1625" t="s">
        <v>3388</v>
      </c>
      <c r="E105" s="32">
        <f t="shared" si="7"/>
        <v>1</v>
      </c>
      <c r="F105" s="33"/>
      <c r="G105" s="34">
        <f t="shared" si="8"/>
        <v>8.8800000000000008</v>
      </c>
      <c r="H105" s="35">
        <f t="shared" si="9"/>
        <v>8.8800000000000008</v>
      </c>
      <c r="I105" s="3450">
        <v>8.8800000000000008</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93</v>
      </c>
      <c r="AY105" s="39">
        <f t="shared" si="14"/>
        <v>1</v>
      </c>
      <c r="AZ105" s="32">
        <f t="shared" si="15"/>
        <v>8.8800000000000008</v>
      </c>
      <c r="BA105" s="32">
        <f t="shared" si="16"/>
        <v>8.8800000000000008</v>
      </c>
      <c r="BB105" s="32">
        <f t="shared" si="17"/>
        <v>8.8800000000000008</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1051">
        <v>94</v>
      </c>
      <c r="D106" s="1625" t="s">
        <v>3388</v>
      </c>
      <c r="E106" s="32">
        <f t="shared" si="7"/>
        <v>1</v>
      </c>
      <c r="F106" s="33"/>
      <c r="G106" s="34">
        <f t="shared" si="8"/>
        <v>8.8800000000000008</v>
      </c>
      <c r="H106" s="35">
        <f t="shared" si="9"/>
        <v>8.8800000000000008</v>
      </c>
      <c r="I106" s="3450">
        <v>8.8800000000000008</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94</v>
      </c>
      <c r="AY106" s="39">
        <f t="shared" si="14"/>
        <v>1</v>
      </c>
      <c r="AZ106" s="32">
        <f t="shared" si="15"/>
        <v>8.8800000000000008</v>
      </c>
      <c r="BA106" s="32">
        <f t="shared" si="16"/>
        <v>8.8800000000000008</v>
      </c>
      <c r="BB106" s="32">
        <f t="shared" si="17"/>
        <v>8.8800000000000008</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1051">
        <v>95</v>
      </c>
      <c r="D107" s="1625" t="s">
        <v>3388</v>
      </c>
      <c r="E107" s="32">
        <f t="shared" si="7"/>
        <v>1</v>
      </c>
      <c r="F107" s="33"/>
      <c r="G107" s="34">
        <f t="shared" si="8"/>
        <v>8.8800000000000008</v>
      </c>
      <c r="H107" s="35">
        <f t="shared" si="9"/>
        <v>8.8800000000000008</v>
      </c>
      <c r="I107" s="3450">
        <v>8.8800000000000008</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95</v>
      </c>
      <c r="AY107" s="39">
        <f t="shared" si="14"/>
        <v>1</v>
      </c>
      <c r="AZ107" s="32">
        <f t="shared" si="15"/>
        <v>8.8800000000000008</v>
      </c>
      <c r="BA107" s="32">
        <f t="shared" si="16"/>
        <v>8.8800000000000008</v>
      </c>
      <c r="BB107" s="32">
        <f t="shared" si="17"/>
        <v>8.8800000000000008</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1051">
        <v>96</v>
      </c>
      <c r="D108" s="1625" t="s">
        <v>3388</v>
      </c>
      <c r="E108" s="32">
        <f t="shared" si="7"/>
        <v>1</v>
      </c>
      <c r="F108" s="33"/>
      <c r="G108" s="34">
        <f t="shared" si="8"/>
        <v>8.8800000000000008</v>
      </c>
      <c r="H108" s="35">
        <f t="shared" si="9"/>
        <v>8.8800000000000008</v>
      </c>
      <c r="I108" s="3450">
        <v>8.8800000000000008</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96</v>
      </c>
      <c r="AY108" s="39">
        <f t="shared" si="14"/>
        <v>1</v>
      </c>
      <c r="AZ108" s="32">
        <f t="shared" si="15"/>
        <v>8.8800000000000008</v>
      </c>
      <c r="BA108" s="32">
        <f t="shared" si="16"/>
        <v>8.8800000000000008</v>
      </c>
      <c r="BB108" s="32">
        <f t="shared" si="17"/>
        <v>8.8800000000000008</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1051">
        <v>97</v>
      </c>
      <c r="D109" s="1625" t="s">
        <v>3388</v>
      </c>
      <c r="E109" s="32">
        <f t="shared" si="7"/>
        <v>1</v>
      </c>
      <c r="F109" s="33"/>
      <c r="G109" s="34">
        <f t="shared" si="8"/>
        <v>8.8800000000000008</v>
      </c>
      <c r="H109" s="35">
        <f t="shared" si="9"/>
        <v>8.8800000000000008</v>
      </c>
      <c r="I109" s="3450">
        <v>8.8800000000000008</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97</v>
      </c>
      <c r="AY109" s="39">
        <f t="shared" si="14"/>
        <v>1</v>
      </c>
      <c r="AZ109" s="32">
        <f t="shared" si="15"/>
        <v>8.8800000000000008</v>
      </c>
      <c r="BA109" s="32">
        <f t="shared" si="16"/>
        <v>8.8800000000000008</v>
      </c>
      <c r="BB109" s="32">
        <f t="shared" si="17"/>
        <v>8.8800000000000008</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1051">
        <v>98</v>
      </c>
      <c r="D110" s="1625" t="s">
        <v>3388</v>
      </c>
      <c r="E110" s="32">
        <f t="shared" si="7"/>
        <v>1</v>
      </c>
      <c r="F110" s="41"/>
      <c r="G110" s="34">
        <f t="shared" ref="G110:G141" si="36">H110+AC110+AT110</f>
        <v>8.8800000000000008</v>
      </c>
      <c r="H110" s="35">
        <f t="shared" ref="H110:H141" si="37">SUMIF(I$12:AB$12,"总值",I110:AB110)</f>
        <v>8.8800000000000008</v>
      </c>
      <c r="I110" s="3450">
        <v>8.8800000000000008</v>
      </c>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98</v>
      </c>
      <c r="AY110" s="39">
        <f t="shared" ref="AY110:AY141" si="39">ROUND($AY$6*AZ110/$AZ$5,2)</f>
        <v>1</v>
      </c>
      <c r="AZ110" s="32">
        <f t="shared" ref="AZ110:AZ141" si="40">BA110+BL110</f>
        <v>8.8800000000000008</v>
      </c>
      <c r="BA110" s="32">
        <f t="shared" ref="BA110:BA141" si="41">SUM(BB110:BK110)</f>
        <v>8.8800000000000008</v>
      </c>
      <c r="BB110" s="32">
        <f t="shared" ref="BB110:BB141" si="42">IF($D110="是",I110-J110,0)</f>
        <v>8.8800000000000008</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1051">
        <v>99</v>
      </c>
      <c r="D111" s="1625" t="s">
        <v>3388</v>
      </c>
      <c r="E111" s="32">
        <f t="shared" si="7"/>
        <v>1</v>
      </c>
      <c r="F111" s="41"/>
      <c r="G111" s="34">
        <f t="shared" si="36"/>
        <v>8.8800000000000008</v>
      </c>
      <c r="H111" s="35">
        <f t="shared" si="37"/>
        <v>8.8800000000000008</v>
      </c>
      <c r="I111" s="3450">
        <v>8.8800000000000008</v>
      </c>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99</v>
      </c>
      <c r="AY111" s="39">
        <f t="shared" si="39"/>
        <v>1</v>
      </c>
      <c r="AZ111" s="32">
        <f t="shared" si="40"/>
        <v>8.8800000000000008</v>
      </c>
      <c r="BA111" s="32">
        <f t="shared" si="41"/>
        <v>8.8800000000000008</v>
      </c>
      <c r="BB111" s="32">
        <f t="shared" si="42"/>
        <v>8.8800000000000008</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1051">
        <v>100</v>
      </c>
      <c r="D112" s="1625" t="s">
        <v>3388</v>
      </c>
      <c r="E112" s="32">
        <f t="shared" si="7"/>
        <v>2.46</v>
      </c>
      <c r="F112" s="41"/>
      <c r="G112" s="34">
        <f t="shared" si="36"/>
        <v>21.94</v>
      </c>
      <c r="H112" s="35">
        <f t="shared" si="37"/>
        <v>21.94</v>
      </c>
      <c r="I112" s="3450">
        <v>21.94</v>
      </c>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100</v>
      </c>
      <c r="AY112" s="39">
        <f t="shared" si="39"/>
        <v>2.46</v>
      </c>
      <c r="AZ112" s="32">
        <f t="shared" si="40"/>
        <v>21.94</v>
      </c>
      <c r="BA112" s="32">
        <f t="shared" si="41"/>
        <v>21.94</v>
      </c>
      <c r="BB112" s="32">
        <f t="shared" si="42"/>
        <v>21.94</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1051">
        <v>101</v>
      </c>
      <c r="D113" s="1625" t="s">
        <v>3388</v>
      </c>
      <c r="E113" s="32">
        <f t="shared" ref="E113:E144" si="61">IF($C$3="是",ROUND($A$3*G113/$B$3,2),ROUND($A$3*(G113-AT113)/$B$3,2))</f>
        <v>2.59</v>
      </c>
      <c r="F113" s="33"/>
      <c r="G113" s="34">
        <f t="shared" si="36"/>
        <v>23.07</v>
      </c>
      <c r="H113" s="35">
        <f t="shared" si="37"/>
        <v>23.07</v>
      </c>
      <c r="I113" s="3450">
        <v>23.07</v>
      </c>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101</v>
      </c>
      <c r="AY113" s="39">
        <f t="shared" si="39"/>
        <v>2.59</v>
      </c>
      <c r="AZ113" s="32">
        <f t="shared" si="40"/>
        <v>23.07</v>
      </c>
      <c r="BA113" s="32">
        <f t="shared" si="41"/>
        <v>23.07</v>
      </c>
      <c r="BB113" s="32">
        <f t="shared" si="42"/>
        <v>23.07</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1051">
        <v>102</v>
      </c>
      <c r="D114" s="1625" t="s">
        <v>3388</v>
      </c>
      <c r="E114" s="32">
        <f t="shared" si="61"/>
        <v>1.51</v>
      </c>
      <c r="F114" s="33"/>
      <c r="G114" s="34">
        <f t="shared" si="36"/>
        <v>13.43</v>
      </c>
      <c r="H114" s="35">
        <f t="shared" si="37"/>
        <v>13.43</v>
      </c>
      <c r="I114" s="3450">
        <v>13.43</v>
      </c>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102</v>
      </c>
      <c r="AY114" s="39">
        <f t="shared" si="39"/>
        <v>1.51</v>
      </c>
      <c r="AZ114" s="32">
        <f t="shared" si="40"/>
        <v>13.43</v>
      </c>
      <c r="BA114" s="32">
        <f t="shared" si="41"/>
        <v>13.43</v>
      </c>
      <c r="BB114" s="32">
        <f t="shared" si="42"/>
        <v>13.43</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1051">
        <v>103</v>
      </c>
      <c r="D115" s="1625" t="s">
        <v>3388</v>
      </c>
      <c r="E115" s="32">
        <f t="shared" si="61"/>
        <v>1.51</v>
      </c>
      <c r="F115" s="33"/>
      <c r="G115" s="34">
        <f t="shared" si="36"/>
        <v>13.43</v>
      </c>
      <c r="H115" s="35">
        <f t="shared" si="37"/>
        <v>13.43</v>
      </c>
      <c r="I115" s="3450">
        <v>13.43</v>
      </c>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103</v>
      </c>
      <c r="AY115" s="39">
        <f t="shared" si="39"/>
        <v>1.51</v>
      </c>
      <c r="AZ115" s="32">
        <f t="shared" si="40"/>
        <v>13.43</v>
      </c>
      <c r="BA115" s="32">
        <f t="shared" si="41"/>
        <v>13.43</v>
      </c>
      <c r="BB115" s="32">
        <f t="shared" si="42"/>
        <v>13.43</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1051">
        <v>104</v>
      </c>
      <c r="D116" s="1625" t="s">
        <v>3388</v>
      </c>
      <c r="E116" s="32">
        <f t="shared" si="61"/>
        <v>3.87</v>
      </c>
      <c r="F116" s="33"/>
      <c r="G116" s="34">
        <f t="shared" si="36"/>
        <v>34.51</v>
      </c>
      <c r="H116" s="35">
        <f t="shared" si="37"/>
        <v>34.51</v>
      </c>
      <c r="I116" s="3450">
        <v>34.51</v>
      </c>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104</v>
      </c>
      <c r="AY116" s="39">
        <f t="shared" si="39"/>
        <v>3.87</v>
      </c>
      <c r="AZ116" s="32">
        <f t="shared" si="40"/>
        <v>34.51</v>
      </c>
      <c r="BA116" s="32">
        <f t="shared" si="41"/>
        <v>34.51</v>
      </c>
      <c r="BB116" s="32">
        <f t="shared" si="42"/>
        <v>34.51</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1051">
        <v>105</v>
      </c>
      <c r="D117" s="1625" t="s">
        <v>3388</v>
      </c>
      <c r="E117" s="32">
        <f t="shared" si="61"/>
        <v>1.57</v>
      </c>
      <c r="F117" s="33"/>
      <c r="G117" s="34">
        <f t="shared" si="36"/>
        <v>13.99</v>
      </c>
      <c r="H117" s="35">
        <f t="shared" si="37"/>
        <v>13.99</v>
      </c>
      <c r="I117" s="3450">
        <v>13.99</v>
      </c>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105</v>
      </c>
      <c r="AY117" s="39">
        <f t="shared" si="39"/>
        <v>1.57</v>
      </c>
      <c r="AZ117" s="32">
        <f t="shared" si="40"/>
        <v>13.99</v>
      </c>
      <c r="BA117" s="32">
        <f t="shared" si="41"/>
        <v>13.99</v>
      </c>
      <c r="BB117" s="32">
        <f t="shared" si="42"/>
        <v>13.99</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1051">
        <v>106</v>
      </c>
      <c r="D118" s="1625" t="s">
        <v>3388</v>
      </c>
      <c r="E118" s="32">
        <f t="shared" si="61"/>
        <v>1.57</v>
      </c>
      <c r="F118" s="33"/>
      <c r="G118" s="34">
        <f t="shared" si="36"/>
        <v>13.99</v>
      </c>
      <c r="H118" s="35">
        <f t="shared" si="37"/>
        <v>13.99</v>
      </c>
      <c r="I118" s="3450">
        <v>13.99</v>
      </c>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106</v>
      </c>
      <c r="AY118" s="39">
        <f t="shared" si="39"/>
        <v>1.57</v>
      </c>
      <c r="AZ118" s="32">
        <f t="shared" si="40"/>
        <v>13.99</v>
      </c>
      <c r="BA118" s="32">
        <f t="shared" si="41"/>
        <v>13.99</v>
      </c>
      <c r="BB118" s="32">
        <f t="shared" si="42"/>
        <v>13.99</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1051">
        <v>107</v>
      </c>
      <c r="D119" s="1625" t="s">
        <v>3388</v>
      </c>
      <c r="E119" s="32">
        <f t="shared" si="61"/>
        <v>1.57</v>
      </c>
      <c r="F119" s="33"/>
      <c r="G119" s="34">
        <f t="shared" si="36"/>
        <v>13.99</v>
      </c>
      <c r="H119" s="35">
        <f t="shared" si="37"/>
        <v>13.99</v>
      </c>
      <c r="I119" s="3450">
        <v>13.99</v>
      </c>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107</v>
      </c>
      <c r="AY119" s="39">
        <f t="shared" si="39"/>
        <v>1.57</v>
      </c>
      <c r="AZ119" s="32">
        <f t="shared" si="40"/>
        <v>13.99</v>
      </c>
      <c r="BA119" s="32">
        <f t="shared" si="41"/>
        <v>13.99</v>
      </c>
      <c r="BB119" s="32">
        <f t="shared" si="42"/>
        <v>13.99</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1051">
        <v>108</v>
      </c>
      <c r="D120" s="1625" t="s">
        <v>3388</v>
      </c>
      <c r="E120" s="32">
        <f t="shared" si="61"/>
        <v>1.57</v>
      </c>
      <c r="F120" s="33"/>
      <c r="G120" s="34">
        <f t="shared" si="36"/>
        <v>13.99</v>
      </c>
      <c r="H120" s="35">
        <f t="shared" si="37"/>
        <v>13.99</v>
      </c>
      <c r="I120" s="3450">
        <v>13.99</v>
      </c>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108</v>
      </c>
      <c r="AY120" s="39">
        <f t="shared" si="39"/>
        <v>1.57</v>
      </c>
      <c r="AZ120" s="32">
        <f t="shared" si="40"/>
        <v>13.99</v>
      </c>
      <c r="BA120" s="32">
        <f t="shared" si="41"/>
        <v>13.99</v>
      </c>
      <c r="BB120" s="32">
        <f t="shared" si="42"/>
        <v>13.99</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1051">
        <v>109</v>
      </c>
      <c r="D121" s="1625" t="s">
        <v>3388</v>
      </c>
      <c r="E121" s="32">
        <f t="shared" si="61"/>
        <v>2</v>
      </c>
      <c r="F121" s="33"/>
      <c r="G121" s="34">
        <f t="shared" si="36"/>
        <v>17.850000000000001</v>
      </c>
      <c r="H121" s="35">
        <f t="shared" si="37"/>
        <v>17.850000000000001</v>
      </c>
      <c r="I121" s="3450">
        <v>17.850000000000001</v>
      </c>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109</v>
      </c>
      <c r="AY121" s="39">
        <f t="shared" si="39"/>
        <v>2</v>
      </c>
      <c r="AZ121" s="32">
        <f t="shared" si="40"/>
        <v>17.850000000000001</v>
      </c>
      <c r="BA121" s="32">
        <f t="shared" si="41"/>
        <v>17.850000000000001</v>
      </c>
      <c r="BB121" s="32">
        <f t="shared" si="42"/>
        <v>17.850000000000001</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1051">
        <v>110</v>
      </c>
      <c r="D122" s="1625" t="s">
        <v>3388</v>
      </c>
      <c r="E122" s="32">
        <f t="shared" si="61"/>
        <v>1.1100000000000001</v>
      </c>
      <c r="F122" s="33"/>
      <c r="G122" s="34">
        <f t="shared" si="36"/>
        <v>9.86</v>
      </c>
      <c r="H122" s="35">
        <f t="shared" si="37"/>
        <v>9.86</v>
      </c>
      <c r="I122" s="3450">
        <v>9.86</v>
      </c>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110</v>
      </c>
      <c r="AY122" s="39">
        <f t="shared" si="39"/>
        <v>1.1100000000000001</v>
      </c>
      <c r="AZ122" s="32">
        <f t="shared" si="40"/>
        <v>9.86</v>
      </c>
      <c r="BA122" s="32">
        <f t="shared" si="41"/>
        <v>9.86</v>
      </c>
      <c r="BB122" s="32">
        <f t="shared" si="42"/>
        <v>9.86</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1051">
        <v>111</v>
      </c>
      <c r="D123" s="1625" t="s">
        <v>3388</v>
      </c>
      <c r="E123" s="32">
        <f t="shared" si="61"/>
        <v>1.1100000000000001</v>
      </c>
      <c r="F123" s="33"/>
      <c r="G123" s="34">
        <f t="shared" si="36"/>
        <v>9.86</v>
      </c>
      <c r="H123" s="35">
        <f t="shared" si="37"/>
        <v>9.86</v>
      </c>
      <c r="I123" s="3448">
        <v>9.86</v>
      </c>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111</v>
      </c>
      <c r="AY123" s="39">
        <f t="shared" si="39"/>
        <v>1.1100000000000001</v>
      </c>
      <c r="AZ123" s="32">
        <f t="shared" si="40"/>
        <v>9.86</v>
      </c>
      <c r="BA123" s="32">
        <f t="shared" si="41"/>
        <v>9.86</v>
      </c>
      <c r="BB123" s="32">
        <f t="shared" si="42"/>
        <v>9.86</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1051">
        <v>112</v>
      </c>
      <c r="D124" s="1625" t="s">
        <v>3388</v>
      </c>
      <c r="E124" s="32">
        <f t="shared" si="61"/>
        <v>1.1100000000000001</v>
      </c>
      <c r="F124" s="33"/>
      <c r="G124" s="34">
        <f t="shared" si="36"/>
        <v>9.86</v>
      </c>
      <c r="H124" s="35">
        <f t="shared" si="37"/>
        <v>9.86</v>
      </c>
      <c r="I124" s="3448">
        <v>9.86</v>
      </c>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112</v>
      </c>
      <c r="AY124" s="39">
        <f t="shared" si="39"/>
        <v>1.1100000000000001</v>
      </c>
      <c r="AZ124" s="32">
        <f t="shared" si="40"/>
        <v>9.86</v>
      </c>
      <c r="BA124" s="32">
        <f t="shared" si="41"/>
        <v>9.86</v>
      </c>
      <c r="BB124" s="32">
        <f t="shared" si="42"/>
        <v>9.86</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1051">
        <v>113</v>
      </c>
      <c r="D125" s="1625" t="s">
        <v>3388</v>
      </c>
      <c r="E125" s="32">
        <f t="shared" si="61"/>
        <v>1.1100000000000001</v>
      </c>
      <c r="F125" s="33"/>
      <c r="G125" s="34">
        <f t="shared" si="36"/>
        <v>9.86</v>
      </c>
      <c r="H125" s="35">
        <f t="shared" si="37"/>
        <v>9.86</v>
      </c>
      <c r="I125" s="3448">
        <v>9.86</v>
      </c>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113</v>
      </c>
      <c r="AY125" s="39">
        <f t="shared" si="39"/>
        <v>1.1100000000000001</v>
      </c>
      <c r="AZ125" s="32">
        <f t="shared" si="40"/>
        <v>9.86</v>
      </c>
      <c r="BA125" s="32">
        <f t="shared" si="41"/>
        <v>9.86</v>
      </c>
      <c r="BB125" s="32">
        <f t="shared" si="42"/>
        <v>9.86</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1051">
        <v>114</v>
      </c>
      <c r="D126" s="1625" t="s">
        <v>3388</v>
      </c>
      <c r="E126" s="32">
        <f t="shared" si="61"/>
        <v>1.1100000000000001</v>
      </c>
      <c r="F126" s="33"/>
      <c r="G126" s="34">
        <f t="shared" si="36"/>
        <v>9.86</v>
      </c>
      <c r="H126" s="35">
        <f t="shared" si="37"/>
        <v>9.86</v>
      </c>
      <c r="I126" s="3448">
        <v>9.86</v>
      </c>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114</v>
      </c>
      <c r="AY126" s="39">
        <f t="shared" si="39"/>
        <v>1.1100000000000001</v>
      </c>
      <c r="AZ126" s="32">
        <f t="shared" si="40"/>
        <v>9.86</v>
      </c>
      <c r="BA126" s="32">
        <f t="shared" si="41"/>
        <v>9.86</v>
      </c>
      <c r="BB126" s="32">
        <f t="shared" si="42"/>
        <v>9.86</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1051">
        <v>115</v>
      </c>
      <c r="D127" s="1625" t="s">
        <v>3388</v>
      </c>
      <c r="E127" s="32">
        <f t="shared" si="61"/>
        <v>1.1100000000000001</v>
      </c>
      <c r="F127" s="33"/>
      <c r="G127" s="34">
        <f t="shared" si="36"/>
        <v>9.86</v>
      </c>
      <c r="H127" s="35">
        <f t="shared" si="37"/>
        <v>9.86</v>
      </c>
      <c r="I127" s="3448">
        <v>9.86</v>
      </c>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115</v>
      </c>
      <c r="AY127" s="39">
        <f t="shared" si="39"/>
        <v>1.1100000000000001</v>
      </c>
      <c r="AZ127" s="32">
        <f t="shared" si="40"/>
        <v>9.86</v>
      </c>
      <c r="BA127" s="32">
        <f t="shared" si="41"/>
        <v>9.86</v>
      </c>
      <c r="BB127" s="32">
        <f t="shared" si="42"/>
        <v>9.86</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1051">
        <v>116</v>
      </c>
      <c r="D128" s="1625" t="s">
        <v>3388</v>
      </c>
      <c r="E128" s="32">
        <f t="shared" si="61"/>
        <v>1.1100000000000001</v>
      </c>
      <c r="F128" s="33"/>
      <c r="G128" s="34">
        <f t="shared" si="36"/>
        <v>9.86</v>
      </c>
      <c r="H128" s="35">
        <f t="shared" si="37"/>
        <v>9.86</v>
      </c>
      <c r="I128" s="3448">
        <v>9.86</v>
      </c>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116</v>
      </c>
      <c r="AY128" s="39">
        <f t="shared" si="39"/>
        <v>1.1100000000000001</v>
      </c>
      <c r="AZ128" s="32">
        <f t="shared" si="40"/>
        <v>9.86</v>
      </c>
      <c r="BA128" s="32">
        <f t="shared" si="41"/>
        <v>9.86</v>
      </c>
      <c r="BB128" s="32">
        <f t="shared" si="42"/>
        <v>9.86</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1051">
        <v>117</v>
      </c>
      <c r="D129" s="1625" t="s">
        <v>3388</v>
      </c>
      <c r="E129" s="32">
        <f t="shared" si="61"/>
        <v>1.1100000000000001</v>
      </c>
      <c r="F129" s="33"/>
      <c r="G129" s="34">
        <f t="shared" si="36"/>
        <v>9.86</v>
      </c>
      <c r="H129" s="35">
        <f t="shared" si="37"/>
        <v>9.86</v>
      </c>
      <c r="I129" s="3448">
        <v>9.86</v>
      </c>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117</v>
      </c>
      <c r="AY129" s="39">
        <f t="shared" si="39"/>
        <v>1.1100000000000001</v>
      </c>
      <c r="AZ129" s="32">
        <f t="shared" si="40"/>
        <v>9.86</v>
      </c>
      <c r="BA129" s="32">
        <f t="shared" si="41"/>
        <v>9.86</v>
      </c>
      <c r="BB129" s="32">
        <f t="shared" si="42"/>
        <v>9.86</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1051">
        <v>118</v>
      </c>
      <c r="D130" s="1625" t="s">
        <v>3388</v>
      </c>
      <c r="E130" s="32">
        <f t="shared" si="61"/>
        <v>1.1100000000000001</v>
      </c>
      <c r="F130" s="33"/>
      <c r="G130" s="34">
        <f t="shared" si="36"/>
        <v>9.86</v>
      </c>
      <c r="H130" s="35">
        <f t="shared" si="37"/>
        <v>9.86</v>
      </c>
      <c r="I130" s="3448">
        <v>9.86</v>
      </c>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118</v>
      </c>
      <c r="AY130" s="39">
        <f t="shared" si="39"/>
        <v>1.1100000000000001</v>
      </c>
      <c r="AZ130" s="32">
        <f t="shared" si="40"/>
        <v>9.86</v>
      </c>
      <c r="BA130" s="32">
        <f t="shared" si="41"/>
        <v>9.86</v>
      </c>
      <c r="BB130" s="32">
        <f t="shared" si="42"/>
        <v>9.86</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1051">
        <v>119</v>
      </c>
      <c r="D131" s="1625" t="s">
        <v>3388</v>
      </c>
      <c r="E131" s="32">
        <f t="shared" si="61"/>
        <v>1.1100000000000001</v>
      </c>
      <c r="F131" s="33"/>
      <c r="G131" s="34">
        <f t="shared" si="36"/>
        <v>9.86</v>
      </c>
      <c r="H131" s="35">
        <f t="shared" si="37"/>
        <v>9.86</v>
      </c>
      <c r="I131" s="3448">
        <v>9.86</v>
      </c>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119</v>
      </c>
      <c r="AY131" s="39">
        <f t="shared" si="39"/>
        <v>1.1100000000000001</v>
      </c>
      <c r="AZ131" s="32">
        <f t="shared" si="40"/>
        <v>9.86</v>
      </c>
      <c r="BA131" s="32">
        <f t="shared" si="41"/>
        <v>9.86</v>
      </c>
      <c r="BB131" s="32">
        <f t="shared" si="42"/>
        <v>9.86</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1051">
        <v>120</v>
      </c>
      <c r="D132" s="1625" t="s">
        <v>3388</v>
      </c>
      <c r="E132" s="32">
        <f t="shared" si="61"/>
        <v>1.1100000000000001</v>
      </c>
      <c r="F132" s="33"/>
      <c r="G132" s="34">
        <f t="shared" si="36"/>
        <v>9.86</v>
      </c>
      <c r="H132" s="35">
        <f t="shared" si="37"/>
        <v>9.86</v>
      </c>
      <c r="I132" s="3448">
        <v>9.86</v>
      </c>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120</v>
      </c>
      <c r="AY132" s="39">
        <f t="shared" si="39"/>
        <v>1.1100000000000001</v>
      </c>
      <c r="AZ132" s="32">
        <f t="shared" si="40"/>
        <v>9.86</v>
      </c>
      <c r="BA132" s="32">
        <f t="shared" si="41"/>
        <v>9.86</v>
      </c>
      <c r="BB132" s="32">
        <f t="shared" si="42"/>
        <v>9.86</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1051">
        <v>121</v>
      </c>
      <c r="D133" s="1625" t="s">
        <v>3388</v>
      </c>
      <c r="E133" s="32">
        <f t="shared" si="61"/>
        <v>1.1100000000000001</v>
      </c>
      <c r="F133" s="33"/>
      <c r="G133" s="34">
        <f t="shared" si="36"/>
        <v>9.86</v>
      </c>
      <c r="H133" s="35">
        <f t="shared" si="37"/>
        <v>9.86</v>
      </c>
      <c r="I133" s="3448">
        <v>9.86</v>
      </c>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121</v>
      </c>
      <c r="AY133" s="39">
        <f t="shared" si="39"/>
        <v>1.1100000000000001</v>
      </c>
      <c r="AZ133" s="32">
        <f t="shared" si="40"/>
        <v>9.86</v>
      </c>
      <c r="BA133" s="32">
        <f t="shared" si="41"/>
        <v>9.86</v>
      </c>
      <c r="BB133" s="32">
        <f t="shared" si="42"/>
        <v>9.86</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1051">
        <v>122</v>
      </c>
      <c r="D134" s="1625" t="s">
        <v>3388</v>
      </c>
      <c r="E134" s="32">
        <f t="shared" si="61"/>
        <v>1.1100000000000001</v>
      </c>
      <c r="F134" s="33"/>
      <c r="G134" s="34">
        <f t="shared" si="36"/>
        <v>9.86</v>
      </c>
      <c r="H134" s="35">
        <f t="shared" si="37"/>
        <v>9.86</v>
      </c>
      <c r="I134" s="3448">
        <v>9.86</v>
      </c>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122</v>
      </c>
      <c r="AY134" s="39">
        <f t="shared" si="39"/>
        <v>1.1100000000000001</v>
      </c>
      <c r="AZ134" s="32">
        <f t="shared" si="40"/>
        <v>9.86</v>
      </c>
      <c r="BA134" s="32">
        <f t="shared" si="41"/>
        <v>9.86</v>
      </c>
      <c r="BB134" s="32">
        <f t="shared" si="42"/>
        <v>9.86</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1051">
        <v>123</v>
      </c>
      <c r="D135" s="1625" t="s">
        <v>3388</v>
      </c>
      <c r="E135" s="32">
        <f t="shared" si="61"/>
        <v>1.1100000000000001</v>
      </c>
      <c r="F135" s="33"/>
      <c r="G135" s="34">
        <f t="shared" si="36"/>
        <v>9.86</v>
      </c>
      <c r="H135" s="35">
        <f t="shared" si="37"/>
        <v>9.86</v>
      </c>
      <c r="I135" s="3448">
        <v>9.86</v>
      </c>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123</v>
      </c>
      <c r="AY135" s="39">
        <f t="shared" si="39"/>
        <v>1.1100000000000001</v>
      </c>
      <c r="AZ135" s="32">
        <f t="shared" si="40"/>
        <v>9.86</v>
      </c>
      <c r="BA135" s="32">
        <f t="shared" si="41"/>
        <v>9.86</v>
      </c>
      <c r="BB135" s="32">
        <f t="shared" si="42"/>
        <v>9.86</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1051">
        <v>124</v>
      </c>
      <c r="D136" s="1625" t="s">
        <v>3388</v>
      </c>
      <c r="E136" s="32">
        <f t="shared" si="61"/>
        <v>1.1100000000000001</v>
      </c>
      <c r="F136" s="33"/>
      <c r="G136" s="34">
        <f t="shared" si="36"/>
        <v>9.86</v>
      </c>
      <c r="H136" s="35">
        <f t="shared" si="37"/>
        <v>9.86</v>
      </c>
      <c r="I136" s="3448">
        <v>9.86</v>
      </c>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124</v>
      </c>
      <c r="AY136" s="39">
        <f t="shared" si="39"/>
        <v>1.1100000000000001</v>
      </c>
      <c r="AZ136" s="32">
        <f t="shared" si="40"/>
        <v>9.86</v>
      </c>
      <c r="BA136" s="32">
        <f t="shared" si="41"/>
        <v>9.86</v>
      </c>
      <c r="BB136" s="32">
        <f t="shared" si="42"/>
        <v>9.86</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1051">
        <v>125</v>
      </c>
      <c r="D137" s="1625" t="s">
        <v>3388</v>
      </c>
      <c r="E137" s="32">
        <f t="shared" si="61"/>
        <v>1.18</v>
      </c>
      <c r="F137" s="33"/>
      <c r="G137" s="34">
        <f t="shared" si="36"/>
        <v>10.55</v>
      </c>
      <c r="H137" s="35">
        <f t="shared" si="37"/>
        <v>10.55</v>
      </c>
      <c r="I137" s="3448">
        <v>10.55</v>
      </c>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125</v>
      </c>
      <c r="AY137" s="39">
        <f t="shared" si="39"/>
        <v>1.18</v>
      </c>
      <c r="AZ137" s="32">
        <f t="shared" si="40"/>
        <v>10.55</v>
      </c>
      <c r="BA137" s="32">
        <f t="shared" si="41"/>
        <v>10.55</v>
      </c>
      <c r="BB137" s="32">
        <f t="shared" si="42"/>
        <v>10.55</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1051">
        <v>126</v>
      </c>
      <c r="D138" s="1625" t="s">
        <v>3388</v>
      </c>
      <c r="E138" s="32">
        <f t="shared" si="61"/>
        <v>1.1200000000000001</v>
      </c>
      <c r="F138" s="33"/>
      <c r="G138" s="34">
        <f t="shared" si="36"/>
        <v>9.99</v>
      </c>
      <c r="H138" s="35">
        <f t="shared" si="37"/>
        <v>9.99</v>
      </c>
      <c r="I138" s="3448">
        <v>9.99</v>
      </c>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126</v>
      </c>
      <c r="AY138" s="39">
        <f t="shared" si="39"/>
        <v>1.1200000000000001</v>
      </c>
      <c r="AZ138" s="32">
        <f t="shared" si="40"/>
        <v>9.99</v>
      </c>
      <c r="BA138" s="32">
        <f t="shared" si="41"/>
        <v>9.99</v>
      </c>
      <c r="BB138" s="32">
        <f t="shared" si="42"/>
        <v>9.99</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1051">
        <v>127</v>
      </c>
      <c r="D139" s="1625" t="s">
        <v>3388</v>
      </c>
      <c r="E139" s="32">
        <f t="shared" si="61"/>
        <v>1.1200000000000001</v>
      </c>
      <c r="F139" s="33"/>
      <c r="G139" s="34">
        <f t="shared" si="36"/>
        <v>9.99</v>
      </c>
      <c r="H139" s="35">
        <f t="shared" si="37"/>
        <v>9.99</v>
      </c>
      <c r="I139" s="3448">
        <v>9.99</v>
      </c>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127</v>
      </c>
      <c r="AY139" s="39">
        <f t="shared" si="39"/>
        <v>1.1200000000000001</v>
      </c>
      <c r="AZ139" s="32">
        <f t="shared" si="40"/>
        <v>9.99</v>
      </c>
      <c r="BA139" s="32">
        <f t="shared" si="41"/>
        <v>9.99</v>
      </c>
      <c r="BB139" s="32">
        <f t="shared" si="42"/>
        <v>9.99</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1051">
        <v>128</v>
      </c>
      <c r="D140" s="1625" t="s">
        <v>3388</v>
      </c>
      <c r="E140" s="32">
        <f t="shared" si="61"/>
        <v>1.24</v>
      </c>
      <c r="F140" s="33"/>
      <c r="G140" s="34">
        <f t="shared" si="36"/>
        <v>11.1</v>
      </c>
      <c r="H140" s="35">
        <f t="shared" si="37"/>
        <v>11.1</v>
      </c>
      <c r="I140" s="3448">
        <v>11.1</v>
      </c>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128</v>
      </c>
      <c r="AY140" s="39">
        <f t="shared" si="39"/>
        <v>1.24</v>
      </c>
      <c r="AZ140" s="32">
        <f t="shared" si="40"/>
        <v>11.1</v>
      </c>
      <c r="BA140" s="32">
        <f t="shared" si="41"/>
        <v>11.1</v>
      </c>
      <c r="BB140" s="32">
        <f t="shared" si="42"/>
        <v>11.1</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1051">
        <v>129</v>
      </c>
      <c r="D141" s="1625" t="s">
        <v>3388</v>
      </c>
      <c r="E141" s="32">
        <f t="shared" si="61"/>
        <v>1.24</v>
      </c>
      <c r="F141" s="33"/>
      <c r="G141" s="34">
        <f t="shared" si="36"/>
        <v>11.1</v>
      </c>
      <c r="H141" s="35">
        <f t="shared" si="37"/>
        <v>11.1</v>
      </c>
      <c r="I141" s="3448">
        <v>11.1</v>
      </c>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129</v>
      </c>
      <c r="AY141" s="39">
        <f t="shared" si="39"/>
        <v>1.24</v>
      </c>
      <c r="AZ141" s="32">
        <f t="shared" si="40"/>
        <v>11.1</v>
      </c>
      <c r="BA141" s="32">
        <f t="shared" si="41"/>
        <v>11.1</v>
      </c>
      <c r="BB141" s="32">
        <f t="shared" si="42"/>
        <v>11.1</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1051">
        <v>130</v>
      </c>
      <c r="D142" s="1625" t="s">
        <v>3388</v>
      </c>
      <c r="E142" s="32">
        <f t="shared" si="61"/>
        <v>1.1200000000000001</v>
      </c>
      <c r="F142" s="33"/>
      <c r="G142" s="34">
        <f t="shared" ref="G142:G173" si="65">H142+AC142+AT142</f>
        <v>9.99</v>
      </c>
      <c r="H142" s="35">
        <f t="shared" ref="H142:H173" si="66">SUMIF(I$12:AB$12,"总值",I142:AB142)</f>
        <v>9.99</v>
      </c>
      <c r="I142" s="3448">
        <v>9.99</v>
      </c>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130</v>
      </c>
      <c r="AY142" s="39">
        <f t="shared" ref="AY142:AY173" si="68">ROUND($AY$6*AZ142/$AZ$5,2)</f>
        <v>1.1200000000000001</v>
      </c>
      <c r="AZ142" s="32">
        <f t="shared" ref="AZ142:AZ173" si="69">BA142+BL142</f>
        <v>9.99</v>
      </c>
      <c r="BA142" s="32">
        <f t="shared" ref="BA142:BA173" si="70">SUM(BB142:BK142)</f>
        <v>9.99</v>
      </c>
      <c r="BB142" s="32">
        <f t="shared" ref="BB142:BB173" si="71">IF($D142="是",I142-J142,0)</f>
        <v>9.99</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1051">
        <v>131</v>
      </c>
      <c r="D143" s="1625" t="s">
        <v>3388</v>
      </c>
      <c r="E143" s="32">
        <f t="shared" si="61"/>
        <v>1.1200000000000001</v>
      </c>
      <c r="F143" s="33"/>
      <c r="G143" s="34">
        <f t="shared" si="65"/>
        <v>9.99</v>
      </c>
      <c r="H143" s="35">
        <f t="shared" si="66"/>
        <v>9.99</v>
      </c>
      <c r="I143" s="3448">
        <v>9.99</v>
      </c>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131</v>
      </c>
      <c r="AY143" s="39">
        <f t="shared" si="68"/>
        <v>1.1200000000000001</v>
      </c>
      <c r="AZ143" s="32">
        <f t="shared" si="69"/>
        <v>9.99</v>
      </c>
      <c r="BA143" s="32">
        <f t="shared" si="70"/>
        <v>9.99</v>
      </c>
      <c r="BB143" s="32">
        <f t="shared" si="71"/>
        <v>9.99</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1051">
        <v>132</v>
      </c>
      <c r="D144" s="1625" t="s">
        <v>3388</v>
      </c>
      <c r="E144" s="32">
        <f t="shared" si="61"/>
        <v>1.18</v>
      </c>
      <c r="F144" s="33"/>
      <c r="G144" s="34">
        <f t="shared" si="65"/>
        <v>10.55</v>
      </c>
      <c r="H144" s="35">
        <f t="shared" si="66"/>
        <v>10.55</v>
      </c>
      <c r="I144" s="3448">
        <v>10.55</v>
      </c>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132</v>
      </c>
      <c r="AY144" s="39">
        <f t="shared" si="68"/>
        <v>1.18</v>
      </c>
      <c r="AZ144" s="32">
        <f t="shared" si="69"/>
        <v>10.55</v>
      </c>
      <c r="BA144" s="32">
        <f t="shared" si="70"/>
        <v>10.55</v>
      </c>
      <c r="BB144" s="32">
        <f t="shared" si="71"/>
        <v>10.55</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1051">
        <v>133</v>
      </c>
      <c r="D145" s="1625" t="s">
        <v>3388</v>
      </c>
      <c r="E145" s="32">
        <f t="shared" ref="E145:E176" si="90">IF($C$3="是",ROUND($A$3*G145/$B$3,2),ROUND($A$3*(G145-AT145)/$B$3,2))</f>
        <v>1.22</v>
      </c>
      <c r="F145" s="33"/>
      <c r="G145" s="34">
        <f t="shared" si="65"/>
        <v>10.84</v>
      </c>
      <c r="H145" s="35">
        <f t="shared" si="66"/>
        <v>10.84</v>
      </c>
      <c r="I145" s="3448">
        <v>10.84</v>
      </c>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133</v>
      </c>
      <c r="AY145" s="39">
        <f t="shared" si="68"/>
        <v>1.22</v>
      </c>
      <c r="AZ145" s="32">
        <f t="shared" si="69"/>
        <v>10.84</v>
      </c>
      <c r="BA145" s="32">
        <f t="shared" si="70"/>
        <v>10.84</v>
      </c>
      <c r="BB145" s="32">
        <f t="shared" si="71"/>
        <v>10.84</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1051">
        <v>134</v>
      </c>
      <c r="D146" s="1625" t="s">
        <v>3388</v>
      </c>
      <c r="E146" s="32">
        <f t="shared" si="90"/>
        <v>1.22</v>
      </c>
      <c r="F146" s="33"/>
      <c r="G146" s="34">
        <f t="shared" si="65"/>
        <v>10.84</v>
      </c>
      <c r="H146" s="35">
        <f t="shared" si="66"/>
        <v>10.84</v>
      </c>
      <c r="I146" s="3448">
        <v>10.84</v>
      </c>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134</v>
      </c>
      <c r="AY146" s="39">
        <f t="shared" si="68"/>
        <v>1.22</v>
      </c>
      <c r="AZ146" s="32">
        <f t="shared" si="69"/>
        <v>10.84</v>
      </c>
      <c r="BA146" s="32">
        <f t="shared" si="70"/>
        <v>10.84</v>
      </c>
      <c r="BB146" s="32">
        <f t="shared" si="71"/>
        <v>10.84</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1051">
        <v>135</v>
      </c>
      <c r="D147" s="1625" t="s">
        <v>3388</v>
      </c>
      <c r="E147" s="32">
        <f t="shared" si="90"/>
        <v>1.22</v>
      </c>
      <c r="F147" s="33"/>
      <c r="G147" s="34">
        <f t="shared" si="65"/>
        <v>10.84</v>
      </c>
      <c r="H147" s="35">
        <f t="shared" si="66"/>
        <v>10.84</v>
      </c>
      <c r="I147" s="3448">
        <v>10.84</v>
      </c>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135</v>
      </c>
      <c r="AY147" s="39">
        <f t="shared" si="68"/>
        <v>1.22</v>
      </c>
      <c r="AZ147" s="32">
        <f t="shared" si="69"/>
        <v>10.84</v>
      </c>
      <c r="BA147" s="32">
        <f t="shared" si="70"/>
        <v>10.84</v>
      </c>
      <c r="BB147" s="32">
        <f t="shared" si="71"/>
        <v>10.84</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1051">
        <v>136</v>
      </c>
      <c r="D148" s="1625" t="s">
        <v>3388</v>
      </c>
      <c r="E148" s="32">
        <f t="shared" si="90"/>
        <v>10.81</v>
      </c>
      <c r="F148" s="33"/>
      <c r="G148" s="34">
        <f t="shared" si="65"/>
        <v>96.42</v>
      </c>
      <c r="H148" s="35">
        <f t="shared" si="66"/>
        <v>96.42</v>
      </c>
      <c r="I148" s="3448">
        <v>96.42</v>
      </c>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136</v>
      </c>
      <c r="AY148" s="39">
        <f t="shared" si="68"/>
        <v>10.81</v>
      </c>
      <c r="AZ148" s="32">
        <f t="shared" si="69"/>
        <v>96.42</v>
      </c>
      <c r="BA148" s="32">
        <f t="shared" si="70"/>
        <v>96.42</v>
      </c>
      <c r="BB148" s="32">
        <f t="shared" si="71"/>
        <v>96.42</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1051">
        <v>137</v>
      </c>
      <c r="D149" s="1625" t="s">
        <v>3388</v>
      </c>
      <c r="E149" s="32">
        <f t="shared" si="90"/>
        <v>3.68</v>
      </c>
      <c r="F149" s="33"/>
      <c r="G149" s="34">
        <f t="shared" si="65"/>
        <v>32.799999999999997</v>
      </c>
      <c r="H149" s="35">
        <f t="shared" si="66"/>
        <v>32.799999999999997</v>
      </c>
      <c r="I149" s="3448">
        <v>32.799999999999997</v>
      </c>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137</v>
      </c>
      <c r="AY149" s="39">
        <f t="shared" si="68"/>
        <v>3.68</v>
      </c>
      <c r="AZ149" s="32">
        <f t="shared" si="69"/>
        <v>32.799999999999997</v>
      </c>
      <c r="BA149" s="32">
        <f t="shared" si="70"/>
        <v>32.799999999999997</v>
      </c>
      <c r="BB149" s="32">
        <f t="shared" si="71"/>
        <v>32.799999999999997</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1051">
        <v>138</v>
      </c>
      <c r="D150" s="1625" t="s">
        <v>3388</v>
      </c>
      <c r="E150" s="32">
        <f t="shared" si="90"/>
        <v>3.68</v>
      </c>
      <c r="F150" s="33"/>
      <c r="G150" s="34">
        <f t="shared" si="65"/>
        <v>32.799999999999997</v>
      </c>
      <c r="H150" s="35">
        <f t="shared" si="66"/>
        <v>32.799999999999997</v>
      </c>
      <c r="I150" s="3448">
        <v>32.799999999999997</v>
      </c>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138</v>
      </c>
      <c r="AY150" s="39">
        <f t="shared" si="68"/>
        <v>3.68</v>
      </c>
      <c r="AZ150" s="32">
        <f t="shared" si="69"/>
        <v>32.799999999999997</v>
      </c>
      <c r="BA150" s="32">
        <f t="shared" si="70"/>
        <v>32.799999999999997</v>
      </c>
      <c r="BB150" s="32">
        <f t="shared" si="71"/>
        <v>32.799999999999997</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1051">
        <v>139</v>
      </c>
      <c r="D151" s="1625" t="s">
        <v>3388</v>
      </c>
      <c r="E151" s="32">
        <f t="shared" si="90"/>
        <v>1.58</v>
      </c>
      <c r="F151" s="33"/>
      <c r="G151" s="34">
        <f t="shared" si="65"/>
        <v>14.1</v>
      </c>
      <c r="H151" s="35">
        <f t="shared" si="66"/>
        <v>14.1</v>
      </c>
      <c r="I151" s="3448">
        <v>14.1</v>
      </c>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139</v>
      </c>
      <c r="AY151" s="39">
        <f t="shared" si="68"/>
        <v>1.58</v>
      </c>
      <c r="AZ151" s="32">
        <f t="shared" si="69"/>
        <v>14.1</v>
      </c>
      <c r="BA151" s="32">
        <f t="shared" si="70"/>
        <v>14.1</v>
      </c>
      <c r="BB151" s="32">
        <f t="shared" si="71"/>
        <v>14.1</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1051">
        <v>140</v>
      </c>
      <c r="D152" s="1625" t="s">
        <v>3388</v>
      </c>
      <c r="E152" s="32">
        <f t="shared" si="90"/>
        <v>1.63</v>
      </c>
      <c r="F152" s="33"/>
      <c r="G152" s="34">
        <f t="shared" si="65"/>
        <v>14.55</v>
      </c>
      <c r="H152" s="35">
        <f t="shared" si="66"/>
        <v>14.55</v>
      </c>
      <c r="I152" s="3449">
        <v>14.55</v>
      </c>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140</v>
      </c>
      <c r="AY152" s="39">
        <f t="shared" si="68"/>
        <v>1.63</v>
      </c>
      <c r="AZ152" s="32">
        <f t="shared" si="69"/>
        <v>14.55</v>
      </c>
      <c r="BA152" s="32">
        <f t="shared" si="70"/>
        <v>14.55</v>
      </c>
      <c r="BB152" s="32">
        <f t="shared" si="71"/>
        <v>14.55</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1051">
        <v>141</v>
      </c>
      <c r="D153" s="1625" t="s">
        <v>3388</v>
      </c>
      <c r="E153" s="32">
        <f t="shared" si="90"/>
        <v>2.88</v>
      </c>
      <c r="F153" s="33"/>
      <c r="G153" s="34">
        <f t="shared" si="65"/>
        <v>25.67</v>
      </c>
      <c r="H153" s="35">
        <f t="shared" si="66"/>
        <v>25.67</v>
      </c>
      <c r="I153" s="3449">
        <v>25.67</v>
      </c>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141</v>
      </c>
      <c r="AY153" s="39">
        <f t="shared" si="68"/>
        <v>2.88</v>
      </c>
      <c r="AZ153" s="32">
        <f t="shared" si="69"/>
        <v>25.67</v>
      </c>
      <c r="BA153" s="32">
        <f t="shared" si="70"/>
        <v>25.67</v>
      </c>
      <c r="BB153" s="32">
        <f t="shared" si="71"/>
        <v>25.67</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1051">
        <v>142</v>
      </c>
      <c r="D154" s="1625" t="s">
        <v>3388</v>
      </c>
      <c r="E154" s="32">
        <f t="shared" si="90"/>
        <v>1.47</v>
      </c>
      <c r="F154" s="33"/>
      <c r="G154" s="34">
        <f t="shared" si="65"/>
        <v>13.1</v>
      </c>
      <c r="H154" s="35">
        <f t="shared" si="66"/>
        <v>13.1</v>
      </c>
      <c r="I154" s="3449">
        <v>13.1</v>
      </c>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142</v>
      </c>
      <c r="AY154" s="39">
        <f t="shared" si="68"/>
        <v>1.47</v>
      </c>
      <c r="AZ154" s="32">
        <f t="shared" si="69"/>
        <v>13.1</v>
      </c>
      <c r="BA154" s="32">
        <f t="shared" si="70"/>
        <v>13.1</v>
      </c>
      <c r="BB154" s="32">
        <f t="shared" si="71"/>
        <v>13.1</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1051">
        <v>143</v>
      </c>
      <c r="D155" s="1625" t="s">
        <v>3388</v>
      </c>
      <c r="E155" s="32">
        <f t="shared" si="90"/>
        <v>1.47</v>
      </c>
      <c r="F155" s="33"/>
      <c r="G155" s="34">
        <f t="shared" si="65"/>
        <v>13.1</v>
      </c>
      <c r="H155" s="35">
        <f t="shared" si="66"/>
        <v>13.1</v>
      </c>
      <c r="I155" s="3449">
        <v>13.1</v>
      </c>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143</v>
      </c>
      <c r="AY155" s="39">
        <f t="shared" si="68"/>
        <v>1.47</v>
      </c>
      <c r="AZ155" s="32">
        <f t="shared" si="69"/>
        <v>13.1</v>
      </c>
      <c r="BA155" s="32">
        <f t="shared" si="70"/>
        <v>13.1</v>
      </c>
      <c r="BB155" s="32">
        <f t="shared" si="71"/>
        <v>13.1</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1051">
        <v>144</v>
      </c>
      <c r="D156" s="1625" t="s">
        <v>3388</v>
      </c>
      <c r="E156" s="32">
        <f t="shared" si="90"/>
        <v>1.87</v>
      </c>
      <c r="F156" s="33"/>
      <c r="G156" s="34">
        <f t="shared" si="65"/>
        <v>16.649999999999999</v>
      </c>
      <c r="H156" s="35">
        <f t="shared" si="66"/>
        <v>16.649999999999999</v>
      </c>
      <c r="I156" s="3449">
        <v>16.649999999999999</v>
      </c>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144</v>
      </c>
      <c r="AY156" s="39">
        <f t="shared" si="68"/>
        <v>1.87</v>
      </c>
      <c r="AZ156" s="32">
        <f t="shared" si="69"/>
        <v>16.649999999999999</v>
      </c>
      <c r="BA156" s="32">
        <f t="shared" si="70"/>
        <v>16.649999999999999</v>
      </c>
      <c r="BB156" s="32">
        <f t="shared" si="71"/>
        <v>16.649999999999999</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1051">
        <v>145</v>
      </c>
      <c r="D157" s="1625" t="s">
        <v>3388</v>
      </c>
      <c r="E157" s="32">
        <f t="shared" si="90"/>
        <v>1.87</v>
      </c>
      <c r="F157" s="33"/>
      <c r="G157" s="34">
        <f t="shared" si="65"/>
        <v>16.649999999999999</v>
      </c>
      <c r="H157" s="35">
        <f t="shared" si="66"/>
        <v>16.649999999999999</v>
      </c>
      <c r="I157" s="3449">
        <v>16.649999999999999</v>
      </c>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145</v>
      </c>
      <c r="AY157" s="39">
        <f t="shared" si="68"/>
        <v>1.87</v>
      </c>
      <c r="AZ157" s="32">
        <f t="shared" si="69"/>
        <v>16.649999999999999</v>
      </c>
      <c r="BA157" s="32">
        <f t="shared" si="70"/>
        <v>16.649999999999999</v>
      </c>
      <c r="BB157" s="32">
        <f t="shared" si="71"/>
        <v>16.649999999999999</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1051">
        <v>146</v>
      </c>
      <c r="D158" s="1625" t="s">
        <v>3388</v>
      </c>
      <c r="E158" s="32">
        <f t="shared" si="90"/>
        <v>1.47</v>
      </c>
      <c r="F158" s="33"/>
      <c r="G158" s="34">
        <f t="shared" si="65"/>
        <v>13.1</v>
      </c>
      <c r="H158" s="35">
        <f t="shared" si="66"/>
        <v>13.1</v>
      </c>
      <c r="I158" s="3449">
        <v>13.1</v>
      </c>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146</v>
      </c>
      <c r="AY158" s="39">
        <f t="shared" si="68"/>
        <v>1.47</v>
      </c>
      <c r="AZ158" s="32">
        <f t="shared" si="69"/>
        <v>13.1</v>
      </c>
      <c r="BA158" s="32">
        <f t="shared" si="70"/>
        <v>13.1</v>
      </c>
      <c r="BB158" s="32">
        <f t="shared" si="71"/>
        <v>13.1</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1051">
        <v>147</v>
      </c>
      <c r="D159" s="1625" t="s">
        <v>3388</v>
      </c>
      <c r="E159" s="32">
        <f t="shared" si="90"/>
        <v>1.47</v>
      </c>
      <c r="F159" s="33"/>
      <c r="G159" s="34">
        <f t="shared" si="65"/>
        <v>13.1</v>
      </c>
      <c r="H159" s="35">
        <f t="shared" si="66"/>
        <v>13.1</v>
      </c>
      <c r="I159" s="3449">
        <v>13.1</v>
      </c>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147</v>
      </c>
      <c r="AY159" s="39">
        <f t="shared" si="68"/>
        <v>1.47</v>
      </c>
      <c r="AZ159" s="32">
        <f t="shared" si="69"/>
        <v>13.1</v>
      </c>
      <c r="BA159" s="32">
        <f t="shared" si="70"/>
        <v>13.1</v>
      </c>
      <c r="BB159" s="32">
        <f t="shared" si="71"/>
        <v>13.1</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1051">
        <v>148</v>
      </c>
      <c r="D160" s="1625" t="s">
        <v>3388</v>
      </c>
      <c r="E160" s="32">
        <f t="shared" si="90"/>
        <v>1.87</v>
      </c>
      <c r="F160" s="33"/>
      <c r="G160" s="34">
        <f t="shared" si="65"/>
        <v>16.649999999999999</v>
      </c>
      <c r="H160" s="35">
        <f t="shared" si="66"/>
        <v>16.649999999999999</v>
      </c>
      <c r="I160" s="3449">
        <v>16.649999999999999</v>
      </c>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148</v>
      </c>
      <c r="AY160" s="39">
        <f t="shared" si="68"/>
        <v>1.87</v>
      </c>
      <c r="AZ160" s="32">
        <f t="shared" si="69"/>
        <v>16.649999999999999</v>
      </c>
      <c r="BA160" s="32">
        <f t="shared" si="70"/>
        <v>16.649999999999999</v>
      </c>
      <c r="BB160" s="32">
        <f t="shared" si="71"/>
        <v>16.649999999999999</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1051">
        <v>149</v>
      </c>
      <c r="D161" s="1625" t="s">
        <v>3388</v>
      </c>
      <c r="E161" s="32">
        <f t="shared" si="90"/>
        <v>1.87</v>
      </c>
      <c r="F161" s="33"/>
      <c r="G161" s="34">
        <f t="shared" si="65"/>
        <v>16.649999999999999</v>
      </c>
      <c r="H161" s="35">
        <f t="shared" si="66"/>
        <v>16.649999999999999</v>
      </c>
      <c r="I161" s="3449">
        <v>16.649999999999999</v>
      </c>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149</v>
      </c>
      <c r="AY161" s="39">
        <f t="shared" si="68"/>
        <v>1.87</v>
      </c>
      <c r="AZ161" s="32">
        <f t="shared" si="69"/>
        <v>16.649999999999999</v>
      </c>
      <c r="BA161" s="32">
        <f t="shared" si="70"/>
        <v>16.649999999999999</v>
      </c>
      <c r="BB161" s="32">
        <f t="shared" si="71"/>
        <v>16.649999999999999</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1051">
        <v>150</v>
      </c>
      <c r="D162" s="1625" t="s">
        <v>3388</v>
      </c>
      <c r="E162" s="32">
        <f t="shared" si="90"/>
        <v>1.47</v>
      </c>
      <c r="F162" s="33"/>
      <c r="G162" s="34">
        <f t="shared" si="65"/>
        <v>13.1</v>
      </c>
      <c r="H162" s="35">
        <f t="shared" si="66"/>
        <v>13.1</v>
      </c>
      <c r="I162" s="3449">
        <v>13.1</v>
      </c>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150</v>
      </c>
      <c r="AY162" s="39">
        <f t="shared" si="68"/>
        <v>1.47</v>
      </c>
      <c r="AZ162" s="32">
        <f t="shared" si="69"/>
        <v>13.1</v>
      </c>
      <c r="BA162" s="32">
        <f t="shared" si="70"/>
        <v>13.1</v>
      </c>
      <c r="BB162" s="32">
        <f t="shared" si="71"/>
        <v>13.1</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1051">
        <v>151</v>
      </c>
      <c r="D163" s="1625" t="s">
        <v>3388</v>
      </c>
      <c r="E163" s="32">
        <f t="shared" si="90"/>
        <v>1.47</v>
      </c>
      <c r="F163" s="33"/>
      <c r="G163" s="34">
        <f t="shared" si="65"/>
        <v>13.1</v>
      </c>
      <c r="H163" s="35">
        <f t="shared" si="66"/>
        <v>13.1</v>
      </c>
      <c r="I163" s="3449">
        <v>13.1</v>
      </c>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151</v>
      </c>
      <c r="AY163" s="39">
        <f t="shared" si="68"/>
        <v>1.47</v>
      </c>
      <c r="AZ163" s="32">
        <f t="shared" si="69"/>
        <v>13.1</v>
      </c>
      <c r="BA163" s="32">
        <f t="shared" si="70"/>
        <v>13.1</v>
      </c>
      <c r="BB163" s="32">
        <f t="shared" si="71"/>
        <v>13.1</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1051">
        <v>152</v>
      </c>
      <c r="D164" s="1625" t="s">
        <v>3388</v>
      </c>
      <c r="E164" s="32">
        <f t="shared" si="90"/>
        <v>1.87</v>
      </c>
      <c r="F164" s="33"/>
      <c r="G164" s="34">
        <f t="shared" si="65"/>
        <v>16.649999999999999</v>
      </c>
      <c r="H164" s="35">
        <f t="shared" si="66"/>
        <v>16.649999999999999</v>
      </c>
      <c r="I164" s="3449">
        <v>16.649999999999999</v>
      </c>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152</v>
      </c>
      <c r="AY164" s="39">
        <f t="shared" si="68"/>
        <v>1.87</v>
      </c>
      <c r="AZ164" s="32">
        <f t="shared" si="69"/>
        <v>16.649999999999999</v>
      </c>
      <c r="BA164" s="32">
        <f t="shared" si="70"/>
        <v>16.649999999999999</v>
      </c>
      <c r="BB164" s="32">
        <f t="shared" si="71"/>
        <v>16.649999999999999</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1051">
        <v>153</v>
      </c>
      <c r="D165" s="1625" t="s">
        <v>3388</v>
      </c>
      <c r="E165" s="32">
        <f t="shared" si="90"/>
        <v>1.87</v>
      </c>
      <c r="F165" s="33"/>
      <c r="G165" s="34">
        <f t="shared" si="65"/>
        <v>16.649999999999999</v>
      </c>
      <c r="H165" s="35">
        <f t="shared" si="66"/>
        <v>16.649999999999999</v>
      </c>
      <c r="I165" s="3449">
        <v>16.649999999999999</v>
      </c>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153</v>
      </c>
      <c r="AY165" s="39">
        <f t="shared" si="68"/>
        <v>1.87</v>
      </c>
      <c r="AZ165" s="32">
        <f t="shared" si="69"/>
        <v>16.649999999999999</v>
      </c>
      <c r="BA165" s="32">
        <f t="shared" si="70"/>
        <v>16.649999999999999</v>
      </c>
      <c r="BB165" s="32">
        <f t="shared" si="71"/>
        <v>16.649999999999999</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1051">
        <v>154</v>
      </c>
      <c r="D166" s="1625" t="s">
        <v>3388</v>
      </c>
      <c r="E166" s="32">
        <f t="shared" si="90"/>
        <v>1.47</v>
      </c>
      <c r="F166" s="33"/>
      <c r="G166" s="34">
        <f t="shared" si="65"/>
        <v>13.1</v>
      </c>
      <c r="H166" s="35">
        <f t="shared" si="66"/>
        <v>13.1</v>
      </c>
      <c r="I166" s="3449">
        <v>13.1</v>
      </c>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154</v>
      </c>
      <c r="AY166" s="39">
        <f t="shared" si="68"/>
        <v>1.47</v>
      </c>
      <c r="AZ166" s="32">
        <f t="shared" si="69"/>
        <v>13.1</v>
      </c>
      <c r="BA166" s="32">
        <f t="shared" si="70"/>
        <v>13.1</v>
      </c>
      <c r="BB166" s="32">
        <f t="shared" si="71"/>
        <v>13.1</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1051">
        <v>155</v>
      </c>
      <c r="D167" s="1625" t="s">
        <v>3388</v>
      </c>
      <c r="E167" s="32">
        <f t="shared" si="90"/>
        <v>1.47</v>
      </c>
      <c r="F167" s="33"/>
      <c r="G167" s="34">
        <f t="shared" si="65"/>
        <v>13.1</v>
      </c>
      <c r="H167" s="35">
        <f t="shared" si="66"/>
        <v>13.1</v>
      </c>
      <c r="I167" s="3449">
        <v>13.1</v>
      </c>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155</v>
      </c>
      <c r="AY167" s="39">
        <f t="shared" si="68"/>
        <v>1.47</v>
      </c>
      <c r="AZ167" s="32">
        <f t="shared" si="69"/>
        <v>13.1</v>
      </c>
      <c r="BA167" s="32">
        <f t="shared" si="70"/>
        <v>13.1</v>
      </c>
      <c r="BB167" s="32">
        <f t="shared" si="71"/>
        <v>13.1</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1051">
        <v>156</v>
      </c>
      <c r="D168" s="1625" t="s">
        <v>3388</v>
      </c>
      <c r="E168" s="32">
        <f t="shared" si="90"/>
        <v>1.87</v>
      </c>
      <c r="F168" s="33"/>
      <c r="G168" s="34">
        <f t="shared" si="65"/>
        <v>16.649999999999999</v>
      </c>
      <c r="H168" s="35">
        <f t="shared" si="66"/>
        <v>16.649999999999999</v>
      </c>
      <c r="I168" s="3449">
        <v>16.649999999999999</v>
      </c>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156</v>
      </c>
      <c r="AY168" s="39">
        <f t="shared" si="68"/>
        <v>1.87</v>
      </c>
      <c r="AZ168" s="32">
        <f t="shared" si="69"/>
        <v>16.649999999999999</v>
      </c>
      <c r="BA168" s="32">
        <f t="shared" si="70"/>
        <v>16.649999999999999</v>
      </c>
      <c r="BB168" s="32">
        <f t="shared" si="71"/>
        <v>16.649999999999999</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1051">
        <v>157</v>
      </c>
      <c r="D169" s="1625" t="s">
        <v>3388</v>
      </c>
      <c r="E169" s="32">
        <f t="shared" si="90"/>
        <v>1.87</v>
      </c>
      <c r="F169" s="33"/>
      <c r="G169" s="34">
        <f t="shared" si="65"/>
        <v>16.649999999999999</v>
      </c>
      <c r="H169" s="35">
        <f t="shared" si="66"/>
        <v>16.649999999999999</v>
      </c>
      <c r="I169" s="3449">
        <v>16.649999999999999</v>
      </c>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157</v>
      </c>
      <c r="AY169" s="39">
        <f t="shared" si="68"/>
        <v>1.87</v>
      </c>
      <c r="AZ169" s="32">
        <f t="shared" si="69"/>
        <v>16.649999999999999</v>
      </c>
      <c r="BA169" s="32">
        <f t="shared" si="70"/>
        <v>16.649999999999999</v>
      </c>
      <c r="BB169" s="32">
        <f t="shared" si="71"/>
        <v>16.649999999999999</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1051">
        <v>158</v>
      </c>
      <c r="D170" s="1625" t="s">
        <v>3388</v>
      </c>
      <c r="E170" s="32">
        <f t="shared" si="90"/>
        <v>1.47</v>
      </c>
      <c r="F170" s="33"/>
      <c r="G170" s="34">
        <f t="shared" si="65"/>
        <v>13.1</v>
      </c>
      <c r="H170" s="35">
        <f t="shared" si="66"/>
        <v>13.1</v>
      </c>
      <c r="I170" s="3449">
        <v>13.1</v>
      </c>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158</v>
      </c>
      <c r="AY170" s="39">
        <f t="shared" si="68"/>
        <v>1.47</v>
      </c>
      <c r="AZ170" s="32">
        <f t="shared" si="69"/>
        <v>13.1</v>
      </c>
      <c r="BA170" s="32">
        <f t="shared" si="70"/>
        <v>13.1</v>
      </c>
      <c r="BB170" s="32">
        <f t="shared" si="71"/>
        <v>13.1</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1051">
        <v>159</v>
      </c>
      <c r="D171" s="1625" t="s">
        <v>3388</v>
      </c>
      <c r="E171" s="32">
        <f t="shared" si="90"/>
        <v>1.47</v>
      </c>
      <c r="F171" s="33"/>
      <c r="G171" s="34">
        <f t="shared" si="65"/>
        <v>13.1</v>
      </c>
      <c r="H171" s="35">
        <f t="shared" si="66"/>
        <v>13.1</v>
      </c>
      <c r="I171" s="3449">
        <v>13.1</v>
      </c>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159</v>
      </c>
      <c r="AY171" s="39">
        <f t="shared" si="68"/>
        <v>1.47</v>
      </c>
      <c r="AZ171" s="32">
        <f t="shared" si="69"/>
        <v>13.1</v>
      </c>
      <c r="BA171" s="32">
        <f t="shared" si="70"/>
        <v>13.1</v>
      </c>
      <c r="BB171" s="32">
        <f t="shared" si="71"/>
        <v>13.1</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1051">
        <v>160</v>
      </c>
      <c r="D172" s="1625" t="s">
        <v>3388</v>
      </c>
      <c r="E172" s="32">
        <f t="shared" si="90"/>
        <v>1.86</v>
      </c>
      <c r="F172" s="33"/>
      <c r="G172" s="34">
        <f t="shared" si="65"/>
        <v>16.59</v>
      </c>
      <c r="H172" s="35">
        <f t="shared" si="66"/>
        <v>16.59</v>
      </c>
      <c r="I172" s="3449">
        <v>16.59</v>
      </c>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160</v>
      </c>
      <c r="AY172" s="39">
        <f t="shared" si="68"/>
        <v>1.86</v>
      </c>
      <c r="AZ172" s="32">
        <f t="shared" si="69"/>
        <v>16.59</v>
      </c>
      <c r="BA172" s="32">
        <f t="shared" si="70"/>
        <v>16.59</v>
      </c>
      <c r="BB172" s="32">
        <f t="shared" si="71"/>
        <v>16.59</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1051">
        <v>161</v>
      </c>
      <c r="D173" s="1625" t="s">
        <v>3388</v>
      </c>
      <c r="E173" s="32">
        <f t="shared" si="90"/>
        <v>1.77</v>
      </c>
      <c r="F173" s="33"/>
      <c r="G173" s="34">
        <f t="shared" si="65"/>
        <v>15.79</v>
      </c>
      <c r="H173" s="35">
        <f t="shared" si="66"/>
        <v>15.79</v>
      </c>
      <c r="I173" s="3449">
        <v>15.79</v>
      </c>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161</v>
      </c>
      <c r="AY173" s="39">
        <f t="shared" si="68"/>
        <v>1.77</v>
      </c>
      <c r="AZ173" s="32">
        <f t="shared" si="69"/>
        <v>15.79</v>
      </c>
      <c r="BA173" s="32">
        <f t="shared" si="70"/>
        <v>15.79</v>
      </c>
      <c r="BB173" s="32">
        <f t="shared" si="71"/>
        <v>15.79</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1051">
        <v>162</v>
      </c>
      <c r="D174" s="1625" t="s">
        <v>3388</v>
      </c>
      <c r="E174" s="32">
        <f t="shared" si="90"/>
        <v>1.43</v>
      </c>
      <c r="F174" s="33"/>
      <c r="G174" s="34">
        <f t="shared" ref="G174:G205" si="94">H174+AC174+AT174</f>
        <v>12.75</v>
      </c>
      <c r="H174" s="35">
        <f t="shared" ref="H174:H205" si="95">SUMIF(I$12:AB$12,"总值",I174:AB174)</f>
        <v>12.75</v>
      </c>
      <c r="I174" s="3449">
        <v>12.75</v>
      </c>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162</v>
      </c>
      <c r="AY174" s="39">
        <f t="shared" ref="AY174:AY205" si="97">ROUND($AY$6*AZ174/$AZ$5,2)</f>
        <v>1.43</v>
      </c>
      <c r="AZ174" s="32">
        <f t="shared" ref="AZ174:AZ205" si="98">BA174+BL174</f>
        <v>12.75</v>
      </c>
      <c r="BA174" s="32">
        <f t="shared" ref="BA174:BA205" si="99">SUM(BB174:BK174)</f>
        <v>12.75</v>
      </c>
      <c r="BB174" s="32">
        <f t="shared" ref="BB174:BB207" si="100">IF($D174="是",I174-J174,0)</f>
        <v>12.75</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1051">
        <v>163</v>
      </c>
      <c r="D175" s="1625" t="s">
        <v>3388</v>
      </c>
      <c r="E175" s="32">
        <f t="shared" si="90"/>
        <v>1.43</v>
      </c>
      <c r="F175" s="33"/>
      <c r="G175" s="34">
        <f t="shared" si="94"/>
        <v>12.75</v>
      </c>
      <c r="H175" s="35">
        <f t="shared" si="95"/>
        <v>12.75</v>
      </c>
      <c r="I175" s="3449">
        <v>12.75</v>
      </c>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163</v>
      </c>
      <c r="AY175" s="39">
        <f t="shared" si="97"/>
        <v>1.43</v>
      </c>
      <c r="AZ175" s="32">
        <f t="shared" si="98"/>
        <v>12.75</v>
      </c>
      <c r="BA175" s="32">
        <f t="shared" si="99"/>
        <v>12.75</v>
      </c>
      <c r="BB175" s="32">
        <f t="shared" si="100"/>
        <v>12.75</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1051">
        <v>164</v>
      </c>
      <c r="D176" s="1625" t="s">
        <v>3388</v>
      </c>
      <c r="E176" s="32">
        <f t="shared" si="90"/>
        <v>1.43</v>
      </c>
      <c r="F176" s="33"/>
      <c r="G176" s="34">
        <f t="shared" si="94"/>
        <v>12.75</v>
      </c>
      <c r="H176" s="35">
        <f t="shared" si="95"/>
        <v>12.75</v>
      </c>
      <c r="I176" s="3449">
        <v>12.75</v>
      </c>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164</v>
      </c>
      <c r="AY176" s="39">
        <f t="shared" si="97"/>
        <v>1.43</v>
      </c>
      <c r="AZ176" s="32">
        <f t="shared" si="98"/>
        <v>12.75</v>
      </c>
      <c r="BA176" s="32">
        <f t="shared" si="99"/>
        <v>12.75</v>
      </c>
      <c r="BB176" s="32">
        <f t="shared" si="100"/>
        <v>12.75</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1051">
        <v>165</v>
      </c>
      <c r="D177" s="1625" t="s">
        <v>3388</v>
      </c>
      <c r="E177" s="32">
        <f t="shared" ref="E177:E207" si="119">IF($C$3="是",ROUND($A$3*G177/$B$3,2),ROUND($A$3*(G177-AT177)/$B$3,2))</f>
        <v>1.38</v>
      </c>
      <c r="F177" s="33"/>
      <c r="G177" s="34">
        <f t="shared" si="94"/>
        <v>12.28</v>
      </c>
      <c r="H177" s="35">
        <f t="shared" si="95"/>
        <v>12.28</v>
      </c>
      <c r="I177" s="3449">
        <v>12.28</v>
      </c>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165</v>
      </c>
      <c r="AY177" s="39">
        <f t="shared" si="97"/>
        <v>1.38</v>
      </c>
      <c r="AZ177" s="32">
        <f t="shared" si="98"/>
        <v>12.28</v>
      </c>
      <c r="BA177" s="32">
        <f t="shared" si="99"/>
        <v>12.28</v>
      </c>
      <c r="BB177" s="32">
        <f t="shared" si="100"/>
        <v>12.28</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1051">
        <v>166</v>
      </c>
      <c r="D178" s="1625" t="s">
        <v>3388</v>
      </c>
      <c r="E178" s="32">
        <f t="shared" si="119"/>
        <v>1.33</v>
      </c>
      <c r="F178" s="33"/>
      <c r="G178" s="34">
        <f t="shared" si="94"/>
        <v>11.84</v>
      </c>
      <c r="H178" s="35">
        <f t="shared" si="95"/>
        <v>11.84</v>
      </c>
      <c r="I178" s="3449">
        <v>11.84</v>
      </c>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166</v>
      </c>
      <c r="AY178" s="39">
        <f t="shared" si="97"/>
        <v>1.33</v>
      </c>
      <c r="AZ178" s="32">
        <f t="shared" si="98"/>
        <v>11.84</v>
      </c>
      <c r="BA178" s="32">
        <f t="shared" si="99"/>
        <v>11.84</v>
      </c>
      <c r="BB178" s="32">
        <f t="shared" si="100"/>
        <v>11.84</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1051">
        <v>167</v>
      </c>
      <c r="D179" s="1625" t="s">
        <v>3388</v>
      </c>
      <c r="E179" s="32">
        <f t="shared" si="119"/>
        <v>1.33</v>
      </c>
      <c r="F179" s="33"/>
      <c r="G179" s="34">
        <f t="shared" si="94"/>
        <v>11.84</v>
      </c>
      <c r="H179" s="35">
        <f t="shared" si="95"/>
        <v>11.84</v>
      </c>
      <c r="I179" s="3449">
        <v>11.84</v>
      </c>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167</v>
      </c>
      <c r="AY179" s="39">
        <f t="shared" si="97"/>
        <v>1.33</v>
      </c>
      <c r="AZ179" s="32">
        <f t="shared" si="98"/>
        <v>11.84</v>
      </c>
      <c r="BA179" s="32">
        <f t="shared" si="99"/>
        <v>11.84</v>
      </c>
      <c r="BB179" s="32">
        <f t="shared" si="100"/>
        <v>11.84</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1051">
        <v>168</v>
      </c>
      <c r="D180" s="1625" t="s">
        <v>3388</v>
      </c>
      <c r="E180" s="32">
        <f t="shared" si="119"/>
        <v>1.58</v>
      </c>
      <c r="F180" s="33"/>
      <c r="G180" s="34">
        <f t="shared" si="94"/>
        <v>14.1</v>
      </c>
      <c r="H180" s="35">
        <f t="shared" si="95"/>
        <v>14.1</v>
      </c>
      <c r="I180" s="3449">
        <v>14.1</v>
      </c>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168</v>
      </c>
      <c r="AY180" s="39">
        <f t="shared" si="97"/>
        <v>1.58</v>
      </c>
      <c r="AZ180" s="32">
        <f t="shared" si="98"/>
        <v>14.1</v>
      </c>
      <c r="BA180" s="32">
        <f t="shared" si="99"/>
        <v>14.1</v>
      </c>
      <c r="BB180" s="32">
        <f t="shared" si="100"/>
        <v>14.1</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1051">
        <v>169</v>
      </c>
      <c r="D181" s="1625" t="s">
        <v>3388</v>
      </c>
      <c r="E181" s="32">
        <f t="shared" si="119"/>
        <v>1.58</v>
      </c>
      <c r="F181" s="33"/>
      <c r="G181" s="34">
        <f t="shared" si="94"/>
        <v>14.1</v>
      </c>
      <c r="H181" s="35">
        <f t="shared" si="95"/>
        <v>14.1</v>
      </c>
      <c r="I181" s="3451">
        <v>14.1</v>
      </c>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169</v>
      </c>
      <c r="AY181" s="39">
        <f t="shared" si="97"/>
        <v>1.58</v>
      </c>
      <c r="AZ181" s="32">
        <f t="shared" si="98"/>
        <v>14.1</v>
      </c>
      <c r="BA181" s="32">
        <f t="shared" si="99"/>
        <v>14.1</v>
      </c>
      <c r="BB181" s="32">
        <f t="shared" si="100"/>
        <v>14.1</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1051">
        <v>170</v>
      </c>
      <c r="D182" s="1625" t="s">
        <v>3388</v>
      </c>
      <c r="E182" s="32">
        <f t="shared" si="119"/>
        <v>4.1399999999999997</v>
      </c>
      <c r="F182" s="33"/>
      <c r="G182" s="34">
        <f t="shared" si="94"/>
        <v>36.950000000000003</v>
      </c>
      <c r="H182" s="35">
        <f t="shared" si="95"/>
        <v>36.950000000000003</v>
      </c>
      <c r="I182" s="3451">
        <v>36.950000000000003</v>
      </c>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170</v>
      </c>
      <c r="AY182" s="39">
        <f t="shared" si="97"/>
        <v>4.1399999999999997</v>
      </c>
      <c r="AZ182" s="32">
        <f t="shared" si="98"/>
        <v>36.950000000000003</v>
      </c>
      <c r="BA182" s="32">
        <f t="shared" si="99"/>
        <v>36.950000000000003</v>
      </c>
      <c r="BB182" s="32">
        <f t="shared" si="100"/>
        <v>36.950000000000003</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1051">
        <v>171</v>
      </c>
      <c r="D183" s="1625" t="s">
        <v>3388</v>
      </c>
      <c r="E183" s="32">
        <f t="shared" si="119"/>
        <v>4.72</v>
      </c>
      <c r="F183" s="33"/>
      <c r="G183" s="34">
        <f t="shared" si="94"/>
        <v>42.06</v>
      </c>
      <c r="H183" s="35">
        <f t="shared" si="95"/>
        <v>42.06</v>
      </c>
      <c r="I183" s="3451">
        <v>42.06</v>
      </c>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171</v>
      </c>
      <c r="AY183" s="39">
        <f t="shared" si="97"/>
        <v>4.72</v>
      </c>
      <c r="AZ183" s="32">
        <f t="shared" si="98"/>
        <v>42.06</v>
      </c>
      <c r="BA183" s="32">
        <f t="shared" si="99"/>
        <v>42.06</v>
      </c>
      <c r="BB183" s="32">
        <f t="shared" si="100"/>
        <v>42.06</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1051">
        <v>172</v>
      </c>
      <c r="D184" s="1625" t="s">
        <v>3388</v>
      </c>
      <c r="E184" s="32">
        <f t="shared" si="119"/>
        <v>5.03</v>
      </c>
      <c r="F184" s="33"/>
      <c r="G184" s="34">
        <f t="shared" si="94"/>
        <v>44.88</v>
      </c>
      <c r="H184" s="35">
        <f t="shared" si="95"/>
        <v>44.88</v>
      </c>
      <c r="I184" s="3451">
        <v>44.88</v>
      </c>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172</v>
      </c>
      <c r="AY184" s="39">
        <f t="shared" si="97"/>
        <v>5.03</v>
      </c>
      <c r="AZ184" s="32">
        <f t="shared" si="98"/>
        <v>44.88</v>
      </c>
      <c r="BA184" s="32">
        <f t="shared" si="99"/>
        <v>44.88</v>
      </c>
      <c r="BB184" s="32">
        <f t="shared" si="100"/>
        <v>44.88</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1051">
        <v>173</v>
      </c>
      <c r="D185" s="1625" t="s">
        <v>3388</v>
      </c>
      <c r="E185" s="32">
        <f t="shared" si="119"/>
        <v>4.9000000000000004</v>
      </c>
      <c r="F185" s="33"/>
      <c r="G185" s="34">
        <f t="shared" si="94"/>
        <v>43.72</v>
      </c>
      <c r="H185" s="35">
        <f t="shared" si="95"/>
        <v>43.72</v>
      </c>
      <c r="I185" s="3451">
        <v>43.72</v>
      </c>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173</v>
      </c>
      <c r="AY185" s="39">
        <f t="shared" si="97"/>
        <v>4.9000000000000004</v>
      </c>
      <c r="AZ185" s="32">
        <f t="shared" si="98"/>
        <v>43.72</v>
      </c>
      <c r="BA185" s="32">
        <f t="shared" si="99"/>
        <v>43.72</v>
      </c>
      <c r="BB185" s="32">
        <f t="shared" si="100"/>
        <v>43.72</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1051">
        <v>174</v>
      </c>
      <c r="D186" s="1625" t="s">
        <v>3388</v>
      </c>
      <c r="E186" s="32">
        <f t="shared" si="119"/>
        <v>4.93</v>
      </c>
      <c r="F186" s="33"/>
      <c r="G186" s="34">
        <f t="shared" si="94"/>
        <v>43.95</v>
      </c>
      <c r="H186" s="35">
        <f t="shared" si="95"/>
        <v>43.95</v>
      </c>
      <c r="I186" s="3451">
        <v>43.95</v>
      </c>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174</v>
      </c>
      <c r="AY186" s="39">
        <f t="shared" si="97"/>
        <v>4.93</v>
      </c>
      <c r="AZ186" s="32">
        <f t="shared" si="98"/>
        <v>43.95</v>
      </c>
      <c r="BA186" s="32">
        <f t="shared" si="99"/>
        <v>43.95</v>
      </c>
      <c r="BB186" s="32">
        <f t="shared" si="100"/>
        <v>43.95</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1051">
        <v>175</v>
      </c>
      <c r="D187" s="1625" t="s">
        <v>3388</v>
      </c>
      <c r="E187" s="32">
        <f t="shared" si="119"/>
        <v>4.7699999999999996</v>
      </c>
      <c r="F187" s="33"/>
      <c r="G187" s="34">
        <f t="shared" si="94"/>
        <v>42.59</v>
      </c>
      <c r="H187" s="35">
        <f t="shared" si="95"/>
        <v>42.59</v>
      </c>
      <c r="I187" s="3451">
        <v>42.59</v>
      </c>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175</v>
      </c>
      <c r="AY187" s="39">
        <f t="shared" si="97"/>
        <v>4.7699999999999996</v>
      </c>
      <c r="AZ187" s="32">
        <f t="shared" si="98"/>
        <v>42.59</v>
      </c>
      <c r="BA187" s="32">
        <f t="shared" si="99"/>
        <v>42.59</v>
      </c>
      <c r="BB187" s="32">
        <f t="shared" si="100"/>
        <v>42.59</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1051">
        <v>176</v>
      </c>
      <c r="D188" s="1625" t="s">
        <v>3388</v>
      </c>
      <c r="E188" s="32">
        <f t="shared" si="119"/>
        <v>4.8499999999999996</v>
      </c>
      <c r="F188" s="33"/>
      <c r="G188" s="34">
        <f t="shared" si="94"/>
        <v>43.3</v>
      </c>
      <c r="H188" s="35">
        <f t="shared" si="95"/>
        <v>43.3</v>
      </c>
      <c r="I188" s="3451">
        <v>43.3</v>
      </c>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176</v>
      </c>
      <c r="AY188" s="39">
        <f t="shared" si="97"/>
        <v>4.8499999999999996</v>
      </c>
      <c r="AZ188" s="32">
        <f t="shared" si="98"/>
        <v>43.3</v>
      </c>
      <c r="BA188" s="32">
        <f t="shared" si="99"/>
        <v>43.3</v>
      </c>
      <c r="BB188" s="32">
        <f t="shared" si="100"/>
        <v>43.3</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1051">
        <v>177</v>
      </c>
      <c r="D189" s="1625" t="s">
        <v>3388</v>
      </c>
      <c r="E189" s="32">
        <f t="shared" si="119"/>
        <v>3.59</v>
      </c>
      <c r="F189" s="33"/>
      <c r="G189" s="34">
        <f t="shared" si="94"/>
        <v>32.04</v>
      </c>
      <c r="H189" s="35">
        <f t="shared" si="95"/>
        <v>32.04</v>
      </c>
      <c r="I189" s="3451">
        <v>32.04</v>
      </c>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177</v>
      </c>
      <c r="AY189" s="39">
        <f t="shared" si="97"/>
        <v>3.59</v>
      </c>
      <c r="AZ189" s="32">
        <f t="shared" si="98"/>
        <v>32.04</v>
      </c>
      <c r="BA189" s="32">
        <f t="shared" si="99"/>
        <v>32.04</v>
      </c>
      <c r="BB189" s="32">
        <f t="shared" si="100"/>
        <v>32.04</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1051">
        <v>178</v>
      </c>
      <c r="D190" s="1625" t="s">
        <v>3388</v>
      </c>
      <c r="E190" s="32">
        <f t="shared" si="119"/>
        <v>1.28</v>
      </c>
      <c r="F190" s="33"/>
      <c r="G190" s="34">
        <f t="shared" si="94"/>
        <v>11.44</v>
      </c>
      <c r="H190" s="35">
        <f t="shared" si="95"/>
        <v>11.44</v>
      </c>
      <c r="I190" s="3451">
        <v>11.44</v>
      </c>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178</v>
      </c>
      <c r="AY190" s="39">
        <f t="shared" si="97"/>
        <v>1.28</v>
      </c>
      <c r="AZ190" s="32">
        <f t="shared" si="98"/>
        <v>11.44</v>
      </c>
      <c r="BA190" s="32">
        <f t="shared" si="99"/>
        <v>11.44</v>
      </c>
      <c r="BB190" s="32">
        <f t="shared" si="100"/>
        <v>11.44</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1051">
        <v>179</v>
      </c>
      <c r="D191" s="1625" t="s">
        <v>3388</v>
      </c>
      <c r="E191" s="32">
        <f t="shared" si="119"/>
        <v>1.28</v>
      </c>
      <c r="F191" s="33"/>
      <c r="G191" s="34">
        <f t="shared" si="94"/>
        <v>11.44</v>
      </c>
      <c r="H191" s="35">
        <f t="shared" si="95"/>
        <v>11.44</v>
      </c>
      <c r="I191" s="3451">
        <v>11.44</v>
      </c>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179</v>
      </c>
      <c r="AY191" s="39">
        <f t="shared" si="97"/>
        <v>1.28</v>
      </c>
      <c r="AZ191" s="32">
        <f t="shared" si="98"/>
        <v>11.44</v>
      </c>
      <c r="BA191" s="32">
        <f t="shared" si="99"/>
        <v>11.44</v>
      </c>
      <c r="BB191" s="32">
        <f t="shared" si="100"/>
        <v>11.44</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1051">
        <v>180</v>
      </c>
      <c r="D192" s="1625" t="s">
        <v>3388</v>
      </c>
      <c r="E192" s="32">
        <f t="shared" si="119"/>
        <v>1.28</v>
      </c>
      <c r="F192" s="33"/>
      <c r="G192" s="34">
        <f t="shared" si="94"/>
        <v>11.44</v>
      </c>
      <c r="H192" s="35">
        <f t="shared" si="95"/>
        <v>11.44</v>
      </c>
      <c r="I192" s="3451">
        <v>11.44</v>
      </c>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180</v>
      </c>
      <c r="AY192" s="39">
        <f t="shared" si="97"/>
        <v>1.28</v>
      </c>
      <c r="AZ192" s="32">
        <f t="shared" si="98"/>
        <v>11.44</v>
      </c>
      <c r="BA192" s="32">
        <f t="shared" si="99"/>
        <v>11.44</v>
      </c>
      <c r="BB192" s="32">
        <f t="shared" si="100"/>
        <v>11.44</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1051">
        <v>181</v>
      </c>
      <c r="D193" s="1625" t="s">
        <v>3388</v>
      </c>
      <c r="E193" s="32">
        <f t="shared" si="119"/>
        <v>1.28</v>
      </c>
      <c r="F193" s="33"/>
      <c r="G193" s="34">
        <f t="shared" si="94"/>
        <v>11.44</v>
      </c>
      <c r="H193" s="35">
        <f t="shared" si="95"/>
        <v>11.44</v>
      </c>
      <c r="I193" s="3451">
        <v>11.44</v>
      </c>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181</v>
      </c>
      <c r="AY193" s="39">
        <f t="shared" si="97"/>
        <v>1.28</v>
      </c>
      <c r="AZ193" s="32">
        <f t="shared" si="98"/>
        <v>11.44</v>
      </c>
      <c r="BA193" s="32">
        <f t="shared" si="99"/>
        <v>11.44</v>
      </c>
      <c r="BB193" s="32">
        <f t="shared" si="100"/>
        <v>11.44</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1051">
        <v>182</v>
      </c>
      <c r="D194" s="1625" t="s">
        <v>3388</v>
      </c>
      <c r="E194" s="32">
        <f t="shared" si="119"/>
        <v>1.28</v>
      </c>
      <c r="F194" s="33"/>
      <c r="G194" s="34">
        <f t="shared" si="94"/>
        <v>11.44</v>
      </c>
      <c r="H194" s="35">
        <f t="shared" si="95"/>
        <v>11.44</v>
      </c>
      <c r="I194" s="3451">
        <v>11.44</v>
      </c>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182</v>
      </c>
      <c r="AY194" s="39">
        <f t="shared" si="97"/>
        <v>1.28</v>
      </c>
      <c r="AZ194" s="32">
        <f t="shared" si="98"/>
        <v>11.44</v>
      </c>
      <c r="BA194" s="32">
        <f t="shared" si="99"/>
        <v>11.44</v>
      </c>
      <c r="BB194" s="32">
        <f t="shared" si="100"/>
        <v>11.44</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1051">
        <v>183</v>
      </c>
      <c r="D195" s="1625" t="s">
        <v>3388</v>
      </c>
      <c r="E195" s="32">
        <f t="shared" si="119"/>
        <v>1.28</v>
      </c>
      <c r="F195" s="33"/>
      <c r="G195" s="34">
        <f t="shared" si="94"/>
        <v>11.44</v>
      </c>
      <c r="H195" s="35">
        <f t="shared" si="95"/>
        <v>11.44</v>
      </c>
      <c r="I195" s="3451">
        <v>11.44</v>
      </c>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183</v>
      </c>
      <c r="AY195" s="39">
        <f t="shared" si="97"/>
        <v>1.28</v>
      </c>
      <c r="AZ195" s="32">
        <f t="shared" si="98"/>
        <v>11.44</v>
      </c>
      <c r="BA195" s="32">
        <f t="shared" si="99"/>
        <v>11.44</v>
      </c>
      <c r="BB195" s="32">
        <f t="shared" si="100"/>
        <v>11.44</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1051">
        <v>184</v>
      </c>
      <c r="D196" s="1625" t="s">
        <v>3388</v>
      </c>
      <c r="E196" s="32">
        <f t="shared" si="119"/>
        <v>1.28</v>
      </c>
      <c r="F196" s="33"/>
      <c r="G196" s="34">
        <f t="shared" si="94"/>
        <v>11.44</v>
      </c>
      <c r="H196" s="35">
        <f t="shared" si="95"/>
        <v>11.44</v>
      </c>
      <c r="I196" s="3451">
        <v>11.44</v>
      </c>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184</v>
      </c>
      <c r="AY196" s="39">
        <f t="shared" si="97"/>
        <v>1.28</v>
      </c>
      <c r="AZ196" s="32">
        <f t="shared" si="98"/>
        <v>11.44</v>
      </c>
      <c r="BA196" s="32">
        <f t="shared" si="99"/>
        <v>11.44</v>
      </c>
      <c r="BB196" s="32">
        <f t="shared" si="100"/>
        <v>11.44</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1051">
        <v>185</v>
      </c>
      <c r="D197" s="1625" t="s">
        <v>3388</v>
      </c>
      <c r="E197" s="32">
        <f t="shared" si="119"/>
        <v>1.28</v>
      </c>
      <c r="F197" s="33"/>
      <c r="G197" s="34">
        <f t="shared" si="94"/>
        <v>11.44</v>
      </c>
      <c r="H197" s="35">
        <f t="shared" si="95"/>
        <v>11.44</v>
      </c>
      <c r="I197" s="3451">
        <v>11.44</v>
      </c>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185</v>
      </c>
      <c r="AY197" s="39">
        <f t="shared" si="97"/>
        <v>1.28</v>
      </c>
      <c r="AZ197" s="32">
        <f t="shared" si="98"/>
        <v>11.44</v>
      </c>
      <c r="BA197" s="32">
        <f t="shared" si="99"/>
        <v>11.44</v>
      </c>
      <c r="BB197" s="32">
        <f t="shared" si="100"/>
        <v>11.44</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1051">
        <v>186</v>
      </c>
      <c r="D198" s="1625" t="s">
        <v>3388</v>
      </c>
      <c r="E198" s="32">
        <f t="shared" si="119"/>
        <v>1.28</v>
      </c>
      <c r="F198" s="33"/>
      <c r="G198" s="34">
        <f t="shared" si="94"/>
        <v>11.44</v>
      </c>
      <c r="H198" s="35">
        <f t="shared" si="95"/>
        <v>11.44</v>
      </c>
      <c r="I198" s="3451">
        <v>11.44</v>
      </c>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186</v>
      </c>
      <c r="AY198" s="39">
        <f t="shared" si="97"/>
        <v>1.28</v>
      </c>
      <c r="AZ198" s="32">
        <f t="shared" si="98"/>
        <v>11.44</v>
      </c>
      <c r="BA198" s="32">
        <f t="shared" si="99"/>
        <v>11.44</v>
      </c>
      <c r="BB198" s="32">
        <f t="shared" si="100"/>
        <v>11.44</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1051">
        <v>187</v>
      </c>
      <c r="D199" s="1625" t="s">
        <v>3388</v>
      </c>
      <c r="E199" s="32">
        <f t="shared" si="119"/>
        <v>1.28</v>
      </c>
      <c r="F199" s="33"/>
      <c r="G199" s="34">
        <f t="shared" si="94"/>
        <v>11.44</v>
      </c>
      <c r="H199" s="35">
        <f t="shared" si="95"/>
        <v>11.44</v>
      </c>
      <c r="I199" s="3451">
        <v>11.44</v>
      </c>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187</v>
      </c>
      <c r="AY199" s="39">
        <f t="shared" si="97"/>
        <v>1.28</v>
      </c>
      <c r="AZ199" s="32">
        <f t="shared" si="98"/>
        <v>11.44</v>
      </c>
      <c r="BA199" s="32">
        <f t="shared" si="99"/>
        <v>11.44</v>
      </c>
      <c r="BB199" s="32">
        <f t="shared" si="100"/>
        <v>11.44</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1051">
        <v>188</v>
      </c>
      <c r="D200" s="1625" t="s">
        <v>3388</v>
      </c>
      <c r="E200" s="32">
        <f t="shared" si="119"/>
        <v>1.28</v>
      </c>
      <c r="F200" s="33"/>
      <c r="G200" s="34">
        <f t="shared" si="94"/>
        <v>11.44</v>
      </c>
      <c r="H200" s="35">
        <f t="shared" si="95"/>
        <v>11.44</v>
      </c>
      <c r="I200" s="3451">
        <v>11.44</v>
      </c>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188</v>
      </c>
      <c r="AY200" s="39">
        <f t="shared" si="97"/>
        <v>1.28</v>
      </c>
      <c r="AZ200" s="32">
        <f t="shared" si="98"/>
        <v>11.44</v>
      </c>
      <c r="BA200" s="32">
        <f t="shared" si="99"/>
        <v>11.44</v>
      </c>
      <c r="BB200" s="32">
        <f t="shared" si="100"/>
        <v>11.44</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1051">
        <v>189</v>
      </c>
      <c r="D201" s="1625" t="s">
        <v>3388</v>
      </c>
      <c r="E201" s="32">
        <f t="shared" si="119"/>
        <v>1.28</v>
      </c>
      <c r="F201" s="33"/>
      <c r="G201" s="34">
        <f t="shared" si="94"/>
        <v>11.44</v>
      </c>
      <c r="H201" s="35">
        <f t="shared" si="95"/>
        <v>11.44</v>
      </c>
      <c r="I201" s="3451">
        <v>11.44</v>
      </c>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189</v>
      </c>
      <c r="AY201" s="39">
        <f t="shared" si="97"/>
        <v>1.28</v>
      </c>
      <c r="AZ201" s="32">
        <f t="shared" si="98"/>
        <v>11.44</v>
      </c>
      <c r="BA201" s="32">
        <f t="shared" si="99"/>
        <v>11.44</v>
      </c>
      <c r="BB201" s="32">
        <f t="shared" si="100"/>
        <v>11.44</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1051">
        <v>190</v>
      </c>
      <c r="D202" s="1625" t="s">
        <v>3388</v>
      </c>
      <c r="E202" s="32">
        <f t="shared" si="119"/>
        <v>1.28</v>
      </c>
      <c r="F202" s="33"/>
      <c r="G202" s="34">
        <f t="shared" si="94"/>
        <v>11.44</v>
      </c>
      <c r="H202" s="35">
        <f t="shared" si="95"/>
        <v>11.44</v>
      </c>
      <c r="I202" s="3451">
        <v>11.44</v>
      </c>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190</v>
      </c>
      <c r="AY202" s="39">
        <f t="shared" si="97"/>
        <v>1.28</v>
      </c>
      <c r="AZ202" s="32">
        <f t="shared" si="98"/>
        <v>11.44</v>
      </c>
      <c r="BA202" s="32">
        <f t="shared" si="99"/>
        <v>11.44</v>
      </c>
      <c r="BB202" s="32">
        <f t="shared" si="100"/>
        <v>11.44</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1051">
        <v>191</v>
      </c>
      <c r="D203" s="1625" t="s">
        <v>3388</v>
      </c>
      <c r="E203" s="32">
        <f t="shared" si="119"/>
        <v>1.28</v>
      </c>
      <c r="F203" s="33"/>
      <c r="G203" s="34">
        <f t="shared" si="94"/>
        <v>11.44</v>
      </c>
      <c r="H203" s="35">
        <f t="shared" si="95"/>
        <v>11.44</v>
      </c>
      <c r="I203" s="3451">
        <v>11.44</v>
      </c>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191</v>
      </c>
      <c r="AY203" s="39">
        <f t="shared" si="97"/>
        <v>1.28</v>
      </c>
      <c r="AZ203" s="32">
        <f t="shared" si="98"/>
        <v>11.44</v>
      </c>
      <c r="BA203" s="32">
        <f t="shared" si="99"/>
        <v>11.44</v>
      </c>
      <c r="BB203" s="32">
        <f t="shared" si="100"/>
        <v>11.44</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1051">
        <v>192</v>
      </c>
      <c r="D204" s="1625" t="s">
        <v>3388</v>
      </c>
      <c r="E204" s="32">
        <f t="shared" si="119"/>
        <v>1.38</v>
      </c>
      <c r="F204" s="33"/>
      <c r="G204" s="34">
        <f t="shared" si="94"/>
        <v>12.28</v>
      </c>
      <c r="H204" s="35">
        <f t="shared" si="95"/>
        <v>12.28</v>
      </c>
      <c r="I204" s="3451">
        <v>12.28</v>
      </c>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192</v>
      </c>
      <c r="AY204" s="39">
        <f t="shared" si="97"/>
        <v>1.38</v>
      </c>
      <c r="AZ204" s="32">
        <f t="shared" si="98"/>
        <v>12.28</v>
      </c>
      <c r="BA204" s="32">
        <f t="shared" si="99"/>
        <v>12.28</v>
      </c>
      <c r="BB204" s="32">
        <f t="shared" si="100"/>
        <v>12.28</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1051">
        <v>193</v>
      </c>
      <c r="D205" s="1625" t="s">
        <v>3388</v>
      </c>
      <c r="E205" s="32">
        <f t="shared" si="119"/>
        <v>1.38</v>
      </c>
      <c r="F205" s="41"/>
      <c r="G205" s="34">
        <f t="shared" si="94"/>
        <v>12.28</v>
      </c>
      <c r="H205" s="35">
        <f t="shared" si="95"/>
        <v>12.28</v>
      </c>
      <c r="I205" s="3451">
        <v>12.28</v>
      </c>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193</v>
      </c>
      <c r="AY205" s="39">
        <f t="shared" si="97"/>
        <v>1.38</v>
      </c>
      <c r="AZ205" s="32">
        <f t="shared" si="98"/>
        <v>12.28</v>
      </c>
      <c r="BA205" s="32">
        <f t="shared" si="99"/>
        <v>12.28</v>
      </c>
      <c r="BB205" s="32">
        <f t="shared" si="100"/>
        <v>12.28</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1051">
        <v>194</v>
      </c>
      <c r="D206" s="1625" t="s">
        <v>3388</v>
      </c>
      <c r="E206" s="32">
        <f t="shared" si="119"/>
        <v>1.24</v>
      </c>
      <c r="F206" s="41"/>
      <c r="G206" s="34">
        <f>H206+AC206+AT206</f>
        <v>11.08</v>
      </c>
      <c r="H206" s="35">
        <f>SUMIF(I$12:AB$12,"总值",I206:AB206)</f>
        <v>11.08</v>
      </c>
      <c r="I206" s="3451">
        <v>11.08</v>
      </c>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194</v>
      </c>
      <c r="AY206" s="39">
        <f>ROUND($AY$6*AZ206/$AZ$5,2)</f>
        <v>1.24</v>
      </c>
      <c r="AZ206" s="32">
        <f>BA206+BL206</f>
        <v>11.08</v>
      </c>
      <c r="BA206" s="32">
        <f>SUM(BB206:BK206)</f>
        <v>11.08</v>
      </c>
      <c r="BB206" s="32">
        <f t="shared" si="100"/>
        <v>11.08</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1051">
        <v>195</v>
      </c>
      <c r="D207" s="1625" t="s">
        <v>3388</v>
      </c>
      <c r="E207" s="32">
        <f t="shared" si="119"/>
        <v>1.28</v>
      </c>
      <c r="F207" s="41"/>
      <c r="G207" s="34">
        <f>H207+AC207+AT207</f>
        <v>11.39</v>
      </c>
      <c r="H207" s="35">
        <f>SUMIF(I$12:AB$12,"总值",I207:AB207)</f>
        <v>11.39</v>
      </c>
      <c r="I207" s="3451">
        <v>11.39</v>
      </c>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195</v>
      </c>
      <c r="AY207" s="39">
        <f>ROUND($AY$6*AZ207/$AZ$5,2)</f>
        <v>1.28</v>
      </c>
      <c r="AZ207" s="32">
        <f>BA207+BL207</f>
        <v>11.39</v>
      </c>
      <c r="BA207" s="32">
        <f>SUM(BB207:BK207)</f>
        <v>11.39</v>
      </c>
      <c r="BB207" s="32">
        <f t="shared" si="100"/>
        <v>11.39</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1051">
        <v>196</v>
      </c>
      <c r="D208" s="1625" t="s">
        <v>3388</v>
      </c>
      <c r="E208" s="32">
        <f t="shared" ref="E208:E302" si="123">IF($C$3="是",ROUND($A$3*G208/$B$3,2),ROUND($A$3*(G208-AT208)/$B$3,2))</f>
        <v>1.28</v>
      </c>
      <c r="F208" s="33"/>
      <c r="G208" s="34">
        <f t="shared" ref="G208:G299" si="124">H208+AC208+AT208</f>
        <v>11.39</v>
      </c>
      <c r="H208" s="35">
        <f t="shared" ref="H208:H299" si="125">SUMIF(I$12:AB$12,"总值",I208:AB208)</f>
        <v>11.39</v>
      </c>
      <c r="I208" s="3451">
        <v>11.39</v>
      </c>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196</v>
      </c>
      <c r="AY208" s="39">
        <f t="shared" ref="AY208:AY299" si="130">ROUND($AY$6*AZ208/$AZ$5,2)</f>
        <v>1.28</v>
      </c>
      <c r="AZ208" s="32">
        <f t="shared" ref="AZ208:AZ299" si="131">BA208+BL208</f>
        <v>11.39</v>
      </c>
      <c r="BA208" s="32">
        <f t="shared" ref="BA208:BA299" si="132">SUM(BB208:BK208)</f>
        <v>11.39</v>
      </c>
      <c r="BB208" s="32">
        <f t="shared" ref="BB208:BB299" si="133">IF($D208="是",I208-J208,0)</f>
        <v>11.39</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1051">
        <v>197</v>
      </c>
      <c r="D209" s="1625" t="s">
        <v>3388</v>
      </c>
      <c r="E209" s="32">
        <f t="shared" si="123"/>
        <v>1.28</v>
      </c>
      <c r="F209" s="33"/>
      <c r="G209" s="34">
        <f t="shared" si="124"/>
        <v>11.39</v>
      </c>
      <c r="H209" s="35">
        <f t="shared" si="125"/>
        <v>11.39</v>
      </c>
      <c r="I209" s="3451">
        <v>11.39</v>
      </c>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197</v>
      </c>
      <c r="AY209" s="39">
        <f t="shared" si="130"/>
        <v>1.28</v>
      </c>
      <c r="AZ209" s="32">
        <f t="shared" si="131"/>
        <v>11.39</v>
      </c>
      <c r="BA209" s="32">
        <f t="shared" si="132"/>
        <v>11.39</v>
      </c>
      <c r="BB209" s="32">
        <f t="shared" si="133"/>
        <v>11.39</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1051">
        <v>198</v>
      </c>
      <c r="D210" s="1625" t="s">
        <v>3388</v>
      </c>
      <c r="E210" s="32">
        <f t="shared" si="123"/>
        <v>1.28</v>
      </c>
      <c r="F210" s="33"/>
      <c r="G210" s="34">
        <f t="shared" si="124"/>
        <v>11.39</v>
      </c>
      <c r="H210" s="35">
        <f t="shared" si="125"/>
        <v>11.39</v>
      </c>
      <c r="I210" s="1626">
        <v>11.39</v>
      </c>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198</v>
      </c>
      <c r="AY210" s="39">
        <f t="shared" si="130"/>
        <v>1.28</v>
      </c>
      <c r="AZ210" s="32">
        <f t="shared" si="131"/>
        <v>11.39</v>
      </c>
      <c r="BA210" s="32">
        <f t="shared" si="132"/>
        <v>11.39</v>
      </c>
      <c r="BB210" s="32">
        <f t="shared" si="133"/>
        <v>11.39</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1051">
        <v>199</v>
      </c>
      <c r="D211" s="1625" t="s">
        <v>3388</v>
      </c>
      <c r="E211" s="32">
        <f t="shared" si="123"/>
        <v>1.28</v>
      </c>
      <c r="F211" s="33"/>
      <c r="G211" s="34">
        <f t="shared" si="124"/>
        <v>11.39</v>
      </c>
      <c r="H211" s="35">
        <f t="shared" si="125"/>
        <v>11.39</v>
      </c>
      <c r="I211" s="1626">
        <v>11.39</v>
      </c>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199</v>
      </c>
      <c r="AY211" s="39">
        <f t="shared" si="130"/>
        <v>1.28</v>
      </c>
      <c r="AZ211" s="32">
        <f t="shared" si="131"/>
        <v>11.39</v>
      </c>
      <c r="BA211" s="32">
        <f t="shared" si="132"/>
        <v>11.39</v>
      </c>
      <c r="BB211" s="32">
        <f t="shared" si="133"/>
        <v>11.39</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1051">
        <v>200</v>
      </c>
      <c r="D212" s="1625" t="s">
        <v>3388</v>
      </c>
      <c r="E212" s="32">
        <f t="shared" si="123"/>
        <v>1.31</v>
      </c>
      <c r="F212" s="33"/>
      <c r="G212" s="34">
        <f t="shared" si="124"/>
        <v>11.7</v>
      </c>
      <c r="H212" s="35">
        <f t="shared" si="125"/>
        <v>11.7</v>
      </c>
      <c r="I212" s="1626">
        <v>11.7</v>
      </c>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200</v>
      </c>
      <c r="AY212" s="39">
        <f t="shared" si="130"/>
        <v>1.31</v>
      </c>
      <c r="AZ212" s="32">
        <f t="shared" si="131"/>
        <v>11.7</v>
      </c>
      <c r="BA212" s="32">
        <f t="shared" si="132"/>
        <v>11.7</v>
      </c>
      <c r="BB212" s="32">
        <f t="shared" si="133"/>
        <v>11.7</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1051">
        <v>201</v>
      </c>
      <c r="D213" s="1625" t="s">
        <v>3388</v>
      </c>
      <c r="E213" s="32">
        <f t="shared" si="123"/>
        <v>1.81</v>
      </c>
      <c r="F213" s="33"/>
      <c r="G213" s="34">
        <f t="shared" si="124"/>
        <v>16.14</v>
      </c>
      <c r="H213" s="35">
        <f t="shared" si="125"/>
        <v>16.14</v>
      </c>
      <c r="I213" s="1626">
        <v>16.14</v>
      </c>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201</v>
      </c>
      <c r="AY213" s="39">
        <f t="shared" si="130"/>
        <v>1.81</v>
      </c>
      <c r="AZ213" s="32">
        <f t="shared" si="131"/>
        <v>16.14</v>
      </c>
      <c r="BA213" s="32">
        <f t="shared" si="132"/>
        <v>16.14</v>
      </c>
      <c r="BB213" s="32">
        <f t="shared" si="133"/>
        <v>16.14</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1051">
        <v>202</v>
      </c>
      <c r="D214" s="1625" t="s">
        <v>3388</v>
      </c>
      <c r="E214" s="32">
        <f t="shared" si="123"/>
        <v>1.84</v>
      </c>
      <c r="F214" s="33"/>
      <c r="G214" s="34">
        <f t="shared" si="124"/>
        <v>16.39</v>
      </c>
      <c r="H214" s="35">
        <f t="shared" si="125"/>
        <v>16.39</v>
      </c>
      <c r="I214" s="1626">
        <v>16.39</v>
      </c>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202</v>
      </c>
      <c r="AY214" s="39">
        <f t="shared" si="130"/>
        <v>1.84</v>
      </c>
      <c r="AZ214" s="32">
        <f t="shared" si="131"/>
        <v>16.39</v>
      </c>
      <c r="BA214" s="32">
        <f t="shared" si="132"/>
        <v>16.39</v>
      </c>
      <c r="BB214" s="32">
        <f t="shared" si="133"/>
        <v>16.39</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1051">
        <v>203</v>
      </c>
      <c r="D215" s="1625" t="s">
        <v>3388</v>
      </c>
      <c r="E215" s="32">
        <f t="shared" si="123"/>
        <v>1.28</v>
      </c>
      <c r="F215" s="33"/>
      <c r="G215" s="34">
        <f t="shared" si="124"/>
        <v>11.44</v>
      </c>
      <c r="H215" s="35">
        <f t="shared" si="125"/>
        <v>11.44</v>
      </c>
      <c r="I215" s="1626">
        <v>11.44</v>
      </c>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203</v>
      </c>
      <c r="AY215" s="39">
        <f t="shared" si="130"/>
        <v>1.28</v>
      </c>
      <c r="AZ215" s="32">
        <f t="shared" si="131"/>
        <v>11.44</v>
      </c>
      <c r="BA215" s="32">
        <f t="shared" si="132"/>
        <v>11.44</v>
      </c>
      <c r="BB215" s="32">
        <f t="shared" si="133"/>
        <v>11.44</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1051">
        <v>204</v>
      </c>
      <c r="D216" s="1625" t="s">
        <v>3388</v>
      </c>
      <c r="E216" s="32">
        <f t="shared" si="123"/>
        <v>1.28</v>
      </c>
      <c r="F216" s="33"/>
      <c r="G216" s="34">
        <f t="shared" si="124"/>
        <v>11.44</v>
      </c>
      <c r="H216" s="35">
        <f t="shared" si="125"/>
        <v>11.44</v>
      </c>
      <c r="I216" s="1626">
        <v>11.44</v>
      </c>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204</v>
      </c>
      <c r="AY216" s="39">
        <f t="shared" si="130"/>
        <v>1.28</v>
      </c>
      <c r="AZ216" s="32">
        <f t="shared" si="131"/>
        <v>11.44</v>
      </c>
      <c r="BA216" s="32">
        <f t="shared" si="132"/>
        <v>11.44</v>
      </c>
      <c r="BB216" s="32">
        <f t="shared" si="133"/>
        <v>11.44</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1051">
        <v>205</v>
      </c>
      <c r="D217" s="1625" t="s">
        <v>3388</v>
      </c>
      <c r="E217" s="32">
        <f t="shared" si="123"/>
        <v>1.28</v>
      </c>
      <c r="F217" s="33"/>
      <c r="G217" s="34">
        <f t="shared" si="124"/>
        <v>11.44</v>
      </c>
      <c r="H217" s="35">
        <f t="shared" si="125"/>
        <v>11.44</v>
      </c>
      <c r="I217" s="1626">
        <v>11.44</v>
      </c>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205</v>
      </c>
      <c r="AY217" s="39">
        <f t="shared" si="130"/>
        <v>1.28</v>
      </c>
      <c r="AZ217" s="32">
        <f t="shared" si="131"/>
        <v>11.44</v>
      </c>
      <c r="BA217" s="32">
        <f t="shared" si="132"/>
        <v>11.44</v>
      </c>
      <c r="BB217" s="32">
        <f t="shared" si="133"/>
        <v>11.44</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1051">
        <v>206</v>
      </c>
      <c r="D218" s="1625" t="s">
        <v>3388</v>
      </c>
      <c r="E218" s="32">
        <f t="shared" si="123"/>
        <v>1.28</v>
      </c>
      <c r="F218" s="33"/>
      <c r="G218" s="34">
        <f t="shared" si="124"/>
        <v>11.44</v>
      </c>
      <c r="H218" s="35">
        <f t="shared" si="125"/>
        <v>11.44</v>
      </c>
      <c r="I218" s="1626">
        <v>11.44</v>
      </c>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206</v>
      </c>
      <c r="AY218" s="39">
        <f t="shared" si="130"/>
        <v>1.28</v>
      </c>
      <c r="AZ218" s="32">
        <f t="shared" si="131"/>
        <v>11.44</v>
      </c>
      <c r="BA218" s="32">
        <f t="shared" si="132"/>
        <v>11.44</v>
      </c>
      <c r="BB218" s="32">
        <f t="shared" si="133"/>
        <v>11.44</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1051">
        <v>207</v>
      </c>
      <c r="D219" s="1625" t="s">
        <v>3388</v>
      </c>
      <c r="E219" s="32">
        <f t="shared" si="123"/>
        <v>1.86</v>
      </c>
      <c r="F219" s="33"/>
      <c r="G219" s="34">
        <f t="shared" si="124"/>
        <v>16.57</v>
      </c>
      <c r="H219" s="35">
        <f t="shared" si="125"/>
        <v>16.57</v>
      </c>
      <c r="I219" s="1626">
        <v>16.57</v>
      </c>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207</v>
      </c>
      <c r="AY219" s="39">
        <f t="shared" si="130"/>
        <v>1.86</v>
      </c>
      <c r="AZ219" s="32">
        <f t="shared" si="131"/>
        <v>16.57</v>
      </c>
      <c r="BA219" s="32">
        <f t="shared" si="132"/>
        <v>16.57</v>
      </c>
      <c r="BB219" s="32">
        <f t="shared" si="133"/>
        <v>16.57</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1051">
        <v>208</v>
      </c>
      <c r="D220" s="1625" t="s">
        <v>3388</v>
      </c>
      <c r="E220" s="32">
        <f t="shared" si="123"/>
        <v>1.85</v>
      </c>
      <c r="F220" s="33"/>
      <c r="G220" s="34">
        <f t="shared" si="124"/>
        <v>16.52</v>
      </c>
      <c r="H220" s="35">
        <f t="shared" si="125"/>
        <v>16.52</v>
      </c>
      <c r="I220" s="1626">
        <v>16.52</v>
      </c>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208</v>
      </c>
      <c r="AY220" s="39">
        <f t="shared" si="130"/>
        <v>1.85</v>
      </c>
      <c r="AZ220" s="32">
        <f t="shared" si="131"/>
        <v>16.52</v>
      </c>
      <c r="BA220" s="32">
        <f t="shared" si="132"/>
        <v>16.52</v>
      </c>
      <c r="BB220" s="32">
        <f t="shared" si="133"/>
        <v>16.52</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1051">
        <v>209</v>
      </c>
      <c r="D221" s="1625" t="s">
        <v>3388</v>
      </c>
      <c r="E221" s="32">
        <f t="shared" si="123"/>
        <v>1.28</v>
      </c>
      <c r="F221" s="33"/>
      <c r="G221" s="34">
        <f t="shared" si="124"/>
        <v>11.39</v>
      </c>
      <c r="H221" s="35">
        <f t="shared" si="125"/>
        <v>11.39</v>
      </c>
      <c r="I221" s="1626">
        <v>11.39</v>
      </c>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209</v>
      </c>
      <c r="AY221" s="39">
        <f t="shared" si="130"/>
        <v>1.28</v>
      </c>
      <c r="AZ221" s="32">
        <f t="shared" si="131"/>
        <v>11.39</v>
      </c>
      <c r="BA221" s="32">
        <f t="shared" si="132"/>
        <v>11.39</v>
      </c>
      <c r="BB221" s="32">
        <f t="shared" si="133"/>
        <v>11.39</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1051">
        <v>210</v>
      </c>
      <c r="D222" s="1625" t="s">
        <v>3388</v>
      </c>
      <c r="E222" s="32">
        <f t="shared" si="123"/>
        <v>1.28</v>
      </c>
      <c r="F222" s="33"/>
      <c r="G222" s="34">
        <f t="shared" si="124"/>
        <v>11.39</v>
      </c>
      <c r="H222" s="35">
        <f t="shared" si="125"/>
        <v>11.39</v>
      </c>
      <c r="I222" s="1626">
        <v>11.39</v>
      </c>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210</v>
      </c>
      <c r="AY222" s="39">
        <f t="shared" si="130"/>
        <v>1.28</v>
      </c>
      <c r="AZ222" s="32">
        <f t="shared" si="131"/>
        <v>11.39</v>
      </c>
      <c r="BA222" s="32">
        <f t="shared" si="132"/>
        <v>11.39</v>
      </c>
      <c r="BB222" s="32">
        <f t="shared" si="133"/>
        <v>11.39</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1051">
        <v>211</v>
      </c>
      <c r="D223" s="1625" t="s">
        <v>3388</v>
      </c>
      <c r="E223" s="32">
        <f t="shared" si="123"/>
        <v>1.28</v>
      </c>
      <c r="F223" s="33"/>
      <c r="G223" s="34">
        <f t="shared" si="124"/>
        <v>11.39</v>
      </c>
      <c r="H223" s="35">
        <f t="shared" si="125"/>
        <v>11.39</v>
      </c>
      <c r="I223" s="1626">
        <v>11.39</v>
      </c>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211</v>
      </c>
      <c r="AY223" s="39">
        <f t="shared" si="130"/>
        <v>1.28</v>
      </c>
      <c r="AZ223" s="32">
        <f t="shared" si="131"/>
        <v>11.39</v>
      </c>
      <c r="BA223" s="32">
        <f t="shared" si="132"/>
        <v>11.39</v>
      </c>
      <c r="BB223" s="32">
        <f t="shared" si="133"/>
        <v>11.39</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1051">
        <v>212</v>
      </c>
      <c r="D224" s="1625" t="s">
        <v>3388</v>
      </c>
      <c r="E224" s="32">
        <f t="shared" si="123"/>
        <v>1.28</v>
      </c>
      <c r="F224" s="33"/>
      <c r="G224" s="34">
        <f t="shared" si="124"/>
        <v>11.39</v>
      </c>
      <c r="H224" s="35">
        <f t="shared" si="125"/>
        <v>11.39</v>
      </c>
      <c r="I224" s="1626">
        <v>11.39</v>
      </c>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212</v>
      </c>
      <c r="AY224" s="39">
        <f t="shared" si="130"/>
        <v>1.28</v>
      </c>
      <c r="AZ224" s="32">
        <f t="shared" si="131"/>
        <v>11.39</v>
      </c>
      <c r="BA224" s="32">
        <f t="shared" si="132"/>
        <v>11.39</v>
      </c>
      <c r="BB224" s="32">
        <f t="shared" si="133"/>
        <v>11.39</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1051">
        <v>213</v>
      </c>
      <c r="D225" s="1625" t="s">
        <v>3388</v>
      </c>
      <c r="E225" s="32">
        <f t="shared" si="123"/>
        <v>1.83</v>
      </c>
      <c r="F225" s="33"/>
      <c r="G225" s="34">
        <f t="shared" si="124"/>
        <v>16.32</v>
      </c>
      <c r="H225" s="35">
        <f t="shared" si="125"/>
        <v>16.32</v>
      </c>
      <c r="I225" s="1626">
        <v>16.32</v>
      </c>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213</v>
      </c>
      <c r="AY225" s="39">
        <f t="shared" si="130"/>
        <v>1.83</v>
      </c>
      <c r="AZ225" s="32">
        <f t="shared" si="131"/>
        <v>16.32</v>
      </c>
      <c r="BA225" s="32">
        <f t="shared" si="132"/>
        <v>16.32</v>
      </c>
      <c r="BB225" s="32">
        <f t="shared" si="133"/>
        <v>16.32</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1051">
        <v>214</v>
      </c>
      <c r="D226" s="1625" t="s">
        <v>3388</v>
      </c>
      <c r="E226" s="32">
        <f t="shared" si="123"/>
        <v>2.0299999999999998</v>
      </c>
      <c r="F226" s="33"/>
      <c r="G226" s="34">
        <f t="shared" si="124"/>
        <v>18.100000000000001</v>
      </c>
      <c r="H226" s="35">
        <f t="shared" si="125"/>
        <v>18.100000000000001</v>
      </c>
      <c r="I226" s="1626">
        <v>18.100000000000001</v>
      </c>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214</v>
      </c>
      <c r="AY226" s="39">
        <f t="shared" si="130"/>
        <v>2.0299999999999998</v>
      </c>
      <c r="AZ226" s="32">
        <f t="shared" si="131"/>
        <v>18.100000000000001</v>
      </c>
      <c r="BA226" s="32">
        <f t="shared" si="132"/>
        <v>18.100000000000001</v>
      </c>
      <c r="BB226" s="32">
        <f t="shared" si="133"/>
        <v>18.100000000000001</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1051">
        <v>215</v>
      </c>
      <c r="D227" s="1625" t="s">
        <v>3388</v>
      </c>
      <c r="E227" s="32">
        <f t="shared" si="123"/>
        <v>1.1000000000000001</v>
      </c>
      <c r="F227" s="33"/>
      <c r="G227" s="34">
        <f t="shared" si="124"/>
        <v>9.84</v>
      </c>
      <c r="H227" s="35">
        <f t="shared" si="125"/>
        <v>9.84</v>
      </c>
      <c r="I227" s="1626">
        <v>9.84</v>
      </c>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215</v>
      </c>
      <c r="AY227" s="39">
        <f t="shared" si="130"/>
        <v>1.1000000000000001</v>
      </c>
      <c r="AZ227" s="32">
        <f t="shared" si="131"/>
        <v>9.84</v>
      </c>
      <c r="BA227" s="32">
        <f t="shared" si="132"/>
        <v>9.84</v>
      </c>
      <c r="BB227" s="32">
        <f t="shared" si="133"/>
        <v>9.84</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1051">
        <v>216</v>
      </c>
      <c r="D228" s="1625" t="s">
        <v>3388</v>
      </c>
      <c r="E228" s="32">
        <f t="shared" si="123"/>
        <v>1.28</v>
      </c>
      <c r="F228" s="33"/>
      <c r="G228" s="34">
        <f t="shared" si="124"/>
        <v>11.44</v>
      </c>
      <c r="H228" s="35">
        <f t="shared" si="125"/>
        <v>11.44</v>
      </c>
      <c r="I228" s="1626">
        <v>11.44</v>
      </c>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216</v>
      </c>
      <c r="AY228" s="39">
        <f t="shared" si="130"/>
        <v>1.28</v>
      </c>
      <c r="AZ228" s="32">
        <f t="shared" si="131"/>
        <v>11.44</v>
      </c>
      <c r="BA228" s="32">
        <f t="shared" si="132"/>
        <v>11.44</v>
      </c>
      <c r="BB228" s="32">
        <f t="shared" si="133"/>
        <v>11.44</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1051">
        <v>217</v>
      </c>
      <c r="D229" s="1625" t="s">
        <v>3388</v>
      </c>
      <c r="E229" s="32">
        <f t="shared" si="123"/>
        <v>1.28</v>
      </c>
      <c r="F229" s="33"/>
      <c r="G229" s="34">
        <f t="shared" si="124"/>
        <v>11.44</v>
      </c>
      <c r="H229" s="35">
        <f t="shared" si="125"/>
        <v>11.44</v>
      </c>
      <c r="I229" s="1626">
        <v>11.44</v>
      </c>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217</v>
      </c>
      <c r="AY229" s="39">
        <f t="shared" si="130"/>
        <v>1.28</v>
      </c>
      <c r="AZ229" s="32">
        <f t="shared" si="131"/>
        <v>11.44</v>
      </c>
      <c r="BA229" s="32">
        <f t="shared" si="132"/>
        <v>11.44</v>
      </c>
      <c r="BB229" s="32">
        <f t="shared" si="133"/>
        <v>11.44</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1051">
        <v>218</v>
      </c>
      <c r="D230" s="1625" t="s">
        <v>3388</v>
      </c>
      <c r="E230" s="32">
        <f t="shared" si="123"/>
        <v>1.28</v>
      </c>
      <c r="F230" s="33"/>
      <c r="G230" s="34">
        <f t="shared" si="124"/>
        <v>11.44</v>
      </c>
      <c r="H230" s="35">
        <f t="shared" si="125"/>
        <v>11.44</v>
      </c>
      <c r="I230" s="1626">
        <v>11.44</v>
      </c>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218</v>
      </c>
      <c r="AY230" s="39">
        <f t="shared" si="130"/>
        <v>1.28</v>
      </c>
      <c r="AZ230" s="32">
        <f t="shared" si="131"/>
        <v>11.44</v>
      </c>
      <c r="BA230" s="32">
        <f t="shared" si="132"/>
        <v>11.44</v>
      </c>
      <c r="BB230" s="32">
        <f t="shared" si="133"/>
        <v>11.44</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1051">
        <v>219</v>
      </c>
      <c r="D231" s="1625" t="s">
        <v>3388</v>
      </c>
      <c r="E231" s="32">
        <f t="shared" si="123"/>
        <v>1.28</v>
      </c>
      <c r="F231" s="33"/>
      <c r="G231" s="34">
        <f t="shared" si="124"/>
        <v>11.44</v>
      </c>
      <c r="H231" s="35">
        <f t="shared" si="125"/>
        <v>11.44</v>
      </c>
      <c r="I231" s="1626">
        <v>11.44</v>
      </c>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219</v>
      </c>
      <c r="AY231" s="39">
        <f t="shared" si="130"/>
        <v>1.28</v>
      </c>
      <c r="AZ231" s="32">
        <f t="shared" si="131"/>
        <v>11.44</v>
      </c>
      <c r="BA231" s="32">
        <f t="shared" si="132"/>
        <v>11.44</v>
      </c>
      <c r="BB231" s="32">
        <f t="shared" si="133"/>
        <v>11.44</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1051">
        <v>220</v>
      </c>
      <c r="D232" s="1625" t="s">
        <v>3388</v>
      </c>
      <c r="E232" s="32">
        <f t="shared" si="123"/>
        <v>1.28</v>
      </c>
      <c r="F232" s="33"/>
      <c r="G232" s="34">
        <f t="shared" si="124"/>
        <v>11.44</v>
      </c>
      <c r="H232" s="35">
        <f t="shared" si="125"/>
        <v>11.44</v>
      </c>
      <c r="I232" s="1626">
        <v>11.44</v>
      </c>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220</v>
      </c>
      <c r="AY232" s="39">
        <f t="shared" si="130"/>
        <v>1.28</v>
      </c>
      <c r="AZ232" s="32">
        <f t="shared" si="131"/>
        <v>11.44</v>
      </c>
      <c r="BA232" s="32">
        <f t="shared" si="132"/>
        <v>11.44</v>
      </c>
      <c r="BB232" s="32">
        <f t="shared" si="133"/>
        <v>11.44</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1051">
        <v>221</v>
      </c>
      <c r="D233" s="1625" t="s">
        <v>3388</v>
      </c>
      <c r="E233" s="32">
        <f t="shared" si="123"/>
        <v>1.24</v>
      </c>
      <c r="F233" s="33"/>
      <c r="G233" s="34">
        <f t="shared" si="124"/>
        <v>11.1</v>
      </c>
      <c r="H233" s="35">
        <f t="shared" si="125"/>
        <v>11.1</v>
      </c>
      <c r="I233" s="1626">
        <v>11.1</v>
      </c>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221</v>
      </c>
      <c r="AY233" s="39">
        <f t="shared" si="130"/>
        <v>1.24</v>
      </c>
      <c r="AZ233" s="32">
        <f t="shared" si="131"/>
        <v>11.1</v>
      </c>
      <c r="BA233" s="32">
        <f t="shared" si="132"/>
        <v>11.1</v>
      </c>
      <c r="BB233" s="32">
        <f t="shared" si="133"/>
        <v>11.1</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1051">
        <v>222</v>
      </c>
      <c r="D234" s="1625" t="s">
        <v>3388</v>
      </c>
      <c r="E234" s="32">
        <f t="shared" si="123"/>
        <v>1.33</v>
      </c>
      <c r="F234" s="33"/>
      <c r="G234" s="34">
        <f t="shared" si="124"/>
        <v>11.86</v>
      </c>
      <c r="H234" s="35">
        <f t="shared" si="125"/>
        <v>11.86</v>
      </c>
      <c r="I234" s="1626">
        <v>11.86</v>
      </c>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222</v>
      </c>
      <c r="AY234" s="39">
        <f t="shared" si="130"/>
        <v>1.33</v>
      </c>
      <c r="AZ234" s="32">
        <f t="shared" si="131"/>
        <v>11.86</v>
      </c>
      <c r="BA234" s="32">
        <f t="shared" si="132"/>
        <v>11.86</v>
      </c>
      <c r="BB234" s="32">
        <f t="shared" si="133"/>
        <v>11.86</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1051">
        <v>223</v>
      </c>
      <c r="D235" s="1625" t="s">
        <v>3388</v>
      </c>
      <c r="E235" s="32">
        <f t="shared" si="123"/>
        <v>1.37</v>
      </c>
      <c r="F235" s="33"/>
      <c r="G235" s="34">
        <f t="shared" si="124"/>
        <v>12.19</v>
      </c>
      <c r="H235" s="35">
        <f t="shared" si="125"/>
        <v>12.19</v>
      </c>
      <c r="I235" s="1626">
        <v>12.19</v>
      </c>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223</v>
      </c>
      <c r="AY235" s="39">
        <f t="shared" si="130"/>
        <v>1.37</v>
      </c>
      <c r="AZ235" s="32">
        <f t="shared" si="131"/>
        <v>12.19</v>
      </c>
      <c r="BA235" s="32">
        <f t="shared" si="132"/>
        <v>12.19</v>
      </c>
      <c r="BB235" s="32">
        <f t="shared" si="133"/>
        <v>12.19</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1051">
        <v>224</v>
      </c>
      <c r="D236" s="1625" t="s">
        <v>3388</v>
      </c>
      <c r="E236" s="32">
        <f t="shared" si="123"/>
        <v>1.37</v>
      </c>
      <c r="F236" s="33"/>
      <c r="G236" s="34">
        <f t="shared" si="124"/>
        <v>12.19</v>
      </c>
      <c r="H236" s="35">
        <f t="shared" si="125"/>
        <v>12.19</v>
      </c>
      <c r="I236" s="1626">
        <v>12.19</v>
      </c>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224</v>
      </c>
      <c r="AY236" s="39">
        <f t="shared" si="130"/>
        <v>1.37</v>
      </c>
      <c r="AZ236" s="32">
        <f t="shared" si="131"/>
        <v>12.19</v>
      </c>
      <c r="BA236" s="32">
        <f t="shared" si="132"/>
        <v>12.19</v>
      </c>
      <c r="BB236" s="32">
        <f t="shared" si="133"/>
        <v>12.19</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1051">
        <v>225</v>
      </c>
      <c r="D237" s="1625" t="s">
        <v>3388</v>
      </c>
      <c r="E237" s="32">
        <f t="shared" si="123"/>
        <v>1.37</v>
      </c>
      <c r="F237" s="33"/>
      <c r="G237" s="34">
        <f t="shared" si="124"/>
        <v>12.19</v>
      </c>
      <c r="H237" s="35">
        <f t="shared" si="125"/>
        <v>12.19</v>
      </c>
      <c r="I237" s="1626">
        <v>12.19</v>
      </c>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225</v>
      </c>
      <c r="AY237" s="39">
        <f t="shared" si="130"/>
        <v>1.37</v>
      </c>
      <c r="AZ237" s="32">
        <f t="shared" si="131"/>
        <v>12.19</v>
      </c>
      <c r="BA237" s="32">
        <f t="shared" si="132"/>
        <v>12.19</v>
      </c>
      <c r="BB237" s="32">
        <f t="shared" si="133"/>
        <v>12.19</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1051">
        <v>226</v>
      </c>
      <c r="D238" s="1625" t="s">
        <v>3388</v>
      </c>
      <c r="E238" s="32">
        <f t="shared" si="123"/>
        <v>1.37</v>
      </c>
      <c r="F238" s="33"/>
      <c r="G238" s="34">
        <f t="shared" si="124"/>
        <v>12.19</v>
      </c>
      <c r="H238" s="35">
        <f t="shared" si="125"/>
        <v>12.19</v>
      </c>
      <c r="I238" s="1626">
        <v>12.19</v>
      </c>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226</v>
      </c>
      <c r="AY238" s="39">
        <f t="shared" si="130"/>
        <v>1.37</v>
      </c>
      <c r="AZ238" s="32">
        <f t="shared" si="131"/>
        <v>12.19</v>
      </c>
      <c r="BA238" s="32">
        <f t="shared" si="132"/>
        <v>12.19</v>
      </c>
      <c r="BB238" s="32">
        <f t="shared" si="133"/>
        <v>12.19</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1051">
        <v>227</v>
      </c>
      <c r="D239" s="1625" t="s">
        <v>3388</v>
      </c>
      <c r="E239" s="32">
        <f t="shared" si="123"/>
        <v>1.37</v>
      </c>
      <c r="F239" s="33"/>
      <c r="G239" s="34">
        <f t="shared" si="124"/>
        <v>12.19</v>
      </c>
      <c r="H239" s="35">
        <f t="shared" si="125"/>
        <v>12.19</v>
      </c>
      <c r="I239" s="3451">
        <v>12.19</v>
      </c>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227</v>
      </c>
      <c r="AY239" s="39">
        <f t="shared" si="130"/>
        <v>1.37</v>
      </c>
      <c r="AZ239" s="32">
        <f t="shared" si="131"/>
        <v>12.19</v>
      </c>
      <c r="BA239" s="32">
        <f t="shared" si="132"/>
        <v>12.19</v>
      </c>
      <c r="BB239" s="32">
        <f t="shared" si="133"/>
        <v>12.19</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1051">
        <v>228</v>
      </c>
      <c r="D240" s="1625" t="s">
        <v>3388</v>
      </c>
      <c r="E240" s="32">
        <f t="shared" si="123"/>
        <v>1.19</v>
      </c>
      <c r="F240" s="33"/>
      <c r="G240" s="34">
        <f t="shared" si="124"/>
        <v>10.64</v>
      </c>
      <c r="H240" s="35">
        <f t="shared" si="125"/>
        <v>10.64</v>
      </c>
      <c r="I240" s="3451">
        <v>10.64</v>
      </c>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228</v>
      </c>
      <c r="AY240" s="39">
        <f t="shared" si="130"/>
        <v>1.19</v>
      </c>
      <c r="AZ240" s="32">
        <f t="shared" si="131"/>
        <v>10.64</v>
      </c>
      <c r="BA240" s="32">
        <f t="shared" si="132"/>
        <v>10.64</v>
      </c>
      <c r="BB240" s="32">
        <f t="shared" si="133"/>
        <v>10.64</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1051">
        <v>229</v>
      </c>
      <c r="D241" s="1625" t="s">
        <v>3388</v>
      </c>
      <c r="E241" s="32">
        <f t="shared" si="123"/>
        <v>2.19</v>
      </c>
      <c r="F241" s="33"/>
      <c r="G241" s="34">
        <f t="shared" si="124"/>
        <v>19.5</v>
      </c>
      <c r="H241" s="35">
        <f t="shared" si="125"/>
        <v>19.5</v>
      </c>
      <c r="I241" s="3451">
        <v>19.5</v>
      </c>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229</v>
      </c>
      <c r="AY241" s="39">
        <f t="shared" si="130"/>
        <v>2.19</v>
      </c>
      <c r="AZ241" s="32">
        <f t="shared" si="131"/>
        <v>19.5</v>
      </c>
      <c r="BA241" s="32">
        <f t="shared" si="132"/>
        <v>19.5</v>
      </c>
      <c r="BB241" s="32">
        <f t="shared" si="133"/>
        <v>19.5</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1051">
        <v>230</v>
      </c>
      <c r="D242" s="1625" t="s">
        <v>3388</v>
      </c>
      <c r="E242" s="32">
        <f t="shared" si="123"/>
        <v>1.7</v>
      </c>
      <c r="F242" s="33"/>
      <c r="G242" s="34">
        <f t="shared" si="124"/>
        <v>15.14</v>
      </c>
      <c r="H242" s="35">
        <f t="shared" si="125"/>
        <v>15.14</v>
      </c>
      <c r="I242" s="3451">
        <v>15.14</v>
      </c>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230</v>
      </c>
      <c r="AY242" s="39">
        <f t="shared" si="130"/>
        <v>1.7</v>
      </c>
      <c r="AZ242" s="32">
        <f t="shared" si="131"/>
        <v>15.14</v>
      </c>
      <c r="BA242" s="32">
        <f t="shared" si="132"/>
        <v>15.14</v>
      </c>
      <c r="BB242" s="32">
        <f t="shared" si="133"/>
        <v>15.14</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1051">
        <v>231</v>
      </c>
      <c r="D243" s="1625" t="s">
        <v>3388</v>
      </c>
      <c r="E243" s="32">
        <f t="shared" si="123"/>
        <v>1.64</v>
      </c>
      <c r="F243" s="33"/>
      <c r="G243" s="34">
        <f t="shared" si="124"/>
        <v>14.61</v>
      </c>
      <c r="H243" s="35">
        <f t="shared" si="125"/>
        <v>14.61</v>
      </c>
      <c r="I243" s="3451">
        <v>14.61</v>
      </c>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231</v>
      </c>
      <c r="AY243" s="39">
        <f t="shared" si="130"/>
        <v>1.64</v>
      </c>
      <c r="AZ243" s="32">
        <f t="shared" si="131"/>
        <v>14.61</v>
      </c>
      <c r="BA243" s="32">
        <f t="shared" si="132"/>
        <v>14.61</v>
      </c>
      <c r="BB243" s="32">
        <f t="shared" si="133"/>
        <v>14.61</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1051">
        <v>232</v>
      </c>
      <c r="D244" s="1625" t="s">
        <v>3388</v>
      </c>
      <c r="E244" s="32">
        <f t="shared" si="123"/>
        <v>1.37</v>
      </c>
      <c r="F244" s="33"/>
      <c r="G244" s="34">
        <f t="shared" si="124"/>
        <v>12.24</v>
      </c>
      <c r="H244" s="35">
        <f t="shared" si="125"/>
        <v>12.24</v>
      </c>
      <c r="I244" s="3451">
        <v>12.24</v>
      </c>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232</v>
      </c>
      <c r="AY244" s="39">
        <f t="shared" si="130"/>
        <v>1.37</v>
      </c>
      <c r="AZ244" s="32">
        <f t="shared" si="131"/>
        <v>12.24</v>
      </c>
      <c r="BA244" s="32">
        <f t="shared" si="132"/>
        <v>12.24</v>
      </c>
      <c r="BB244" s="32">
        <f t="shared" si="133"/>
        <v>12.24</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1051">
        <v>233</v>
      </c>
      <c r="D245" s="1625" t="s">
        <v>3388</v>
      </c>
      <c r="E245" s="32">
        <f t="shared" si="123"/>
        <v>1.37</v>
      </c>
      <c r="F245" s="33"/>
      <c r="G245" s="34">
        <f t="shared" si="124"/>
        <v>12.24</v>
      </c>
      <c r="H245" s="35">
        <f t="shared" si="125"/>
        <v>12.24</v>
      </c>
      <c r="I245" s="3451">
        <v>12.24</v>
      </c>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233</v>
      </c>
      <c r="AY245" s="39">
        <f t="shared" si="130"/>
        <v>1.37</v>
      </c>
      <c r="AZ245" s="32">
        <f t="shared" si="131"/>
        <v>12.24</v>
      </c>
      <c r="BA245" s="32">
        <f t="shared" si="132"/>
        <v>12.24</v>
      </c>
      <c r="BB245" s="32">
        <f t="shared" si="133"/>
        <v>12.24</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1051">
        <v>234</v>
      </c>
      <c r="D246" s="1625" t="s">
        <v>3388</v>
      </c>
      <c r="E246" s="32">
        <f t="shared" si="123"/>
        <v>1.37</v>
      </c>
      <c r="F246" s="33"/>
      <c r="G246" s="34">
        <f t="shared" si="124"/>
        <v>12.24</v>
      </c>
      <c r="H246" s="35">
        <f t="shared" si="125"/>
        <v>12.24</v>
      </c>
      <c r="I246" s="3451">
        <v>12.24</v>
      </c>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234</v>
      </c>
      <c r="AY246" s="39">
        <f t="shared" si="130"/>
        <v>1.37</v>
      </c>
      <c r="AZ246" s="32">
        <f t="shared" si="131"/>
        <v>12.24</v>
      </c>
      <c r="BA246" s="32">
        <f t="shared" si="132"/>
        <v>12.24</v>
      </c>
      <c r="BB246" s="32">
        <f t="shared" si="133"/>
        <v>12.24</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1051">
        <v>235</v>
      </c>
      <c r="D247" s="1625" t="s">
        <v>3388</v>
      </c>
      <c r="E247" s="32">
        <f t="shared" si="123"/>
        <v>1.37</v>
      </c>
      <c r="F247" s="33"/>
      <c r="G247" s="34">
        <f t="shared" si="124"/>
        <v>12.24</v>
      </c>
      <c r="H247" s="35">
        <f t="shared" si="125"/>
        <v>12.24</v>
      </c>
      <c r="I247" s="3451">
        <v>12.24</v>
      </c>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235</v>
      </c>
      <c r="AY247" s="39">
        <f t="shared" si="130"/>
        <v>1.37</v>
      </c>
      <c r="AZ247" s="32">
        <f t="shared" si="131"/>
        <v>12.24</v>
      </c>
      <c r="BA247" s="32">
        <f t="shared" si="132"/>
        <v>12.24</v>
      </c>
      <c r="BB247" s="32">
        <f t="shared" si="133"/>
        <v>12.24</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1051">
        <v>236</v>
      </c>
      <c r="D248" s="1625" t="s">
        <v>3388</v>
      </c>
      <c r="E248" s="32">
        <f t="shared" si="123"/>
        <v>1.37</v>
      </c>
      <c r="F248" s="33"/>
      <c r="G248" s="34">
        <f t="shared" si="124"/>
        <v>12.24</v>
      </c>
      <c r="H248" s="35">
        <f t="shared" si="125"/>
        <v>12.24</v>
      </c>
      <c r="I248" s="3451">
        <v>12.24</v>
      </c>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236</v>
      </c>
      <c r="AY248" s="39">
        <f t="shared" si="130"/>
        <v>1.37</v>
      </c>
      <c r="AZ248" s="32">
        <f t="shared" si="131"/>
        <v>12.24</v>
      </c>
      <c r="BA248" s="32">
        <f t="shared" si="132"/>
        <v>12.24</v>
      </c>
      <c r="BB248" s="32">
        <f t="shared" si="133"/>
        <v>12.24</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1051">
        <v>237</v>
      </c>
      <c r="D249" s="1625" t="s">
        <v>3388</v>
      </c>
      <c r="E249" s="32">
        <f t="shared" si="123"/>
        <v>1.33</v>
      </c>
      <c r="F249" s="33"/>
      <c r="G249" s="34">
        <f t="shared" si="124"/>
        <v>11.88</v>
      </c>
      <c r="H249" s="35">
        <f t="shared" si="125"/>
        <v>11.88</v>
      </c>
      <c r="I249" s="3451">
        <v>11.88</v>
      </c>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237</v>
      </c>
      <c r="AY249" s="39">
        <f t="shared" si="130"/>
        <v>1.33</v>
      </c>
      <c r="AZ249" s="32">
        <f t="shared" si="131"/>
        <v>11.88</v>
      </c>
      <c r="BA249" s="32">
        <f t="shared" si="132"/>
        <v>11.88</v>
      </c>
      <c r="BB249" s="32">
        <f t="shared" si="133"/>
        <v>11.88</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1051">
        <v>238</v>
      </c>
      <c r="D250" s="1625" t="s">
        <v>3388</v>
      </c>
      <c r="E250" s="32">
        <f t="shared" si="123"/>
        <v>1.44</v>
      </c>
      <c r="F250" s="33"/>
      <c r="G250" s="34">
        <f t="shared" si="124"/>
        <v>12.81</v>
      </c>
      <c r="H250" s="35">
        <f t="shared" si="125"/>
        <v>12.81</v>
      </c>
      <c r="I250" s="3451">
        <v>12.81</v>
      </c>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238</v>
      </c>
      <c r="AY250" s="39">
        <f t="shared" si="130"/>
        <v>1.44</v>
      </c>
      <c r="AZ250" s="32">
        <f t="shared" si="131"/>
        <v>12.81</v>
      </c>
      <c r="BA250" s="32">
        <f t="shared" si="132"/>
        <v>12.81</v>
      </c>
      <c r="BB250" s="32">
        <f t="shared" si="133"/>
        <v>12.81</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1051">
        <v>239</v>
      </c>
      <c r="D251" s="1625" t="s">
        <v>3388</v>
      </c>
      <c r="E251" s="32">
        <f t="shared" si="123"/>
        <v>1.23</v>
      </c>
      <c r="F251" s="33"/>
      <c r="G251" s="34">
        <f t="shared" si="124"/>
        <v>10.99</v>
      </c>
      <c r="H251" s="35">
        <f t="shared" si="125"/>
        <v>10.99</v>
      </c>
      <c r="I251" s="3451">
        <v>10.99</v>
      </c>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239</v>
      </c>
      <c r="AY251" s="39">
        <f t="shared" si="130"/>
        <v>1.23</v>
      </c>
      <c r="AZ251" s="32">
        <f t="shared" si="131"/>
        <v>10.99</v>
      </c>
      <c r="BA251" s="32">
        <f t="shared" si="132"/>
        <v>10.99</v>
      </c>
      <c r="BB251" s="32">
        <f t="shared" si="133"/>
        <v>10.99</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1051">
        <v>240</v>
      </c>
      <c r="D252" s="1625" t="s">
        <v>3388</v>
      </c>
      <c r="E252" s="32">
        <f t="shared" si="123"/>
        <v>1.23</v>
      </c>
      <c r="F252" s="33"/>
      <c r="G252" s="34">
        <f t="shared" si="124"/>
        <v>10.99</v>
      </c>
      <c r="H252" s="35">
        <f t="shared" si="125"/>
        <v>10.99</v>
      </c>
      <c r="I252" s="3451">
        <v>10.99</v>
      </c>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240</v>
      </c>
      <c r="AY252" s="39">
        <f t="shared" si="130"/>
        <v>1.23</v>
      </c>
      <c r="AZ252" s="32">
        <f t="shared" si="131"/>
        <v>10.99</v>
      </c>
      <c r="BA252" s="32">
        <f t="shared" si="132"/>
        <v>10.99</v>
      </c>
      <c r="BB252" s="32">
        <f t="shared" si="133"/>
        <v>10.99</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1051">
        <v>241</v>
      </c>
      <c r="D253" s="1625" t="s">
        <v>3388</v>
      </c>
      <c r="E253" s="32">
        <f t="shared" si="123"/>
        <v>1.23</v>
      </c>
      <c r="F253" s="33"/>
      <c r="G253" s="34">
        <f t="shared" si="124"/>
        <v>10.99</v>
      </c>
      <c r="H253" s="35">
        <f t="shared" si="125"/>
        <v>10.99</v>
      </c>
      <c r="I253" s="3451">
        <v>10.99</v>
      </c>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241</v>
      </c>
      <c r="AY253" s="39">
        <f t="shared" si="130"/>
        <v>1.23</v>
      </c>
      <c r="AZ253" s="32">
        <f t="shared" si="131"/>
        <v>10.99</v>
      </c>
      <c r="BA253" s="32">
        <f t="shared" si="132"/>
        <v>10.99</v>
      </c>
      <c r="BB253" s="32">
        <f t="shared" si="133"/>
        <v>10.99</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1051">
        <v>242</v>
      </c>
      <c r="D254" s="1625" t="s">
        <v>3388</v>
      </c>
      <c r="E254" s="32">
        <f t="shared" si="123"/>
        <v>1.23</v>
      </c>
      <c r="F254" s="33"/>
      <c r="G254" s="34">
        <f t="shared" si="124"/>
        <v>10.99</v>
      </c>
      <c r="H254" s="35">
        <f t="shared" si="125"/>
        <v>10.99</v>
      </c>
      <c r="I254" s="3451">
        <v>10.99</v>
      </c>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242</v>
      </c>
      <c r="AY254" s="39">
        <f t="shared" si="130"/>
        <v>1.23</v>
      </c>
      <c r="AZ254" s="32">
        <f t="shared" si="131"/>
        <v>10.99</v>
      </c>
      <c r="BA254" s="32">
        <f t="shared" si="132"/>
        <v>10.99</v>
      </c>
      <c r="BB254" s="32">
        <f t="shared" si="133"/>
        <v>10.99</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1051">
        <v>243</v>
      </c>
      <c r="D255" s="1625" t="s">
        <v>3388</v>
      </c>
      <c r="E255" s="32">
        <f t="shared" si="123"/>
        <v>1.23</v>
      </c>
      <c r="F255" s="33"/>
      <c r="G255" s="34">
        <f t="shared" si="124"/>
        <v>10.99</v>
      </c>
      <c r="H255" s="35">
        <f t="shared" si="125"/>
        <v>10.99</v>
      </c>
      <c r="I255" s="3451">
        <v>10.99</v>
      </c>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243</v>
      </c>
      <c r="AY255" s="39">
        <f t="shared" si="130"/>
        <v>1.23</v>
      </c>
      <c r="AZ255" s="32">
        <f t="shared" si="131"/>
        <v>10.99</v>
      </c>
      <c r="BA255" s="32">
        <f t="shared" si="132"/>
        <v>10.99</v>
      </c>
      <c r="BB255" s="32">
        <f t="shared" si="133"/>
        <v>10.99</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1051">
        <v>244</v>
      </c>
      <c r="D256" s="1625" t="s">
        <v>3388</v>
      </c>
      <c r="E256" s="32">
        <f t="shared" si="123"/>
        <v>1.23</v>
      </c>
      <c r="F256" s="33"/>
      <c r="G256" s="34">
        <f t="shared" si="124"/>
        <v>10.99</v>
      </c>
      <c r="H256" s="35">
        <f t="shared" si="125"/>
        <v>10.99</v>
      </c>
      <c r="I256" s="3451">
        <v>10.99</v>
      </c>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244</v>
      </c>
      <c r="AY256" s="39">
        <f t="shared" si="130"/>
        <v>1.23</v>
      </c>
      <c r="AZ256" s="32">
        <f t="shared" si="131"/>
        <v>10.99</v>
      </c>
      <c r="BA256" s="32">
        <f t="shared" si="132"/>
        <v>10.99</v>
      </c>
      <c r="BB256" s="32">
        <f t="shared" si="133"/>
        <v>10.99</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1051">
        <v>245</v>
      </c>
      <c r="D257" s="1625" t="s">
        <v>3388</v>
      </c>
      <c r="E257" s="32">
        <f t="shared" si="123"/>
        <v>1.24</v>
      </c>
      <c r="F257" s="33"/>
      <c r="G257" s="34">
        <f t="shared" si="124"/>
        <v>11.04</v>
      </c>
      <c r="H257" s="35">
        <f t="shared" si="125"/>
        <v>11.04</v>
      </c>
      <c r="I257" s="3451">
        <v>11.04</v>
      </c>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245</v>
      </c>
      <c r="AY257" s="39">
        <f t="shared" si="130"/>
        <v>1.24</v>
      </c>
      <c r="AZ257" s="32">
        <f t="shared" si="131"/>
        <v>11.04</v>
      </c>
      <c r="BA257" s="32">
        <f t="shared" si="132"/>
        <v>11.04</v>
      </c>
      <c r="BB257" s="32">
        <f t="shared" si="133"/>
        <v>11.04</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1051">
        <v>246</v>
      </c>
      <c r="D258" s="1625" t="s">
        <v>3388</v>
      </c>
      <c r="E258" s="32">
        <f t="shared" si="123"/>
        <v>1.24</v>
      </c>
      <c r="F258" s="33"/>
      <c r="G258" s="34">
        <f t="shared" si="124"/>
        <v>11.04</v>
      </c>
      <c r="H258" s="35">
        <f t="shared" si="125"/>
        <v>11.04</v>
      </c>
      <c r="I258" s="3451">
        <v>11.04</v>
      </c>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246</v>
      </c>
      <c r="AY258" s="39">
        <f t="shared" si="130"/>
        <v>1.24</v>
      </c>
      <c r="AZ258" s="32">
        <f t="shared" si="131"/>
        <v>11.04</v>
      </c>
      <c r="BA258" s="32">
        <f t="shared" si="132"/>
        <v>11.04</v>
      </c>
      <c r="BB258" s="32">
        <f t="shared" si="133"/>
        <v>11.04</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1051">
        <v>247</v>
      </c>
      <c r="D259" s="1625" t="s">
        <v>3388</v>
      </c>
      <c r="E259" s="32">
        <f t="shared" si="123"/>
        <v>1.24</v>
      </c>
      <c r="F259" s="33"/>
      <c r="G259" s="34">
        <f t="shared" si="124"/>
        <v>11.04</v>
      </c>
      <c r="H259" s="35">
        <f t="shared" si="125"/>
        <v>11.04</v>
      </c>
      <c r="I259" s="3451">
        <v>11.04</v>
      </c>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247</v>
      </c>
      <c r="AY259" s="39">
        <f t="shared" si="130"/>
        <v>1.24</v>
      </c>
      <c r="AZ259" s="32">
        <f t="shared" si="131"/>
        <v>11.04</v>
      </c>
      <c r="BA259" s="32">
        <f t="shared" si="132"/>
        <v>11.04</v>
      </c>
      <c r="BB259" s="32">
        <f t="shared" si="133"/>
        <v>11.04</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1051">
        <v>248</v>
      </c>
      <c r="D260" s="1625" t="s">
        <v>3388</v>
      </c>
      <c r="E260" s="32">
        <f t="shared" si="123"/>
        <v>1.24</v>
      </c>
      <c r="F260" s="33"/>
      <c r="G260" s="34">
        <f t="shared" si="124"/>
        <v>11.04</v>
      </c>
      <c r="H260" s="35">
        <f t="shared" si="125"/>
        <v>11.04</v>
      </c>
      <c r="I260" s="3451">
        <v>11.04</v>
      </c>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248</v>
      </c>
      <c r="AY260" s="39">
        <f t="shared" si="130"/>
        <v>1.24</v>
      </c>
      <c r="AZ260" s="32">
        <f t="shared" si="131"/>
        <v>11.04</v>
      </c>
      <c r="BA260" s="32">
        <f t="shared" si="132"/>
        <v>11.04</v>
      </c>
      <c r="BB260" s="32">
        <f t="shared" si="133"/>
        <v>11.04</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1051">
        <v>249</v>
      </c>
      <c r="D261" s="1625" t="s">
        <v>3388</v>
      </c>
      <c r="E261" s="32">
        <f t="shared" si="123"/>
        <v>1.24</v>
      </c>
      <c r="F261" s="33"/>
      <c r="G261" s="34">
        <f t="shared" si="124"/>
        <v>11.04</v>
      </c>
      <c r="H261" s="35">
        <f t="shared" si="125"/>
        <v>11.04</v>
      </c>
      <c r="I261" s="3451">
        <v>11.04</v>
      </c>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249</v>
      </c>
      <c r="AY261" s="39">
        <f t="shared" si="130"/>
        <v>1.24</v>
      </c>
      <c r="AZ261" s="32">
        <f t="shared" si="131"/>
        <v>11.04</v>
      </c>
      <c r="BA261" s="32">
        <f t="shared" si="132"/>
        <v>11.04</v>
      </c>
      <c r="BB261" s="32">
        <f t="shared" si="133"/>
        <v>11.04</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1051">
        <v>250</v>
      </c>
      <c r="D262" s="1625" t="s">
        <v>3388</v>
      </c>
      <c r="E262" s="32">
        <f t="shared" si="123"/>
        <v>1.24</v>
      </c>
      <c r="F262" s="33"/>
      <c r="G262" s="34">
        <f t="shared" si="124"/>
        <v>11.04</v>
      </c>
      <c r="H262" s="35">
        <f t="shared" si="125"/>
        <v>11.04</v>
      </c>
      <c r="I262" s="3451">
        <v>11.04</v>
      </c>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250</v>
      </c>
      <c r="AY262" s="39">
        <f t="shared" si="130"/>
        <v>1.24</v>
      </c>
      <c r="AZ262" s="32">
        <f t="shared" si="131"/>
        <v>11.04</v>
      </c>
      <c r="BA262" s="32">
        <f t="shared" si="132"/>
        <v>11.04</v>
      </c>
      <c r="BB262" s="32">
        <f t="shared" si="133"/>
        <v>11.04</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1051">
        <v>251</v>
      </c>
      <c r="D263" s="1625" t="s">
        <v>3388</v>
      </c>
      <c r="E263" s="32">
        <f t="shared" si="123"/>
        <v>1.44</v>
      </c>
      <c r="F263" s="33"/>
      <c r="G263" s="34">
        <f t="shared" si="124"/>
        <v>12.88</v>
      </c>
      <c r="H263" s="35">
        <f t="shared" si="125"/>
        <v>12.88</v>
      </c>
      <c r="I263" s="3451">
        <v>12.88</v>
      </c>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251</v>
      </c>
      <c r="AY263" s="39">
        <f t="shared" si="130"/>
        <v>1.44</v>
      </c>
      <c r="AZ263" s="32">
        <f t="shared" si="131"/>
        <v>12.88</v>
      </c>
      <c r="BA263" s="32">
        <f t="shared" si="132"/>
        <v>12.88</v>
      </c>
      <c r="BB263" s="32">
        <f t="shared" si="133"/>
        <v>12.88</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1051">
        <v>252</v>
      </c>
      <c r="D264" s="1625" t="s">
        <v>3388</v>
      </c>
      <c r="E264" s="32">
        <f t="shared" si="123"/>
        <v>1.27</v>
      </c>
      <c r="F264" s="33"/>
      <c r="G264" s="34">
        <f t="shared" si="124"/>
        <v>11.33</v>
      </c>
      <c r="H264" s="35">
        <f t="shared" si="125"/>
        <v>11.33</v>
      </c>
      <c r="I264" s="3451">
        <v>11.33</v>
      </c>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252</v>
      </c>
      <c r="AY264" s="39">
        <f t="shared" si="130"/>
        <v>1.27</v>
      </c>
      <c r="AZ264" s="32">
        <f t="shared" si="131"/>
        <v>11.33</v>
      </c>
      <c r="BA264" s="32">
        <f t="shared" si="132"/>
        <v>11.33</v>
      </c>
      <c r="BB264" s="32">
        <f t="shared" si="133"/>
        <v>11.33</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1051">
        <v>253</v>
      </c>
      <c r="D265" s="1625" t="s">
        <v>3388</v>
      </c>
      <c r="E265" s="32">
        <f t="shared" si="123"/>
        <v>1.27</v>
      </c>
      <c r="F265" s="33"/>
      <c r="G265" s="34">
        <f t="shared" si="124"/>
        <v>11.33</v>
      </c>
      <c r="H265" s="35">
        <f t="shared" si="125"/>
        <v>11.33</v>
      </c>
      <c r="I265" s="3451">
        <v>11.33</v>
      </c>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253</v>
      </c>
      <c r="AY265" s="39">
        <f t="shared" si="130"/>
        <v>1.27</v>
      </c>
      <c r="AZ265" s="32">
        <f t="shared" si="131"/>
        <v>11.33</v>
      </c>
      <c r="BA265" s="32">
        <f t="shared" si="132"/>
        <v>11.33</v>
      </c>
      <c r="BB265" s="32">
        <f t="shared" si="133"/>
        <v>11.33</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1051">
        <v>254</v>
      </c>
      <c r="D266" s="1625" t="s">
        <v>3388</v>
      </c>
      <c r="E266" s="32">
        <f t="shared" si="123"/>
        <v>1.27</v>
      </c>
      <c r="F266" s="33"/>
      <c r="G266" s="34">
        <f t="shared" si="124"/>
        <v>11.33</v>
      </c>
      <c r="H266" s="35">
        <f t="shared" si="125"/>
        <v>11.33</v>
      </c>
      <c r="I266" s="3451">
        <v>11.33</v>
      </c>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254</v>
      </c>
      <c r="AY266" s="39">
        <f t="shared" si="130"/>
        <v>1.27</v>
      </c>
      <c r="AZ266" s="32">
        <f t="shared" si="131"/>
        <v>11.33</v>
      </c>
      <c r="BA266" s="32">
        <f t="shared" si="132"/>
        <v>11.33</v>
      </c>
      <c r="BB266" s="32">
        <f t="shared" si="133"/>
        <v>11.33</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1051">
        <v>255</v>
      </c>
      <c r="D267" s="1625" t="s">
        <v>3388</v>
      </c>
      <c r="E267" s="32">
        <f t="shared" si="123"/>
        <v>1.27</v>
      </c>
      <c r="F267" s="33"/>
      <c r="G267" s="34">
        <f t="shared" si="124"/>
        <v>11.33</v>
      </c>
      <c r="H267" s="35">
        <f t="shared" si="125"/>
        <v>11.33</v>
      </c>
      <c r="I267" s="3451">
        <v>11.33</v>
      </c>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255</v>
      </c>
      <c r="AY267" s="39">
        <f t="shared" si="130"/>
        <v>1.27</v>
      </c>
      <c r="AZ267" s="32">
        <f t="shared" si="131"/>
        <v>11.33</v>
      </c>
      <c r="BA267" s="32">
        <f t="shared" si="132"/>
        <v>11.33</v>
      </c>
      <c r="BB267" s="32">
        <f t="shared" si="133"/>
        <v>11.33</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1051">
        <v>256</v>
      </c>
      <c r="D268" s="1625" t="s">
        <v>3388</v>
      </c>
      <c r="E268" s="32">
        <f t="shared" si="123"/>
        <v>1.58</v>
      </c>
      <c r="F268" s="33"/>
      <c r="G268" s="34">
        <f t="shared" si="124"/>
        <v>14.08</v>
      </c>
      <c r="H268" s="35">
        <f t="shared" si="125"/>
        <v>14.08</v>
      </c>
      <c r="I268" s="1626">
        <v>14.08</v>
      </c>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256</v>
      </c>
      <c r="AY268" s="39">
        <f t="shared" si="130"/>
        <v>1.58</v>
      </c>
      <c r="AZ268" s="32">
        <f t="shared" si="131"/>
        <v>14.08</v>
      </c>
      <c r="BA268" s="32">
        <f t="shared" si="132"/>
        <v>14.08</v>
      </c>
      <c r="BB268" s="32">
        <f t="shared" si="133"/>
        <v>14.08</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1051">
        <v>257</v>
      </c>
      <c r="D269" s="1625" t="s">
        <v>3388</v>
      </c>
      <c r="E269" s="32">
        <f t="shared" si="123"/>
        <v>1.67</v>
      </c>
      <c r="F269" s="33"/>
      <c r="G269" s="34">
        <f t="shared" si="124"/>
        <v>14.86</v>
      </c>
      <c r="H269" s="35">
        <f t="shared" si="125"/>
        <v>14.86</v>
      </c>
      <c r="I269" s="1626">
        <v>14.86</v>
      </c>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257</v>
      </c>
      <c r="AY269" s="39">
        <f t="shared" si="130"/>
        <v>1.67</v>
      </c>
      <c r="AZ269" s="32">
        <f t="shared" si="131"/>
        <v>14.86</v>
      </c>
      <c r="BA269" s="32">
        <f t="shared" si="132"/>
        <v>14.86</v>
      </c>
      <c r="BB269" s="32">
        <f t="shared" si="133"/>
        <v>14.86</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1051">
        <v>258</v>
      </c>
      <c r="D270" s="1625" t="s">
        <v>3388</v>
      </c>
      <c r="E270" s="32">
        <f t="shared" si="123"/>
        <v>1.5</v>
      </c>
      <c r="F270" s="33"/>
      <c r="G270" s="34">
        <f t="shared" si="124"/>
        <v>13.41</v>
      </c>
      <c r="H270" s="35">
        <f t="shared" si="125"/>
        <v>13.41</v>
      </c>
      <c r="I270" s="1626">
        <v>13.41</v>
      </c>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258</v>
      </c>
      <c r="AY270" s="39">
        <f t="shared" si="130"/>
        <v>1.5</v>
      </c>
      <c r="AZ270" s="32">
        <f t="shared" si="131"/>
        <v>13.41</v>
      </c>
      <c r="BA270" s="32">
        <f t="shared" si="132"/>
        <v>13.41</v>
      </c>
      <c r="BB270" s="32">
        <f t="shared" si="133"/>
        <v>13.41</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1051">
        <v>259</v>
      </c>
      <c r="D271" s="1625" t="s">
        <v>3388</v>
      </c>
      <c r="E271" s="32">
        <f t="shared" si="123"/>
        <v>1.51</v>
      </c>
      <c r="F271" s="33"/>
      <c r="G271" s="34">
        <f t="shared" si="124"/>
        <v>13.46</v>
      </c>
      <c r="H271" s="35">
        <f t="shared" si="125"/>
        <v>13.46</v>
      </c>
      <c r="I271" s="1626">
        <v>13.46</v>
      </c>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259</v>
      </c>
      <c r="AY271" s="39">
        <f t="shared" si="130"/>
        <v>1.51</v>
      </c>
      <c r="AZ271" s="32">
        <f t="shared" si="131"/>
        <v>13.46</v>
      </c>
      <c r="BA271" s="32">
        <f t="shared" si="132"/>
        <v>13.46</v>
      </c>
      <c r="BB271" s="32">
        <f t="shared" si="133"/>
        <v>13.46</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1051">
        <v>260</v>
      </c>
      <c r="D272" s="1625" t="s">
        <v>3388</v>
      </c>
      <c r="E272" s="32">
        <f t="shared" si="123"/>
        <v>1.71</v>
      </c>
      <c r="F272" s="33"/>
      <c r="G272" s="34">
        <f t="shared" si="124"/>
        <v>15.23</v>
      </c>
      <c r="H272" s="35">
        <f t="shared" si="125"/>
        <v>15.23</v>
      </c>
      <c r="I272" s="1626">
        <v>15.23</v>
      </c>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260</v>
      </c>
      <c r="AY272" s="39">
        <f t="shared" si="130"/>
        <v>1.71</v>
      </c>
      <c r="AZ272" s="32">
        <f t="shared" si="131"/>
        <v>15.23</v>
      </c>
      <c r="BA272" s="32">
        <f t="shared" si="132"/>
        <v>15.23</v>
      </c>
      <c r="BB272" s="32">
        <f t="shared" si="133"/>
        <v>15.23</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1051">
        <v>261</v>
      </c>
      <c r="D273" s="1625" t="s">
        <v>3388</v>
      </c>
      <c r="E273" s="32">
        <f t="shared" si="123"/>
        <v>1.71</v>
      </c>
      <c r="F273" s="33"/>
      <c r="G273" s="34">
        <f t="shared" si="124"/>
        <v>15.23</v>
      </c>
      <c r="H273" s="35">
        <f t="shared" si="125"/>
        <v>15.23</v>
      </c>
      <c r="I273" s="1626">
        <v>15.23</v>
      </c>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261</v>
      </c>
      <c r="AY273" s="39">
        <f t="shared" si="130"/>
        <v>1.71</v>
      </c>
      <c r="AZ273" s="32">
        <f t="shared" si="131"/>
        <v>15.23</v>
      </c>
      <c r="BA273" s="32">
        <f t="shared" si="132"/>
        <v>15.23</v>
      </c>
      <c r="BB273" s="32">
        <f t="shared" si="133"/>
        <v>15.23</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1051">
        <v>262</v>
      </c>
      <c r="D274" s="1625" t="s">
        <v>3388</v>
      </c>
      <c r="E274" s="32">
        <f t="shared" si="123"/>
        <v>1.51</v>
      </c>
      <c r="F274" s="33"/>
      <c r="G274" s="34">
        <f t="shared" si="124"/>
        <v>13.46</v>
      </c>
      <c r="H274" s="35">
        <f t="shared" si="125"/>
        <v>13.46</v>
      </c>
      <c r="I274" s="1626">
        <v>13.46</v>
      </c>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262</v>
      </c>
      <c r="AY274" s="39">
        <f t="shared" si="130"/>
        <v>1.51</v>
      </c>
      <c r="AZ274" s="32">
        <f t="shared" si="131"/>
        <v>13.46</v>
      </c>
      <c r="BA274" s="32">
        <f t="shared" si="132"/>
        <v>13.46</v>
      </c>
      <c r="BB274" s="32">
        <f t="shared" si="133"/>
        <v>13.46</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1051">
        <v>263</v>
      </c>
      <c r="D275" s="1625" t="s">
        <v>3388</v>
      </c>
      <c r="E275" s="32">
        <f t="shared" si="123"/>
        <v>1.5</v>
      </c>
      <c r="F275" s="33"/>
      <c r="G275" s="34">
        <f t="shared" si="124"/>
        <v>13.41</v>
      </c>
      <c r="H275" s="35">
        <f t="shared" si="125"/>
        <v>13.41</v>
      </c>
      <c r="I275" s="1626">
        <v>13.41</v>
      </c>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263</v>
      </c>
      <c r="AY275" s="39">
        <f t="shared" si="130"/>
        <v>1.5</v>
      </c>
      <c r="AZ275" s="32">
        <f t="shared" si="131"/>
        <v>13.41</v>
      </c>
      <c r="BA275" s="32">
        <f t="shared" si="132"/>
        <v>13.41</v>
      </c>
      <c r="BB275" s="32">
        <f t="shared" si="133"/>
        <v>13.41</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1051">
        <v>264</v>
      </c>
      <c r="D276" s="1625" t="s">
        <v>3388</v>
      </c>
      <c r="E276" s="32">
        <f t="shared" si="123"/>
        <v>1.67</v>
      </c>
      <c r="F276" s="33"/>
      <c r="G276" s="34">
        <f t="shared" si="124"/>
        <v>14.86</v>
      </c>
      <c r="H276" s="35">
        <f t="shared" si="125"/>
        <v>14.86</v>
      </c>
      <c r="I276" s="1626">
        <v>14.86</v>
      </c>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264</v>
      </c>
      <c r="AY276" s="39">
        <f t="shared" si="130"/>
        <v>1.67</v>
      </c>
      <c r="AZ276" s="32">
        <f t="shared" si="131"/>
        <v>14.86</v>
      </c>
      <c r="BA276" s="32">
        <f t="shared" si="132"/>
        <v>14.86</v>
      </c>
      <c r="BB276" s="32">
        <f t="shared" si="133"/>
        <v>14.86</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1051">
        <v>265</v>
      </c>
      <c r="D277" s="1625" t="s">
        <v>3388</v>
      </c>
      <c r="E277" s="32">
        <f t="shared" si="123"/>
        <v>1.02</v>
      </c>
      <c r="F277" s="33"/>
      <c r="G277" s="34">
        <f t="shared" si="124"/>
        <v>9.08</v>
      </c>
      <c r="H277" s="35">
        <f t="shared" si="125"/>
        <v>9.08</v>
      </c>
      <c r="I277" s="1626">
        <v>9.08</v>
      </c>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265</v>
      </c>
      <c r="AY277" s="39">
        <f t="shared" si="130"/>
        <v>1.02</v>
      </c>
      <c r="AZ277" s="32">
        <f t="shared" si="131"/>
        <v>9.08</v>
      </c>
      <c r="BA277" s="32">
        <f t="shared" si="132"/>
        <v>9.08</v>
      </c>
      <c r="BB277" s="32">
        <f t="shared" si="133"/>
        <v>9.08</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1051">
        <v>266</v>
      </c>
      <c r="D278" s="1625" t="s">
        <v>3388</v>
      </c>
      <c r="E278" s="32">
        <f t="shared" si="123"/>
        <v>1.1499999999999999</v>
      </c>
      <c r="F278" s="33"/>
      <c r="G278" s="34">
        <f t="shared" si="124"/>
        <v>10.3</v>
      </c>
      <c r="H278" s="35">
        <f t="shared" si="125"/>
        <v>10.3</v>
      </c>
      <c r="I278" s="1626">
        <v>10.3</v>
      </c>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266</v>
      </c>
      <c r="AY278" s="39">
        <f t="shared" si="130"/>
        <v>1.1499999999999999</v>
      </c>
      <c r="AZ278" s="32">
        <f t="shared" si="131"/>
        <v>10.3</v>
      </c>
      <c r="BA278" s="32">
        <f t="shared" si="132"/>
        <v>10.3</v>
      </c>
      <c r="BB278" s="32">
        <f t="shared" si="133"/>
        <v>10.3</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1051">
        <v>267</v>
      </c>
      <c r="D279" s="1625" t="s">
        <v>3388</v>
      </c>
      <c r="E279" s="32">
        <f t="shared" si="123"/>
        <v>1.1599999999999999</v>
      </c>
      <c r="F279" s="33"/>
      <c r="G279" s="34">
        <f t="shared" si="124"/>
        <v>10.33</v>
      </c>
      <c r="H279" s="35">
        <f t="shared" si="125"/>
        <v>10.33</v>
      </c>
      <c r="I279" s="1626">
        <v>10.33</v>
      </c>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267</v>
      </c>
      <c r="AY279" s="39">
        <f t="shared" si="130"/>
        <v>1.1599999999999999</v>
      </c>
      <c r="AZ279" s="32">
        <f t="shared" si="131"/>
        <v>10.33</v>
      </c>
      <c r="BA279" s="32">
        <f t="shared" si="132"/>
        <v>10.33</v>
      </c>
      <c r="BB279" s="32">
        <f t="shared" si="133"/>
        <v>10.33</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1051">
        <v>268</v>
      </c>
      <c r="D280" s="1625" t="s">
        <v>3388</v>
      </c>
      <c r="E280" s="32">
        <f t="shared" si="123"/>
        <v>1.1599999999999999</v>
      </c>
      <c r="F280" s="33"/>
      <c r="G280" s="34">
        <f t="shared" si="124"/>
        <v>10.35</v>
      </c>
      <c r="H280" s="35">
        <f t="shared" si="125"/>
        <v>10.35</v>
      </c>
      <c r="I280" s="1626">
        <v>10.35</v>
      </c>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268</v>
      </c>
      <c r="AY280" s="39">
        <f t="shared" si="130"/>
        <v>1.1599999999999999</v>
      </c>
      <c r="AZ280" s="32">
        <f t="shared" si="131"/>
        <v>10.35</v>
      </c>
      <c r="BA280" s="32">
        <f t="shared" si="132"/>
        <v>10.35</v>
      </c>
      <c r="BB280" s="32">
        <f t="shared" si="133"/>
        <v>10.35</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1051">
        <v>269</v>
      </c>
      <c r="D281" s="1625" t="s">
        <v>3388</v>
      </c>
      <c r="E281" s="32">
        <f t="shared" si="123"/>
        <v>1.1399999999999999</v>
      </c>
      <c r="F281" s="33"/>
      <c r="G281" s="34">
        <f t="shared" si="124"/>
        <v>10.17</v>
      </c>
      <c r="H281" s="35">
        <f t="shared" si="125"/>
        <v>10.17</v>
      </c>
      <c r="I281" s="1626">
        <v>10.17</v>
      </c>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269</v>
      </c>
      <c r="AY281" s="39">
        <f t="shared" si="130"/>
        <v>1.1399999999999999</v>
      </c>
      <c r="AZ281" s="32">
        <f t="shared" si="131"/>
        <v>10.17</v>
      </c>
      <c r="BA281" s="32">
        <f t="shared" si="132"/>
        <v>10.17</v>
      </c>
      <c r="BB281" s="32">
        <f t="shared" si="133"/>
        <v>10.17</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1051">
        <v>270</v>
      </c>
      <c r="D282" s="1625" t="s">
        <v>3388</v>
      </c>
      <c r="E282" s="32">
        <f t="shared" si="123"/>
        <v>1.1499999999999999</v>
      </c>
      <c r="F282" s="33"/>
      <c r="G282" s="34">
        <f t="shared" si="124"/>
        <v>10.26</v>
      </c>
      <c r="H282" s="35">
        <f t="shared" si="125"/>
        <v>10.26</v>
      </c>
      <c r="I282" s="1626">
        <v>10.26</v>
      </c>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270</v>
      </c>
      <c r="AY282" s="39">
        <f t="shared" si="130"/>
        <v>1.1499999999999999</v>
      </c>
      <c r="AZ282" s="32">
        <f t="shared" si="131"/>
        <v>10.26</v>
      </c>
      <c r="BA282" s="32">
        <f t="shared" si="132"/>
        <v>10.26</v>
      </c>
      <c r="BB282" s="32">
        <f t="shared" si="133"/>
        <v>10.26</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1051">
        <v>271</v>
      </c>
      <c r="D283" s="1625" t="s">
        <v>3388</v>
      </c>
      <c r="E283" s="32">
        <f t="shared" si="123"/>
        <v>1.1499999999999999</v>
      </c>
      <c r="F283" s="33"/>
      <c r="G283" s="34">
        <f t="shared" si="124"/>
        <v>10.3</v>
      </c>
      <c r="H283" s="35">
        <f t="shared" si="125"/>
        <v>10.3</v>
      </c>
      <c r="I283" s="1626">
        <v>10.3</v>
      </c>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271</v>
      </c>
      <c r="AY283" s="39">
        <f t="shared" si="130"/>
        <v>1.1499999999999999</v>
      </c>
      <c r="AZ283" s="32">
        <f t="shared" si="131"/>
        <v>10.3</v>
      </c>
      <c r="BA283" s="32">
        <f t="shared" si="132"/>
        <v>10.3</v>
      </c>
      <c r="BB283" s="32">
        <f t="shared" si="133"/>
        <v>10.3</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1051">
        <v>272</v>
      </c>
      <c r="D284" s="1625" t="s">
        <v>3388</v>
      </c>
      <c r="E284" s="32">
        <f t="shared" si="123"/>
        <v>1.08</v>
      </c>
      <c r="F284" s="33"/>
      <c r="G284" s="34">
        <f t="shared" si="124"/>
        <v>9.6199999999999992</v>
      </c>
      <c r="H284" s="35">
        <f t="shared" si="125"/>
        <v>9.6199999999999992</v>
      </c>
      <c r="I284" s="1626">
        <v>9.6199999999999992</v>
      </c>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272</v>
      </c>
      <c r="AY284" s="39">
        <f t="shared" si="130"/>
        <v>1.08</v>
      </c>
      <c r="AZ284" s="32">
        <f t="shared" si="131"/>
        <v>9.6199999999999992</v>
      </c>
      <c r="BA284" s="32">
        <f t="shared" si="132"/>
        <v>9.6199999999999992</v>
      </c>
      <c r="BB284" s="32">
        <f t="shared" si="133"/>
        <v>9.6199999999999992</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1051">
        <v>273</v>
      </c>
      <c r="D285" s="1625" t="s">
        <v>3388</v>
      </c>
      <c r="E285" s="32">
        <f t="shared" si="123"/>
        <v>1.31</v>
      </c>
      <c r="F285" s="33"/>
      <c r="G285" s="34">
        <f t="shared" si="124"/>
        <v>11.72</v>
      </c>
      <c r="H285" s="35">
        <f t="shared" si="125"/>
        <v>11.72</v>
      </c>
      <c r="I285" s="1626">
        <v>11.72</v>
      </c>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273</v>
      </c>
      <c r="AY285" s="39">
        <f t="shared" si="130"/>
        <v>1.31</v>
      </c>
      <c r="AZ285" s="32">
        <f t="shared" si="131"/>
        <v>11.72</v>
      </c>
      <c r="BA285" s="32">
        <f t="shared" si="132"/>
        <v>11.72</v>
      </c>
      <c r="BB285" s="32">
        <f t="shared" si="133"/>
        <v>11.72</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1051">
        <v>274</v>
      </c>
      <c r="D286" s="1625" t="s">
        <v>3388</v>
      </c>
      <c r="E286" s="32">
        <f t="shared" si="123"/>
        <v>1.33</v>
      </c>
      <c r="F286" s="33"/>
      <c r="G286" s="34">
        <f t="shared" si="124"/>
        <v>11.9</v>
      </c>
      <c r="H286" s="35">
        <f t="shared" si="125"/>
        <v>11.9</v>
      </c>
      <c r="I286" s="1626">
        <v>11.9</v>
      </c>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274</v>
      </c>
      <c r="AY286" s="39">
        <f t="shared" si="130"/>
        <v>1.33</v>
      </c>
      <c r="AZ286" s="32">
        <f t="shared" si="131"/>
        <v>11.9</v>
      </c>
      <c r="BA286" s="32">
        <f t="shared" si="132"/>
        <v>11.9</v>
      </c>
      <c r="BB286" s="32">
        <f t="shared" si="133"/>
        <v>11.9</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1051">
        <v>275</v>
      </c>
      <c r="D287" s="1625" t="s">
        <v>3388</v>
      </c>
      <c r="E287" s="32">
        <f t="shared" si="123"/>
        <v>1.32</v>
      </c>
      <c r="F287" s="33"/>
      <c r="G287" s="34">
        <f t="shared" si="124"/>
        <v>11.81</v>
      </c>
      <c r="H287" s="35">
        <f t="shared" si="125"/>
        <v>11.81</v>
      </c>
      <c r="I287" s="1626">
        <v>11.81</v>
      </c>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275</v>
      </c>
      <c r="AY287" s="39">
        <f t="shared" si="130"/>
        <v>1.32</v>
      </c>
      <c r="AZ287" s="32">
        <f t="shared" si="131"/>
        <v>11.81</v>
      </c>
      <c r="BA287" s="32">
        <f t="shared" si="132"/>
        <v>11.81</v>
      </c>
      <c r="BB287" s="32">
        <f t="shared" si="133"/>
        <v>11.81</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1051">
        <v>276</v>
      </c>
      <c r="D288" s="1625" t="s">
        <v>3388</v>
      </c>
      <c r="E288" s="32">
        <f t="shared" si="123"/>
        <v>1.32</v>
      </c>
      <c r="F288" s="33"/>
      <c r="G288" s="34">
        <f t="shared" si="124"/>
        <v>11.75</v>
      </c>
      <c r="H288" s="35">
        <f t="shared" si="125"/>
        <v>11.75</v>
      </c>
      <c r="I288" s="1626">
        <v>11.75</v>
      </c>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276</v>
      </c>
      <c r="AY288" s="39">
        <f t="shared" si="130"/>
        <v>1.32</v>
      </c>
      <c r="AZ288" s="32">
        <f t="shared" si="131"/>
        <v>11.75</v>
      </c>
      <c r="BA288" s="32">
        <f t="shared" si="132"/>
        <v>11.75</v>
      </c>
      <c r="BB288" s="32">
        <f t="shared" si="133"/>
        <v>11.75</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1051">
        <v>277</v>
      </c>
      <c r="D289" s="1625" t="s">
        <v>3388</v>
      </c>
      <c r="E289" s="32">
        <f t="shared" si="123"/>
        <v>1.34</v>
      </c>
      <c r="F289" s="33"/>
      <c r="G289" s="34">
        <f t="shared" si="124"/>
        <v>11.95</v>
      </c>
      <c r="H289" s="35">
        <f t="shared" si="125"/>
        <v>11.95</v>
      </c>
      <c r="I289" s="1626">
        <v>11.95</v>
      </c>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277</v>
      </c>
      <c r="AY289" s="39">
        <f t="shared" si="130"/>
        <v>1.34</v>
      </c>
      <c r="AZ289" s="32">
        <f t="shared" si="131"/>
        <v>11.95</v>
      </c>
      <c r="BA289" s="32">
        <f t="shared" si="132"/>
        <v>11.95</v>
      </c>
      <c r="BB289" s="32">
        <f t="shared" si="133"/>
        <v>11.95</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1051">
        <v>278</v>
      </c>
      <c r="D290" s="1625" t="s">
        <v>3388</v>
      </c>
      <c r="E290" s="32">
        <f t="shared" si="123"/>
        <v>1.33</v>
      </c>
      <c r="F290" s="33"/>
      <c r="G290" s="34">
        <f t="shared" si="124"/>
        <v>11.9</v>
      </c>
      <c r="H290" s="35">
        <f t="shared" si="125"/>
        <v>11.9</v>
      </c>
      <c r="I290" s="1626">
        <v>11.9</v>
      </c>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278</v>
      </c>
      <c r="AY290" s="39">
        <f t="shared" si="130"/>
        <v>1.33</v>
      </c>
      <c r="AZ290" s="32">
        <f t="shared" si="131"/>
        <v>11.9</v>
      </c>
      <c r="BA290" s="32">
        <f t="shared" si="132"/>
        <v>11.9</v>
      </c>
      <c r="BB290" s="32">
        <f t="shared" si="133"/>
        <v>11.9</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1051">
        <v>279</v>
      </c>
      <c r="D291" s="1625" t="s">
        <v>3388</v>
      </c>
      <c r="E291" s="32">
        <f t="shared" si="123"/>
        <v>1.33</v>
      </c>
      <c r="F291" s="33"/>
      <c r="G291" s="34">
        <f t="shared" si="124"/>
        <v>11.88</v>
      </c>
      <c r="H291" s="35">
        <f t="shared" si="125"/>
        <v>11.88</v>
      </c>
      <c r="I291" s="1626">
        <v>11.88</v>
      </c>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279</v>
      </c>
      <c r="AY291" s="39">
        <f t="shared" si="130"/>
        <v>1.33</v>
      </c>
      <c r="AZ291" s="32">
        <f t="shared" si="131"/>
        <v>11.88</v>
      </c>
      <c r="BA291" s="32">
        <f t="shared" si="132"/>
        <v>11.88</v>
      </c>
      <c r="BB291" s="32">
        <f t="shared" si="133"/>
        <v>11.88</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1051">
        <v>280</v>
      </c>
      <c r="D292" s="1625" t="s">
        <v>3388</v>
      </c>
      <c r="E292" s="32">
        <f t="shared" si="123"/>
        <v>1.28</v>
      </c>
      <c r="F292" s="33"/>
      <c r="G292" s="34">
        <f t="shared" si="124"/>
        <v>11.46</v>
      </c>
      <c r="H292" s="35">
        <f t="shared" si="125"/>
        <v>11.46</v>
      </c>
      <c r="I292" s="1626">
        <v>11.46</v>
      </c>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280</v>
      </c>
      <c r="AY292" s="39">
        <f t="shared" si="130"/>
        <v>1.28</v>
      </c>
      <c r="AZ292" s="32">
        <f t="shared" si="131"/>
        <v>11.46</v>
      </c>
      <c r="BA292" s="32">
        <f t="shared" si="132"/>
        <v>11.46</v>
      </c>
      <c r="BB292" s="32">
        <f t="shared" si="133"/>
        <v>11.46</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1051">
        <v>281</v>
      </c>
      <c r="D293" s="1625" t="s">
        <v>3388</v>
      </c>
      <c r="E293" s="32">
        <f t="shared" si="123"/>
        <v>1.1000000000000001</v>
      </c>
      <c r="F293" s="33"/>
      <c r="G293" s="34">
        <f t="shared" si="124"/>
        <v>9.77</v>
      </c>
      <c r="H293" s="35">
        <f t="shared" si="125"/>
        <v>9.77</v>
      </c>
      <c r="I293" s="1626">
        <v>9.77</v>
      </c>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281</v>
      </c>
      <c r="AY293" s="39">
        <f t="shared" si="130"/>
        <v>1.1000000000000001</v>
      </c>
      <c r="AZ293" s="32">
        <f t="shared" si="131"/>
        <v>9.77</v>
      </c>
      <c r="BA293" s="32">
        <f t="shared" si="132"/>
        <v>9.77</v>
      </c>
      <c r="BB293" s="32">
        <f t="shared" si="133"/>
        <v>9.77</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1051">
        <v>282</v>
      </c>
      <c r="D294" s="1625" t="s">
        <v>3388</v>
      </c>
      <c r="E294" s="32">
        <f t="shared" si="123"/>
        <v>1.17</v>
      </c>
      <c r="F294" s="33"/>
      <c r="G294" s="34">
        <f t="shared" si="124"/>
        <v>10.46</v>
      </c>
      <c r="H294" s="35">
        <f t="shared" si="125"/>
        <v>10.46</v>
      </c>
      <c r="I294" s="1626">
        <v>10.46</v>
      </c>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282</v>
      </c>
      <c r="AY294" s="39">
        <f t="shared" si="130"/>
        <v>1.17</v>
      </c>
      <c r="AZ294" s="32">
        <f t="shared" si="131"/>
        <v>10.46</v>
      </c>
      <c r="BA294" s="32">
        <f t="shared" si="132"/>
        <v>10.46</v>
      </c>
      <c r="BB294" s="32">
        <f t="shared" si="133"/>
        <v>10.46</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1051">
        <v>283</v>
      </c>
      <c r="D295" s="1625" t="s">
        <v>3388</v>
      </c>
      <c r="E295" s="32">
        <f t="shared" si="123"/>
        <v>1.1399999999999999</v>
      </c>
      <c r="F295" s="33"/>
      <c r="G295" s="34">
        <f t="shared" si="124"/>
        <v>10.210000000000001</v>
      </c>
      <c r="H295" s="35">
        <f t="shared" si="125"/>
        <v>10.210000000000001</v>
      </c>
      <c r="I295" s="1626">
        <v>10.210000000000001</v>
      </c>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283</v>
      </c>
      <c r="AY295" s="39">
        <f t="shared" si="130"/>
        <v>1.1399999999999999</v>
      </c>
      <c r="AZ295" s="32">
        <f t="shared" si="131"/>
        <v>10.210000000000001</v>
      </c>
      <c r="BA295" s="32">
        <f t="shared" si="132"/>
        <v>10.210000000000001</v>
      </c>
      <c r="BB295" s="32">
        <f t="shared" si="133"/>
        <v>10.210000000000001</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1051">
        <v>284</v>
      </c>
      <c r="D296" s="1625" t="s">
        <v>3388</v>
      </c>
      <c r="E296" s="32">
        <f t="shared" si="123"/>
        <v>1.1499999999999999</v>
      </c>
      <c r="F296" s="33"/>
      <c r="G296" s="34">
        <f t="shared" si="124"/>
        <v>10.3</v>
      </c>
      <c r="H296" s="35">
        <f t="shared" si="125"/>
        <v>10.3</v>
      </c>
      <c r="I296" s="1626">
        <v>10.3</v>
      </c>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284</v>
      </c>
      <c r="AY296" s="39">
        <f t="shared" si="130"/>
        <v>1.1499999999999999</v>
      </c>
      <c r="AZ296" s="32">
        <f t="shared" si="131"/>
        <v>10.3</v>
      </c>
      <c r="BA296" s="32">
        <f t="shared" si="132"/>
        <v>10.3</v>
      </c>
      <c r="BB296" s="32">
        <f t="shared" si="133"/>
        <v>10.3</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1051">
        <v>285</v>
      </c>
      <c r="D297" s="1625" t="s">
        <v>3388</v>
      </c>
      <c r="E297" s="32">
        <f t="shared" si="123"/>
        <v>1.1299999999999999</v>
      </c>
      <c r="F297" s="33"/>
      <c r="G297" s="34">
        <f t="shared" si="124"/>
        <v>10.1</v>
      </c>
      <c r="H297" s="35">
        <f t="shared" si="125"/>
        <v>10.1</v>
      </c>
      <c r="I297" s="3448">
        <v>10.1</v>
      </c>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285</v>
      </c>
      <c r="AY297" s="39">
        <f t="shared" si="130"/>
        <v>1.1299999999999999</v>
      </c>
      <c r="AZ297" s="32">
        <f t="shared" si="131"/>
        <v>10.1</v>
      </c>
      <c r="BA297" s="32">
        <f t="shared" si="132"/>
        <v>10.1</v>
      </c>
      <c r="BB297" s="32">
        <f t="shared" si="133"/>
        <v>10.1</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1051">
        <v>286</v>
      </c>
      <c r="D298" s="1625" t="s">
        <v>3388</v>
      </c>
      <c r="E298" s="32">
        <f t="shared" si="123"/>
        <v>1.1299999999999999</v>
      </c>
      <c r="F298" s="33"/>
      <c r="G298" s="34">
        <f t="shared" si="124"/>
        <v>10.1</v>
      </c>
      <c r="H298" s="35">
        <f t="shared" si="125"/>
        <v>10.1</v>
      </c>
      <c r="I298" s="3448">
        <v>10.1</v>
      </c>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286</v>
      </c>
      <c r="AY298" s="39">
        <f t="shared" si="130"/>
        <v>1.1299999999999999</v>
      </c>
      <c r="AZ298" s="32">
        <f t="shared" si="131"/>
        <v>10.1</v>
      </c>
      <c r="BA298" s="32">
        <f t="shared" si="132"/>
        <v>10.1</v>
      </c>
      <c r="BB298" s="32">
        <f t="shared" si="133"/>
        <v>10.1</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1051">
        <v>287</v>
      </c>
      <c r="D299" s="1625" t="s">
        <v>3388</v>
      </c>
      <c r="E299" s="32">
        <f t="shared" si="123"/>
        <v>1.1599999999999999</v>
      </c>
      <c r="F299" s="33"/>
      <c r="G299" s="34">
        <f t="shared" si="124"/>
        <v>10.33</v>
      </c>
      <c r="H299" s="35">
        <f t="shared" si="125"/>
        <v>10.33</v>
      </c>
      <c r="I299" s="3448">
        <v>10.33</v>
      </c>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287</v>
      </c>
      <c r="AY299" s="39">
        <f t="shared" si="130"/>
        <v>1.1599999999999999</v>
      </c>
      <c r="AZ299" s="32">
        <f t="shared" si="131"/>
        <v>10.33</v>
      </c>
      <c r="BA299" s="32">
        <f t="shared" si="132"/>
        <v>10.33</v>
      </c>
      <c r="BB299" s="32">
        <f t="shared" si="133"/>
        <v>10.33</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1051">
        <v>288</v>
      </c>
      <c r="D300" s="1625" t="s">
        <v>3388</v>
      </c>
      <c r="E300" s="32">
        <f t="shared" si="123"/>
        <v>1.1299999999999999</v>
      </c>
      <c r="F300" s="41"/>
      <c r="G300" s="34">
        <f t="shared" ref="G300:G331" si="152">H300+AC300+AT300</f>
        <v>10.1</v>
      </c>
      <c r="H300" s="35">
        <f t="shared" ref="H300:H331" si="153">SUMIF(I$12:AB$12,"总值",I300:AB300)</f>
        <v>10.1</v>
      </c>
      <c r="I300" s="3448">
        <v>10.1</v>
      </c>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288</v>
      </c>
      <c r="AY300" s="39">
        <f t="shared" ref="AY300:AY331" si="155">ROUND($AY$6*AZ300/$AZ$5,2)</f>
        <v>1.1299999999999999</v>
      </c>
      <c r="AZ300" s="32">
        <f t="shared" ref="AZ300:AZ331" si="156">BA300+BL300</f>
        <v>10.1</v>
      </c>
      <c r="BA300" s="32">
        <f t="shared" ref="BA300:BA331" si="157">SUM(BB300:BK300)</f>
        <v>10.1</v>
      </c>
      <c r="BB300" s="32">
        <f t="shared" ref="BB300:BB331" si="158">IF($D300="是",I300-J300,0)</f>
        <v>10.1</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1051">
        <v>289</v>
      </c>
      <c r="D301" s="1625" t="s">
        <v>3388</v>
      </c>
      <c r="E301" s="32">
        <f t="shared" si="123"/>
        <v>1.1399999999999999</v>
      </c>
      <c r="F301" s="41"/>
      <c r="G301" s="34">
        <f t="shared" si="152"/>
        <v>10.17</v>
      </c>
      <c r="H301" s="35">
        <f t="shared" si="153"/>
        <v>10.17</v>
      </c>
      <c r="I301" s="3448">
        <v>10.17</v>
      </c>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289</v>
      </c>
      <c r="AY301" s="39">
        <f t="shared" si="155"/>
        <v>1.1399999999999999</v>
      </c>
      <c r="AZ301" s="32">
        <f t="shared" si="156"/>
        <v>10.17</v>
      </c>
      <c r="BA301" s="32">
        <f t="shared" si="157"/>
        <v>10.17</v>
      </c>
      <c r="BB301" s="32">
        <f t="shared" si="158"/>
        <v>10.17</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1051">
        <v>290</v>
      </c>
      <c r="D302" s="1625" t="s">
        <v>3388</v>
      </c>
      <c r="E302" s="32">
        <f t="shared" si="123"/>
        <v>1.1499999999999999</v>
      </c>
      <c r="F302" s="41"/>
      <c r="G302" s="34">
        <f t="shared" si="152"/>
        <v>10.28</v>
      </c>
      <c r="H302" s="35">
        <f t="shared" si="153"/>
        <v>10.28</v>
      </c>
      <c r="I302" s="3448">
        <v>10.28</v>
      </c>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290</v>
      </c>
      <c r="AY302" s="39">
        <f t="shared" si="155"/>
        <v>1.1499999999999999</v>
      </c>
      <c r="AZ302" s="32">
        <f t="shared" si="156"/>
        <v>10.28</v>
      </c>
      <c r="BA302" s="32">
        <f t="shared" si="157"/>
        <v>10.28</v>
      </c>
      <c r="BB302" s="32">
        <f t="shared" si="158"/>
        <v>10.28</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1051">
        <v>291</v>
      </c>
      <c r="D303" s="1625" t="s">
        <v>3388</v>
      </c>
      <c r="E303" s="32">
        <f t="shared" ref="E303:E334" si="177">IF($C$3="是",ROUND($A$3*G303/$B$3,2),ROUND($A$3*(G303-AT303)/$B$3,2))</f>
        <v>1.1499999999999999</v>
      </c>
      <c r="F303" s="33"/>
      <c r="G303" s="34">
        <f t="shared" si="152"/>
        <v>10.28</v>
      </c>
      <c r="H303" s="35">
        <f t="shared" si="153"/>
        <v>10.28</v>
      </c>
      <c r="I303" s="3448">
        <v>10.28</v>
      </c>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291</v>
      </c>
      <c r="AY303" s="39">
        <f t="shared" si="155"/>
        <v>1.1499999999999999</v>
      </c>
      <c r="AZ303" s="32">
        <f t="shared" si="156"/>
        <v>10.28</v>
      </c>
      <c r="BA303" s="32">
        <f t="shared" si="157"/>
        <v>10.28</v>
      </c>
      <c r="BB303" s="32">
        <f t="shared" si="158"/>
        <v>10.28</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1051">
        <v>292</v>
      </c>
      <c r="D304" s="1625" t="s">
        <v>3388</v>
      </c>
      <c r="E304" s="32">
        <f t="shared" si="177"/>
        <v>1.1399999999999999</v>
      </c>
      <c r="F304" s="33"/>
      <c r="G304" s="34">
        <f t="shared" si="152"/>
        <v>10.15</v>
      </c>
      <c r="H304" s="35">
        <f t="shared" si="153"/>
        <v>10.15</v>
      </c>
      <c r="I304" s="3448">
        <v>10.15</v>
      </c>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292</v>
      </c>
      <c r="AY304" s="39">
        <f t="shared" si="155"/>
        <v>1.1399999999999999</v>
      </c>
      <c r="AZ304" s="32">
        <f t="shared" si="156"/>
        <v>10.15</v>
      </c>
      <c r="BA304" s="32">
        <f t="shared" si="157"/>
        <v>10.15</v>
      </c>
      <c r="BB304" s="32">
        <f t="shared" si="158"/>
        <v>10.15</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1051">
        <v>293</v>
      </c>
      <c r="D305" s="1625" t="s">
        <v>3388</v>
      </c>
      <c r="E305" s="32">
        <f t="shared" si="177"/>
        <v>1.31</v>
      </c>
      <c r="F305" s="33"/>
      <c r="G305" s="34">
        <f t="shared" si="152"/>
        <v>11.66</v>
      </c>
      <c r="H305" s="35">
        <f t="shared" si="153"/>
        <v>11.66</v>
      </c>
      <c r="I305" s="3448">
        <v>11.66</v>
      </c>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293</v>
      </c>
      <c r="AY305" s="39">
        <f t="shared" si="155"/>
        <v>1.31</v>
      </c>
      <c r="AZ305" s="32">
        <f t="shared" si="156"/>
        <v>11.66</v>
      </c>
      <c r="BA305" s="32">
        <f t="shared" si="157"/>
        <v>11.66</v>
      </c>
      <c r="BB305" s="32">
        <f t="shared" si="158"/>
        <v>11.66</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1051">
        <v>294</v>
      </c>
      <c r="D306" s="1625" t="s">
        <v>3388</v>
      </c>
      <c r="E306" s="32">
        <f t="shared" si="177"/>
        <v>1.27</v>
      </c>
      <c r="F306" s="33"/>
      <c r="G306" s="34">
        <f t="shared" si="152"/>
        <v>11.37</v>
      </c>
      <c r="H306" s="35">
        <f t="shared" si="153"/>
        <v>11.37</v>
      </c>
      <c r="I306" s="3448">
        <v>11.37</v>
      </c>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294</v>
      </c>
      <c r="AY306" s="39">
        <f t="shared" si="155"/>
        <v>1.27</v>
      </c>
      <c r="AZ306" s="32">
        <f t="shared" si="156"/>
        <v>11.37</v>
      </c>
      <c r="BA306" s="32">
        <f t="shared" si="157"/>
        <v>11.37</v>
      </c>
      <c r="BB306" s="32">
        <f t="shared" si="158"/>
        <v>11.37</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1051">
        <v>295</v>
      </c>
      <c r="D307" s="1625" t="s">
        <v>3388</v>
      </c>
      <c r="E307" s="32">
        <f t="shared" si="177"/>
        <v>1.27</v>
      </c>
      <c r="F307" s="33"/>
      <c r="G307" s="34">
        <f t="shared" si="152"/>
        <v>11.37</v>
      </c>
      <c r="H307" s="35">
        <f t="shared" si="153"/>
        <v>11.37</v>
      </c>
      <c r="I307" s="3448">
        <v>11.37</v>
      </c>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295</v>
      </c>
      <c r="AY307" s="39">
        <f t="shared" si="155"/>
        <v>1.27</v>
      </c>
      <c r="AZ307" s="32">
        <f t="shared" si="156"/>
        <v>11.37</v>
      </c>
      <c r="BA307" s="32">
        <f t="shared" si="157"/>
        <v>11.37</v>
      </c>
      <c r="BB307" s="32">
        <f t="shared" si="158"/>
        <v>11.37</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1051">
        <v>296</v>
      </c>
      <c r="D308" s="1625" t="s">
        <v>3388</v>
      </c>
      <c r="E308" s="32">
        <f t="shared" si="177"/>
        <v>1.26</v>
      </c>
      <c r="F308" s="33"/>
      <c r="G308" s="34">
        <f t="shared" si="152"/>
        <v>11.21</v>
      </c>
      <c r="H308" s="35">
        <f t="shared" si="153"/>
        <v>11.21</v>
      </c>
      <c r="I308" s="3448">
        <v>11.21</v>
      </c>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296</v>
      </c>
      <c r="AY308" s="39">
        <f t="shared" si="155"/>
        <v>1.26</v>
      </c>
      <c r="AZ308" s="32">
        <f t="shared" si="156"/>
        <v>11.21</v>
      </c>
      <c r="BA308" s="32">
        <f t="shared" si="157"/>
        <v>11.21</v>
      </c>
      <c r="BB308" s="32">
        <f t="shared" si="158"/>
        <v>11.21</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1051">
        <v>297</v>
      </c>
      <c r="D309" s="1625" t="s">
        <v>3388</v>
      </c>
      <c r="E309" s="32">
        <f t="shared" si="177"/>
        <v>1.26</v>
      </c>
      <c r="F309" s="33"/>
      <c r="G309" s="34">
        <f t="shared" si="152"/>
        <v>11.21</v>
      </c>
      <c r="H309" s="35">
        <f t="shared" si="153"/>
        <v>11.21</v>
      </c>
      <c r="I309" s="3448">
        <v>11.21</v>
      </c>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297</v>
      </c>
      <c r="AY309" s="39">
        <f t="shared" si="155"/>
        <v>1.26</v>
      </c>
      <c r="AZ309" s="32">
        <f t="shared" si="156"/>
        <v>11.21</v>
      </c>
      <c r="BA309" s="32">
        <f t="shared" si="157"/>
        <v>11.21</v>
      </c>
      <c r="BB309" s="32">
        <f t="shared" si="158"/>
        <v>11.21</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1051">
        <v>298</v>
      </c>
      <c r="D310" s="1625" t="s">
        <v>3388</v>
      </c>
      <c r="E310" s="32">
        <f t="shared" si="177"/>
        <v>1.28</v>
      </c>
      <c r="F310" s="33"/>
      <c r="G310" s="34">
        <f t="shared" si="152"/>
        <v>11.41</v>
      </c>
      <c r="H310" s="35">
        <f t="shared" si="153"/>
        <v>11.41</v>
      </c>
      <c r="I310" s="3448">
        <v>11.41</v>
      </c>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298</v>
      </c>
      <c r="AY310" s="39">
        <f t="shared" si="155"/>
        <v>1.28</v>
      </c>
      <c r="AZ310" s="32">
        <f t="shared" si="156"/>
        <v>11.41</v>
      </c>
      <c r="BA310" s="32">
        <f t="shared" si="157"/>
        <v>11.41</v>
      </c>
      <c r="BB310" s="32">
        <f t="shared" si="158"/>
        <v>11.41</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1051">
        <v>299</v>
      </c>
      <c r="D311" s="1625" t="s">
        <v>3388</v>
      </c>
      <c r="E311" s="32">
        <f t="shared" si="177"/>
        <v>1.25</v>
      </c>
      <c r="F311" s="33"/>
      <c r="G311" s="34">
        <f t="shared" si="152"/>
        <v>11.17</v>
      </c>
      <c r="H311" s="35">
        <f t="shared" si="153"/>
        <v>11.17</v>
      </c>
      <c r="I311" s="3448">
        <v>11.17</v>
      </c>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299</v>
      </c>
      <c r="AY311" s="39">
        <f t="shared" si="155"/>
        <v>1.25</v>
      </c>
      <c r="AZ311" s="32">
        <f t="shared" si="156"/>
        <v>11.17</v>
      </c>
      <c r="BA311" s="32">
        <f t="shared" si="157"/>
        <v>11.17</v>
      </c>
      <c r="BB311" s="32">
        <f t="shared" si="158"/>
        <v>11.17</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1051">
        <v>300</v>
      </c>
      <c r="D312" s="1625" t="s">
        <v>3388</v>
      </c>
      <c r="E312" s="32">
        <f t="shared" si="177"/>
        <v>1.25</v>
      </c>
      <c r="F312" s="33"/>
      <c r="G312" s="34">
        <f t="shared" si="152"/>
        <v>11.17</v>
      </c>
      <c r="H312" s="35">
        <f t="shared" si="153"/>
        <v>11.17</v>
      </c>
      <c r="I312" s="3448">
        <v>11.17</v>
      </c>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300</v>
      </c>
      <c r="AY312" s="39">
        <f t="shared" si="155"/>
        <v>1.25</v>
      </c>
      <c r="AZ312" s="32">
        <f t="shared" si="156"/>
        <v>11.17</v>
      </c>
      <c r="BA312" s="32">
        <f t="shared" si="157"/>
        <v>11.17</v>
      </c>
      <c r="BB312" s="32">
        <f t="shared" si="158"/>
        <v>11.17</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1051">
        <v>301</v>
      </c>
      <c r="D313" s="1625" t="s">
        <v>3388</v>
      </c>
      <c r="E313" s="32">
        <f t="shared" si="177"/>
        <v>1.28</v>
      </c>
      <c r="F313" s="33"/>
      <c r="G313" s="34">
        <f t="shared" si="152"/>
        <v>11.39</v>
      </c>
      <c r="H313" s="35">
        <f t="shared" si="153"/>
        <v>11.39</v>
      </c>
      <c r="I313" s="3448">
        <v>11.39</v>
      </c>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301</v>
      </c>
      <c r="AY313" s="39">
        <f t="shared" si="155"/>
        <v>1.28</v>
      </c>
      <c r="AZ313" s="32">
        <f t="shared" si="156"/>
        <v>11.39</v>
      </c>
      <c r="BA313" s="32">
        <f t="shared" si="157"/>
        <v>11.39</v>
      </c>
      <c r="BB313" s="32">
        <f t="shared" si="158"/>
        <v>11.39</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1051">
        <v>302</v>
      </c>
      <c r="D314" s="1625" t="s">
        <v>3388</v>
      </c>
      <c r="E314" s="32">
        <f t="shared" si="177"/>
        <v>1.27</v>
      </c>
      <c r="F314" s="33"/>
      <c r="G314" s="34">
        <f t="shared" si="152"/>
        <v>11.3</v>
      </c>
      <c r="H314" s="35">
        <f t="shared" si="153"/>
        <v>11.3</v>
      </c>
      <c r="I314" s="3448">
        <v>11.3</v>
      </c>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302</v>
      </c>
      <c r="AY314" s="39">
        <f t="shared" si="155"/>
        <v>1.27</v>
      </c>
      <c r="AZ314" s="32">
        <f t="shared" si="156"/>
        <v>11.3</v>
      </c>
      <c r="BA314" s="32">
        <f t="shared" si="157"/>
        <v>11.3</v>
      </c>
      <c r="BB314" s="32">
        <f t="shared" si="158"/>
        <v>11.3</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1051">
        <v>303</v>
      </c>
      <c r="D315" s="1625" t="s">
        <v>3388</v>
      </c>
      <c r="E315" s="32">
        <f t="shared" si="177"/>
        <v>1.3</v>
      </c>
      <c r="F315" s="33"/>
      <c r="G315" s="34">
        <f t="shared" si="152"/>
        <v>11.59</v>
      </c>
      <c r="H315" s="35">
        <f t="shared" si="153"/>
        <v>11.59</v>
      </c>
      <c r="I315" s="3448">
        <v>11.59</v>
      </c>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303</v>
      </c>
      <c r="AY315" s="39">
        <f t="shared" si="155"/>
        <v>1.3</v>
      </c>
      <c r="AZ315" s="32">
        <f t="shared" si="156"/>
        <v>11.59</v>
      </c>
      <c r="BA315" s="32">
        <f t="shared" si="157"/>
        <v>11.59</v>
      </c>
      <c r="BB315" s="32">
        <f t="shared" si="158"/>
        <v>11.59</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1051">
        <v>304</v>
      </c>
      <c r="D316" s="1625" t="s">
        <v>3388</v>
      </c>
      <c r="E316" s="32">
        <f t="shared" si="177"/>
        <v>1.28</v>
      </c>
      <c r="F316" s="33"/>
      <c r="G316" s="34">
        <f t="shared" si="152"/>
        <v>11.46</v>
      </c>
      <c r="H316" s="35">
        <f t="shared" si="153"/>
        <v>11.46</v>
      </c>
      <c r="I316" s="3448">
        <v>11.46</v>
      </c>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304</v>
      </c>
      <c r="AY316" s="39">
        <f t="shared" si="155"/>
        <v>1.28</v>
      </c>
      <c r="AZ316" s="32">
        <f t="shared" si="156"/>
        <v>11.46</v>
      </c>
      <c r="BA316" s="32">
        <f t="shared" si="157"/>
        <v>11.46</v>
      </c>
      <c r="BB316" s="32">
        <f t="shared" si="158"/>
        <v>11.46</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1051">
        <v>305</v>
      </c>
      <c r="D317" s="1625" t="s">
        <v>3388</v>
      </c>
      <c r="E317" s="32">
        <f t="shared" si="177"/>
        <v>1.18</v>
      </c>
      <c r="F317" s="33"/>
      <c r="G317" s="34">
        <f t="shared" si="152"/>
        <v>10.5</v>
      </c>
      <c r="H317" s="35">
        <f t="shared" si="153"/>
        <v>10.5</v>
      </c>
      <c r="I317" s="3448">
        <v>10.5</v>
      </c>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305</v>
      </c>
      <c r="AY317" s="39">
        <f t="shared" si="155"/>
        <v>1.18</v>
      </c>
      <c r="AZ317" s="32">
        <f t="shared" si="156"/>
        <v>10.5</v>
      </c>
      <c r="BA317" s="32">
        <f t="shared" si="157"/>
        <v>10.5</v>
      </c>
      <c r="BB317" s="32">
        <f t="shared" si="158"/>
        <v>10.5</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1051">
        <v>306</v>
      </c>
      <c r="D318" s="1625" t="s">
        <v>3388</v>
      </c>
      <c r="E318" s="32">
        <f t="shared" si="177"/>
        <v>1.19</v>
      </c>
      <c r="F318" s="33"/>
      <c r="G318" s="34">
        <f t="shared" si="152"/>
        <v>10.59</v>
      </c>
      <c r="H318" s="35">
        <f t="shared" si="153"/>
        <v>10.59</v>
      </c>
      <c r="I318" s="3448">
        <v>10.59</v>
      </c>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306</v>
      </c>
      <c r="AY318" s="39">
        <f t="shared" si="155"/>
        <v>1.19</v>
      </c>
      <c r="AZ318" s="32">
        <f t="shared" si="156"/>
        <v>10.59</v>
      </c>
      <c r="BA318" s="32">
        <f t="shared" si="157"/>
        <v>10.59</v>
      </c>
      <c r="BB318" s="32">
        <f t="shared" si="158"/>
        <v>10.59</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1051">
        <v>307</v>
      </c>
      <c r="D319" s="1625" t="s">
        <v>3388</v>
      </c>
      <c r="E319" s="32">
        <f t="shared" si="177"/>
        <v>1.19</v>
      </c>
      <c r="F319" s="33"/>
      <c r="G319" s="34">
        <f t="shared" si="152"/>
        <v>10.61</v>
      </c>
      <c r="H319" s="35">
        <f t="shared" si="153"/>
        <v>10.61</v>
      </c>
      <c r="I319" s="3448">
        <v>10.61</v>
      </c>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307</v>
      </c>
      <c r="AY319" s="39">
        <f t="shared" si="155"/>
        <v>1.19</v>
      </c>
      <c r="AZ319" s="32">
        <f t="shared" si="156"/>
        <v>10.61</v>
      </c>
      <c r="BA319" s="32">
        <f t="shared" si="157"/>
        <v>10.61</v>
      </c>
      <c r="BB319" s="32">
        <f t="shared" si="158"/>
        <v>10.61</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1051">
        <v>308</v>
      </c>
      <c r="D320" s="1625" t="s">
        <v>3388</v>
      </c>
      <c r="E320" s="32">
        <f t="shared" si="177"/>
        <v>1.17</v>
      </c>
      <c r="F320" s="33"/>
      <c r="G320" s="34">
        <f t="shared" si="152"/>
        <v>10.44</v>
      </c>
      <c r="H320" s="35">
        <f t="shared" si="153"/>
        <v>10.44</v>
      </c>
      <c r="I320" s="3448">
        <v>10.44</v>
      </c>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308</v>
      </c>
      <c r="AY320" s="39">
        <f t="shared" si="155"/>
        <v>1.17</v>
      </c>
      <c r="AZ320" s="32">
        <f t="shared" si="156"/>
        <v>10.44</v>
      </c>
      <c r="BA320" s="32">
        <f t="shared" si="157"/>
        <v>10.44</v>
      </c>
      <c r="BB320" s="32">
        <f t="shared" si="158"/>
        <v>10.44</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1051">
        <v>309</v>
      </c>
      <c r="D321" s="1625" t="s">
        <v>3388</v>
      </c>
      <c r="E321" s="32">
        <f t="shared" si="177"/>
        <v>1.17</v>
      </c>
      <c r="F321" s="33"/>
      <c r="G321" s="34">
        <f t="shared" si="152"/>
        <v>10.41</v>
      </c>
      <c r="H321" s="35">
        <f t="shared" si="153"/>
        <v>10.41</v>
      </c>
      <c r="I321" s="3448">
        <v>10.41</v>
      </c>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309</v>
      </c>
      <c r="AY321" s="39">
        <f t="shared" si="155"/>
        <v>1.17</v>
      </c>
      <c r="AZ321" s="32">
        <f t="shared" si="156"/>
        <v>10.41</v>
      </c>
      <c r="BA321" s="32">
        <f t="shared" si="157"/>
        <v>10.41</v>
      </c>
      <c r="BB321" s="32">
        <f t="shared" si="158"/>
        <v>10.41</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1051">
        <v>310</v>
      </c>
      <c r="D322" s="1625" t="s">
        <v>3388</v>
      </c>
      <c r="E322" s="32">
        <f t="shared" si="177"/>
        <v>1.2</v>
      </c>
      <c r="F322" s="33"/>
      <c r="G322" s="34">
        <f t="shared" si="152"/>
        <v>10.66</v>
      </c>
      <c r="H322" s="35">
        <f t="shared" si="153"/>
        <v>10.66</v>
      </c>
      <c r="I322" s="1626">
        <v>10.66</v>
      </c>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310</v>
      </c>
      <c r="AY322" s="39">
        <f t="shared" si="155"/>
        <v>1.2</v>
      </c>
      <c r="AZ322" s="32">
        <f t="shared" si="156"/>
        <v>10.66</v>
      </c>
      <c r="BA322" s="32">
        <f t="shared" si="157"/>
        <v>10.66</v>
      </c>
      <c r="BB322" s="32">
        <f t="shared" si="158"/>
        <v>10.66</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1051">
        <v>311</v>
      </c>
      <c r="D323" s="1625" t="s">
        <v>3388</v>
      </c>
      <c r="E323" s="32">
        <f t="shared" si="177"/>
        <v>1.1599999999999999</v>
      </c>
      <c r="F323" s="33"/>
      <c r="G323" s="34">
        <f t="shared" si="152"/>
        <v>10.39</v>
      </c>
      <c r="H323" s="35">
        <f t="shared" si="153"/>
        <v>10.39</v>
      </c>
      <c r="I323" s="1626">
        <v>10.39</v>
      </c>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311</v>
      </c>
      <c r="AY323" s="39">
        <f t="shared" si="155"/>
        <v>1.1599999999999999</v>
      </c>
      <c r="AZ323" s="32">
        <f t="shared" si="156"/>
        <v>10.39</v>
      </c>
      <c r="BA323" s="32">
        <f t="shared" si="157"/>
        <v>10.39</v>
      </c>
      <c r="BB323" s="32">
        <f t="shared" si="158"/>
        <v>10.39</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1051">
        <v>312</v>
      </c>
      <c r="D324" s="1625" t="s">
        <v>3388</v>
      </c>
      <c r="E324" s="32">
        <f t="shared" si="177"/>
        <v>1.17</v>
      </c>
      <c r="F324" s="33"/>
      <c r="G324" s="34">
        <f t="shared" si="152"/>
        <v>10.48</v>
      </c>
      <c r="H324" s="35">
        <f t="shared" si="153"/>
        <v>10.48</v>
      </c>
      <c r="I324" s="1626">
        <v>10.48</v>
      </c>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312</v>
      </c>
      <c r="AY324" s="39">
        <f t="shared" si="155"/>
        <v>1.17</v>
      </c>
      <c r="AZ324" s="32">
        <f t="shared" si="156"/>
        <v>10.48</v>
      </c>
      <c r="BA324" s="32">
        <f t="shared" si="157"/>
        <v>10.48</v>
      </c>
      <c r="BB324" s="32">
        <f t="shared" si="158"/>
        <v>10.48</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1051">
        <v>313</v>
      </c>
      <c r="D325" s="1625" t="s">
        <v>3388</v>
      </c>
      <c r="E325" s="32">
        <f t="shared" si="177"/>
        <v>1.1599999999999999</v>
      </c>
      <c r="F325" s="33"/>
      <c r="G325" s="34">
        <f t="shared" si="152"/>
        <v>10.39</v>
      </c>
      <c r="H325" s="35">
        <f t="shared" si="153"/>
        <v>10.39</v>
      </c>
      <c r="I325" s="1626">
        <v>10.39</v>
      </c>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313</v>
      </c>
      <c r="AY325" s="39">
        <f t="shared" si="155"/>
        <v>1.1599999999999999</v>
      </c>
      <c r="AZ325" s="32">
        <f t="shared" si="156"/>
        <v>10.39</v>
      </c>
      <c r="BA325" s="32">
        <f t="shared" si="157"/>
        <v>10.39</v>
      </c>
      <c r="BB325" s="32">
        <f t="shared" si="158"/>
        <v>10.39</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1051">
        <v>314</v>
      </c>
      <c r="D326" s="1625" t="s">
        <v>3388</v>
      </c>
      <c r="E326" s="32">
        <f t="shared" si="177"/>
        <v>1.19</v>
      </c>
      <c r="F326" s="33"/>
      <c r="G326" s="34">
        <f t="shared" si="152"/>
        <v>10.64</v>
      </c>
      <c r="H326" s="35">
        <f t="shared" si="153"/>
        <v>10.64</v>
      </c>
      <c r="I326" s="1626">
        <v>10.64</v>
      </c>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314</v>
      </c>
      <c r="AY326" s="39">
        <f t="shared" si="155"/>
        <v>1.19</v>
      </c>
      <c r="AZ326" s="32">
        <f t="shared" si="156"/>
        <v>10.64</v>
      </c>
      <c r="BA326" s="32">
        <f t="shared" si="157"/>
        <v>10.64</v>
      </c>
      <c r="BB326" s="32">
        <f t="shared" si="158"/>
        <v>10.64</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1051">
        <v>315</v>
      </c>
      <c r="D327" s="1625" t="s">
        <v>3388</v>
      </c>
      <c r="E327" s="32">
        <f t="shared" si="177"/>
        <v>1.17</v>
      </c>
      <c r="F327" s="33"/>
      <c r="G327" s="34">
        <f t="shared" si="152"/>
        <v>10.44</v>
      </c>
      <c r="H327" s="35">
        <f t="shared" si="153"/>
        <v>10.44</v>
      </c>
      <c r="I327" s="1626">
        <v>10.44</v>
      </c>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315</v>
      </c>
      <c r="AY327" s="39">
        <f t="shared" si="155"/>
        <v>1.17</v>
      </c>
      <c r="AZ327" s="32">
        <f t="shared" si="156"/>
        <v>10.44</v>
      </c>
      <c r="BA327" s="32">
        <f t="shared" si="157"/>
        <v>10.44</v>
      </c>
      <c r="BB327" s="32">
        <f t="shared" si="158"/>
        <v>10.44</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1051">
        <v>316</v>
      </c>
      <c r="D328" s="1625" t="s">
        <v>3388</v>
      </c>
      <c r="E328" s="32">
        <f t="shared" si="177"/>
        <v>1.17</v>
      </c>
      <c r="F328" s="33"/>
      <c r="G328" s="34">
        <f t="shared" si="152"/>
        <v>10.46</v>
      </c>
      <c r="H328" s="35">
        <f t="shared" si="153"/>
        <v>10.46</v>
      </c>
      <c r="I328" s="1626">
        <v>10.46</v>
      </c>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316</v>
      </c>
      <c r="AY328" s="39">
        <f t="shared" si="155"/>
        <v>1.17</v>
      </c>
      <c r="AZ328" s="32">
        <f t="shared" si="156"/>
        <v>10.46</v>
      </c>
      <c r="BA328" s="32">
        <f t="shared" si="157"/>
        <v>10.46</v>
      </c>
      <c r="BB328" s="32">
        <f t="shared" si="158"/>
        <v>10.46</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1051">
        <v>317</v>
      </c>
      <c r="D329" s="1625" t="s">
        <v>3388</v>
      </c>
      <c r="E329" s="32">
        <f t="shared" si="177"/>
        <v>1.19</v>
      </c>
      <c r="F329" s="33"/>
      <c r="G329" s="34">
        <f t="shared" si="152"/>
        <v>10.64</v>
      </c>
      <c r="H329" s="35">
        <f t="shared" si="153"/>
        <v>10.64</v>
      </c>
      <c r="I329" s="1626">
        <v>10.64</v>
      </c>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317</v>
      </c>
      <c r="AY329" s="39">
        <f t="shared" si="155"/>
        <v>1.19</v>
      </c>
      <c r="AZ329" s="32">
        <f t="shared" si="156"/>
        <v>10.64</v>
      </c>
      <c r="BA329" s="32">
        <f t="shared" si="157"/>
        <v>10.64</v>
      </c>
      <c r="BB329" s="32">
        <f t="shared" si="158"/>
        <v>10.64</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1051">
        <v>318</v>
      </c>
      <c r="D330" s="1625" t="s">
        <v>3388</v>
      </c>
      <c r="E330" s="32">
        <f t="shared" si="177"/>
        <v>1.17</v>
      </c>
      <c r="F330" s="33"/>
      <c r="G330" s="34">
        <f t="shared" si="152"/>
        <v>10.46</v>
      </c>
      <c r="H330" s="35">
        <f t="shared" si="153"/>
        <v>10.46</v>
      </c>
      <c r="I330" s="1626">
        <v>10.46</v>
      </c>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318</v>
      </c>
      <c r="AY330" s="39">
        <f t="shared" si="155"/>
        <v>1.17</v>
      </c>
      <c r="AZ330" s="32">
        <f t="shared" si="156"/>
        <v>10.46</v>
      </c>
      <c r="BA330" s="32">
        <f t="shared" si="157"/>
        <v>10.46</v>
      </c>
      <c r="BB330" s="32">
        <f t="shared" si="158"/>
        <v>10.46</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1051">
        <v>319</v>
      </c>
      <c r="D331" s="1625" t="s">
        <v>3388</v>
      </c>
      <c r="E331" s="32">
        <f t="shared" si="177"/>
        <v>1.23</v>
      </c>
      <c r="F331" s="33"/>
      <c r="G331" s="34">
        <f t="shared" si="152"/>
        <v>10.93</v>
      </c>
      <c r="H331" s="35">
        <f t="shared" si="153"/>
        <v>10.93</v>
      </c>
      <c r="I331" s="1626">
        <v>10.93</v>
      </c>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319</v>
      </c>
      <c r="AY331" s="39">
        <f t="shared" si="155"/>
        <v>1.23</v>
      </c>
      <c r="AZ331" s="32">
        <f t="shared" si="156"/>
        <v>10.93</v>
      </c>
      <c r="BA331" s="32">
        <f t="shared" si="157"/>
        <v>10.93</v>
      </c>
      <c r="BB331" s="32">
        <f t="shared" si="158"/>
        <v>10.93</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1051">
        <v>320</v>
      </c>
      <c r="D332" s="1625" t="s">
        <v>3388</v>
      </c>
      <c r="E332" s="32">
        <f t="shared" si="177"/>
        <v>1.24</v>
      </c>
      <c r="F332" s="33"/>
      <c r="G332" s="34">
        <f t="shared" ref="G332:G363" si="181">H332+AC332+AT332</f>
        <v>11.08</v>
      </c>
      <c r="H332" s="35">
        <f t="shared" ref="H332:H363" si="182">SUMIF(I$12:AB$12,"总值",I332:AB332)</f>
        <v>11.08</v>
      </c>
      <c r="I332" s="1626">
        <v>11.08</v>
      </c>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320</v>
      </c>
      <c r="AY332" s="39">
        <f t="shared" ref="AY332:AY363" si="184">ROUND($AY$6*AZ332/$AZ$5,2)</f>
        <v>1.24</v>
      </c>
      <c r="AZ332" s="32">
        <f t="shared" ref="AZ332:AZ363" si="185">BA332+BL332</f>
        <v>11.08</v>
      </c>
      <c r="BA332" s="32">
        <f t="shared" ref="BA332:BA363" si="186">SUM(BB332:BK332)</f>
        <v>11.08</v>
      </c>
      <c r="BB332" s="32">
        <f t="shared" ref="BB332:BB363" si="187">IF($D332="是",I332-J332,0)</f>
        <v>11.08</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1051">
        <v>321</v>
      </c>
      <c r="D333" s="1625" t="s">
        <v>3388</v>
      </c>
      <c r="E333" s="32">
        <f t="shared" si="177"/>
        <v>1.24</v>
      </c>
      <c r="F333" s="33"/>
      <c r="G333" s="34">
        <f t="shared" si="181"/>
        <v>11.1</v>
      </c>
      <c r="H333" s="35">
        <f t="shared" si="182"/>
        <v>11.1</v>
      </c>
      <c r="I333" s="1626">
        <v>11.1</v>
      </c>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321</v>
      </c>
      <c r="AY333" s="39">
        <f t="shared" si="184"/>
        <v>1.24</v>
      </c>
      <c r="AZ333" s="32">
        <f t="shared" si="185"/>
        <v>11.1</v>
      </c>
      <c r="BA333" s="32">
        <f t="shared" si="186"/>
        <v>11.1</v>
      </c>
      <c r="BB333" s="32">
        <f t="shared" si="187"/>
        <v>11.1</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1051">
        <v>322</v>
      </c>
      <c r="D334" s="1625" t="s">
        <v>3388</v>
      </c>
      <c r="E334" s="32">
        <f t="shared" si="177"/>
        <v>1.22</v>
      </c>
      <c r="F334" s="33"/>
      <c r="G334" s="34">
        <f t="shared" si="181"/>
        <v>10.86</v>
      </c>
      <c r="H334" s="35">
        <f t="shared" si="182"/>
        <v>10.86</v>
      </c>
      <c r="I334" s="1626">
        <v>10.86</v>
      </c>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322</v>
      </c>
      <c r="AY334" s="39">
        <f t="shared" si="184"/>
        <v>1.22</v>
      </c>
      <c r="AZ334" s="32">
        <f t="shared" si="185"/>
        <v>10.86</v>
      </c>
      <c r="BA334" s="32">
        <f t="shared" si="186"/>
        <v>10.86</v>
      </c>
      <c r="BB334" s="32">
        <f t="shared" si="187"/>
        <v>10.86</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1051">
        <v>323</v>
      </c>
      <c r="D335" s="1625" t="s">
        <v>3388</v>
      </c>
      <c r="E335" s="32">
        <f t="shared" ref="E335:E366" si="206">IF($C$3="是",ROUND($A$3*G335/$B$3,2),ROUND($A$3*(G335-AT335)/$B$3,2))</f>
        <v>1</v>
      </c>
      <c r="F335" s="33"/>
      <c r="G335" s="34">
        <f t="shared" si="181"/>
        <v>8.9</v>
      </c>
      <c r="H335" s="35">
        <f t="shared" si="182"/>
        <v>8.9</v>
      </c>
      <c r="I335" s="1626">
        <v>8.9</v>
      </c>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323</v>
      </c>
      <c r="AY335" s="39">
        <f t="shared" si="184"/>
        <v>1</v>
      </c>
      <c r="AZ335" s="32">
        <f t="shared" si="185"/>
        <v>8.9</v>
      </c>
      <c r="BA335" s="32">
        <f t="shared" si="186"/>
        <v>8.9</v>
      </c>
      <c r="BB335" s="32">
        <f t="shared" si="187"/>
        <v>8.9</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1051">
        <v>324</v>
      </c>
      <c r="D336" s="1625" t="s">
        <v>3388</v>
      </c>
      <c r="E336" s="32">
        <f t="shared" si="206"/>
        <v>1.22</v>
      </c>
      <c r="F336" s="33"/>
      <c r="G336" s="34">
        <f t="shared" si="181"/>
        <v>10.86</v>
      </c>
      <c r="H336" s="35">
        <f t="shared" si="182"/>
        <v>10.86</v>
      </c>
      <c r="I336" s="1626">
        <v>10.86</v>
      </c>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324</v>
      </c>
      <c r="AY336" s="39">
        <f t="shared" si="184"/>
        <v>1.22</v>
      </c>
      <c r="AZ336" s="32">
        <f t="shared" si="185"/>
        <v>10.86</v>
      </c>
      <c r="BA336" s="32">
        <f t="shared" si="186"/>
        <v>10.86</v>
      </c>
      <c r="BB336" s="32">
        <f t="shared" si="187"/>
        <v>10.86</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1051">
        <v>325</v>
      </c>
      <c r="D337" s="1625" t="s">
        <v>3388</v>
      </c>
      <c r="E337" s="32">
        <f t="shared" si="206"/>
        <v>1.23</v>
      </c>
      <c r="F337" s="33"/>
      <c r="G337" s="34">
        <f t="shared" si="181"/>
        <v>10.93</v>
      </c>
      <c r="H337" s="35">
        <f t="shared" si="182"/>
        <v>10.93</v>
      </c>
      <c r="I337" s="1626">
        <v>10.93</v>
      </c>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325</v>
      </c>
      <c r="AY337" s="39">
        <f t="shared" si="184"/>
        <v>1.23</v>
      </c>
      <c r="AZ337" s="32">
        <f t="shared" si="185"/>
        <v>10.93</v>
      </c>
      <c r="BA337" s="32">
        <f t="shared" si="186"/>
        <v>10.93</v>
      </c>
      <c r="BB337" s="32">
        <f t="shared" si="187"/>
        <v>10.93</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1051">
        <v>326</v>
      </c>
      <c r="D338" s="1625" t="s">
        <v>3388</v>
      </c>
      <c r="E338" s="32">
        <f t="shared" si="206"/>
        <v>1.22</v>
      </c>
      <c r="F338" s="33"/>
      <c r="G338" s="34">
        <f t="shared" si="181"/>
        <v>10.88</v>
      </c>
      <c r="H338" s="35">
        <f t="shared" si="182"/>
        <v>10.88</v>
      </c>
      <c r="I338" s="1626">
        <v>10.88</v>
      </c>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326</v>
      </c>
      <c r="AY338" s="39">
        <f t="shared" si="184"/>
        <v>1.22</v>
      </c>
      <c r="AZ338" s="32">
        <f t="shared" si="185"/>
        <v>10.88</v>
      </c>
      <c r="BA338" s="32">
        <f t="shared" si="186"/>
        <v>10.88</v>
      </c>
      <c r="BB338" s="32">
        <f t="shared" si="187"/>
        <v>10.88</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1051">
        <v>327</v>
      </c>
      <c r="D339" s="1625" t="s">
        <v>3388</v>
      </c>
      <c r="E339" s="32">
        <f t="shared" si="206"/>
        <v>1.21</v>
      </c>
      <c r="F339" s="33"/>
      <c r="G339" s="34">
        <f t="shared" si="181"/>
        <v>10.75</v>
      </c>
      <c r="H339" s="35">
        <f t="shared" si="182"/>
        <v>10.75</v>
      </c>
      <c r="I339" s="1626">
        <v>10.75</v>
      </c>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327</v>
      </c>
      <c r="AY339" s="39">
        <f t="shared" si="184"/>
        <v>1.21</v>
      </c>
      <c r="AZ339" s="32">
        <f t="shared" si="185"/>
        <v>10.75</v>
      </c>
      <c r="BA339" s="32">
        <f t="shared" si="186"/>
        <v>10.75</v>
      </c>
      <c r="BB339" s="32">
        <f t="shared" si="187"/>
        <v>10.75</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1051">
        <v>328</v>
      </c>
      <c r="D340" s="1625" t="s">
        <v>3388</v>
      </c>
      <c r="E340" s="32">
        <f t="shared" si="206"/>
        <v>1.22</v>
      </c>
      <c r="F340" s="33"/>
      <c r="G340" s="34">
        <f t="shared" si="181"/>
        <v>10.88</v>
      </c>
      <c r="H340" s="35">
        <f t="shared" si="182"/>
        <v>10.88</v>
      </c>
      <c r="I340" s="1626">
        <v>10.88</v>
      </c>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328</v>
      </c>
      <c r="AY340" s="39">
        <f t="shared" si="184"/>
        <v>1.22</v>
      </c>
      <c r="AZ340" s="32">
        <f t="shared" si="185"/>
        <v>10.88</v>
      </c>
      <c r="BA340" s="32">
        <f t="shared" si="186"/>
        <v>10.88</v>
      </c>
      <c r="BB340" s="32">
        <f t="shared" si="187"/>
        <v>10.88</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1051">
        <v>329</v>
      </c>
      <c r="D341" s="1625" t="s">
        <v>3388</v>
      </c>
      <c r="E341" s="32">
        <f t="shared" si="206"/>
        <v>1.01</v>
      </c>
      <c r="F341" s="33"/>
      <c r="G341" s="34">
        <f t="shared" si="181"/>
        <v>8.99</v>
      </c>
      <c r="H341" s="35">
        <f t="shared" si="182"/>
        <v>8.99</v>
      </c>
      <c r="I341" s="1626">
        <v>8.99</v>
      </c>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329</v>
      </c>
      <c r="AY341" s="39">
        <f t="shared" si="184"/>
        <v>1.01</v>
      </c>
      <c r="AZ341" s="32">
        <f t="shared" si="185"/>
        <v>8.99</v>
      </c>
      <c r="BA341" s="32">
        <f t="shared" si="186"/>
        <v>8.99</v>
      </c>
      <c r="BB341" s="32">
        <f t="shared" si="187"/>
        <v>8.99</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1051">
        <v>330</v>
      </c>
      <c r="D342" s="1625" t="s">
        <v>3388</v>
      </c>
      <c r="E342" s="32">
        <f t="shared" si="206"/>
        <v>1.18</v>
      </c>
      <c r="F342" s="33"/>
      <c r="G342" s="34">
        <f t="shared" si="181"/>
        <v>10.55</v>
      </c>
      <c r="H342" s="35">
        <f t="shared" si="182"/>
        <v>10.55</v>
      </c>
      <c r="I342" s="1626">
        <v>10.55</v>
      </c>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330</v>
      </c>
      <c r="AY342" s="39">
        <f t="shared" si="184"/>
        <v>1.18</v>
      </c>
      <c r="AZ342" s="32">
        <f t="shared" si="185"/>
        <v>10.55</v>
      </c>
      <c r="BA342" s="32">
        <f t="shared" si="186"/>
        <v>10.55</v>
      </c>
      <c r="BB342" s="32">
        <f t="shared" si="187"/>
        <v>10.55</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1051">
        <v>331</v>
      </c>
      <c r="D343" s="1625" t="s">
        <v>3388</v>
      </c>
      <c r="E343" s="32">
        <f t="shared" si="206"/>
        <v>1.21</v>
      </c>
      <c r="F343" s="33"/>
      <c r="G343" s="34">
        <f t="shared" si="181"/>
        <v>10.75</v>
      </c>
      <c r="H343" s="35">
        <f t="shared" si="182"/>
        <v>10.75</v>
      </c>
      <c r="I343" s="1626">
        <v>10.75</v>
      </c>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331</v>
      </c>
      <c r="AY343" s="39">
        <f t="shared" si="184"/>
        <v>1.21</v>
      </c>
      <c r="AZ343" s="32">
        <f t="shared" si="185"/>
        <v>10.75</v>
      </c>
      <c r="BA343" s="32">
        <f t="shared" si="186"/>
        <v>10.75</v>
      </c>
      <c r="BB343" s="32">
        <f t="shared" si="187"/>
        <v>10.75</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1051">
        <v>332</v>
      </c>
      <c r="D344" s="1625" t="s">
        <v>3388</v>
      </c>
      <c r="E344" s="32">
        <f t="shared" si="206"/>
        <v>1.2</v>
      </c>
      <c r="F344" s="33"/>
      <c r="G344" s="34">
        <f t="shared" si="181"/>
        <v>10.73</v>
      </c>
      <c r="H344" s="35">
        <f t="shared" si="182"/>
        <v>10.73</v>
      </c>
      <c r="I344" s="1626">
        <v>10.73</v>
      </c>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332</v>
      </c>
      <c r="AY344" s="39">
        <f t="shared" si="184"/>
        <v>1.2</v>
      </c>
      <c r="AZ344" s="32">
        <f t="shared" si="185"/>
        <v>10.73</v>
      </c>
      <c r="BA344" s="32">
        <f t="shared" si="186"/>
        <v>10.73</v>
      </c>
      <c r="BB344" s="32">
        <f t="shared" si="187"/>
        <v>10.73</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1051">
        <v>333</v>
      </c>
      <c r="D345" s="1625" t="s">
        <v>3388</v>
      </c>
      <c r="E345" s="32">
        <f t="shared" si="206"/>
        <v>1.2</v>
      </c>
      <c r="F345" s="33"/>
      <c r="G345" s="34">
        <f t="shared" si="181"/>
        <v>10.7</v>
      </c>
      <c r="H345" s="35">
        <f t="shared" si="182"/>
        <v>10.7</v>
      </c>
      <c r="I345" s="1626">
        <v>10.7</v>
      </c>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333</v>
      </c>
      <c r="AY345" s="39">
        <f t="shared" si="184"/>
        <v>1.2</v>
      </c>
      <c r="AZ345" s="32">
        <f t="shared" si="185"/>
        <v>10.7</v>
      </c>
      <c r="BA345" s="32">
        <f t="shared" si="186"/>
        <v>10.7</v>
      </c>
      <c r="BB345" s="32">
        <f t="shared" si="187"/>
        <v>10.7</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2" sqref="E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563.73</v>
      </c>
      <c r="E3" s="43">
        <f>'数据-基础表'!AZ5</f>
        <v>5028.579999999999</v>
      </c>
      <c r="F3" s="2659"/>
      <c r="G3" s="1145"/>
      <c r="H3" s="1026" t="s">
        <v>1106</v>
      </c>
      <c r="I3" s="855">
        <f>ROUND('数据-基础表'!B3/'数据-基础表'!A3,2)</f>
        <v>8.92</v>
      </c>
      <c r="J3" s="2659"/>
      <c r="K3" s="2659"/>
      <c r="L3" s="2659"/>
      <c r="M3" s="2659"/>
      <c r="N3" s="2661"/>
      <c r="O3" s="2659"/>
      <c r="P3" s="2659"/>
    </row>
    <row r="4" spans="1:16" ht="15">
      <c r="A4" s="3537"/>
      <c r="B4" s="3538"/>
      <c r="C4" s="3539"/>
      <c r="D4" s="1641" t="s">
        <v>1107</v>
      </c>
      <c r="E4" s="1642" t="s">
        <v>1108</v>
      </c>
      <c r="F4" s="2659"/>
      <c r="G4" s="2652" t="s">
        <v>1133</v>
      </c>
      <c r="H4" s="1026" t="s">
        <v>1113</v>
      </c>
      <c r="I4" s="855">
        <f>ROUND(SUMIF('数据-基础表'!I9:AS9,"地上",'数据-基础表'!I5:AS5)/'数据-基础表'!A3,2)</f>
        <v>8.92</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f>ROUND(E31/D31,2)</f>
        <v>8.92</v>
      </c>
      <c r="J5" s="2659"/>
      <c r="K5" s="2659"/>
      <c r="L5" s="2659"/>
      <c r="M5" s="2659"/>
      <c r="N5" s="2659"/>
      <c r="O5" s="2659"/>
      <c r="P5" s="2659"/>
    </row>
    <row r="6" spans="1:16" ht="15" thickBot="1">
      <c r="A6" s="1644"/>
      <c r="B6" s="3540" t="s">
        <v>1111</v>
      </c>
      <c r="C6" s="3540"/>
      <c r="D6" s="45">
        <f>ROUND($D$3*E6/$E$3,2)</f>
        <v>563.73</v>
      </c>
      <c r="E6" s="46">
        <f>E3-E5</f>
        <v>5028.579999999999</v>
      </c>
      <c r="F6" s="2659"/>
      <c r="G6" s="2653" t="s">
        <v>1112</v>
      </c>
      <c r="H6" s="1146" t="s">
        <v>1113</v>
      </c>
      <c r="I6" s="2654">
        <f>ROUND(F31/D31,2)</f>
        <v>8.92</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563.73</v>
      </c>
      <c r="E8" s="48">
        <f>SUMIF('数据-基础表'!BB10:BK10,"地上",'数据-基础表'!BB5:BK5)</f>
        <v>5028.579999999999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563.73</v>
      </c>
      <c r="E16" s="50">
        <f>SUM(E8:E15)</f>
        <v>5028.579999999999</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3391</v>
      </c>
      <c r="D19" s="45">
        <f>ROUND($D$3*E19/$E$3,2)</f>
        <v>563.73</v>
      </c>
      <c r="E19" s="53">
        <f t="shared" ref="E19:E26" si="1">SUM(F19:G19)</f>
        <v>5028.58</v>
      </c>
      <c r="F19" s="2795">
        <v>5028.58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563.73</v>
      </c>
      <c r="S19" s="1027">
        <f t="shared" si="5"/>
        <v>5028.58</v>
      </c>
    </row>
    <row r="20" spans="1:19">
      <c r="A20" s="1670"/>
      <c r="B20" s="47" t="s">
        <v>1153</v>
      </c>
      <c r="C20" s="3415"/>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563.73</v>
      </c>
      <c r="E27" s="1141">
        <f>IF(SUM(E19:E26)='数据-基础表'!BA5,SUM(E19:E26),IF(F27="地上面积有误","面积有误","地下面积有误"))</f>
        <v>5028.58</v>
      </c>
      <c r="F27" s="1140">
        <f>IF(SUM(F19:F26)=E8,SUM(F19:F26),"地上面积有误")</f>
        <v>5028.58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563.73</v>
      </c>
      <c r="S27" s="1026">
        <f>IF(SUM(S19:S26)=$E$3,SUM(S19:S26),SUM(S19:S26)&amp;"误差"&amp;ROUND(SUM(S19:S26)-E3,2))</f>
        <v>5028.58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563.73</v>
      </c>
      <c r="E31" s="676">
        <f>E27+E30</f>
        <v>5028.58</v>
      </c>
      <c r="F31" s="677">
        <f>F27+F30</f>
        <v>5028.58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R42" sqref="R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55330</v>
      </c>
      <c r="F6" s="64">
        <f>SUMIF(项目基本情况!C$12:I$12,C6,项目基本情况!C$15:I$15)</f>
        <v>27.49</v>
      </c>
      <c r="G6" s="65">
        <f>IF(ISERROR(ROUND(POWER(1+H6,D6-F6)*(POWER(1+H6,F6)-1)/(POWER(1+H6,D6)-1),3)),0,ROUND(POWER(1+H6,D6-F6)*(POWER(1+H6,F6)-1)/(POWER(1+H6,D6)-1),3))</f>
        <v>0.80900000000000005</v>
      </c>
      <c r="H6" s="732">
        <v>0.05</v>
      </c>
      <c r="I6" s="732">
        <v>5.5E-2</v>
      </c>
      <c r="J6" s="66">
        <v>7.0000000000000007E-2</v>
      </c>
      <c r="K6" s="1030">
        <f>SUMIF('数据-汇总表'!C$19:C$33,A6,'数据-汇总表'!E$19:E$33)</f>
        <v>5028.58</v>
      </c>
      <c r="L6" s="733">
        <v>3800</v>
      </c>
      <c r="M6" s="67">
        <f t="shared" ref="M6:M14" si="0">ROUND(K6*L6/10000,0)</f>
        <v>1911</v>
      </c>
      <c r="N6" s="731">
        <f>N19</f>
        <v>0.74</v>
      </c>
      <c r="O6" s="67" t="str">
        <f>IF($N$5="成新度","——",ROUND(M6*N6,0))</f>
        <v>——</v>
      </c>
      <c r="P6" s="68" t="str">
        <f>IF($N$5="成新度","——",M6-O6)</f>
        <v>——</v>
      </c>
      <c r="Q6" s="734">
        <v>0.2</v>
      </c>
      <c r="R6" s="69">
        <f ca="1">SUMIF('数据-汇总表'!C$19:C$33,A6,'数据-汇总表'!R$19:R$27)</f>
        <v>563.73</v>
      </c>
      <c r="S6" s="51">
        <f>IF('数据-汇总表'!$I$17="按面积比例",SUMIF('数据-汇总表'!C$19:C$33,A6,'数据-汇总表'!K$19:K$33),SUMIF('数据-汇总表'!C$19:C$33,A6,'数据-汇总表'!N$19:N$33))</f>
        <v>0</v>
      </c>
      <c r="T6" s="1172">
        <f>ROUND($L$14*S6/10000,0)</f>
        <v>0</v>
      </c>
      <c r="U6" s="3426">
        <v>4</v>
      </c>
      <c r="V6" s="70">
        <v>2.5000000000000001E-2</v>
      </c>
      <c r="W6" s="70">
        <v>0.1</v>
      </c>
      <c r="X6" s="1040"/>
      <c r="Y6" s="71">
        <f>N6</f>
        <v>0.74</v>
      </c>
      <c r="Z6" s="72"/>
      <c r="AA6" s="66"/>
      <c r="AB6" s="66"/>
      <c r="AC6" s="1040"/>
      <c r="AD6" s="73"/>
      <c r="AE6" s="1041">
        <f ca="1">IF(AN6="",0,SUMIF(INDIRECT("'"&amp;AN6&amp;"'"&amp;"!E:E"),$AE$5,INDIRECT("'"&amp;AN6&amp;"'"&amp;"!F:F")))</f>
        <v>27.49</v>
      </c>
      <c r="AF6" s="1348"/>
      <c r="AG6" s="138">
        <f>IF(AF6="",0,AE6-AF6)</f>
        <v>0</v>
      </c>
      <c r="AH6" s="74"/>
      <c r="AI6" s="76">
        <v>365</v>
      </c>
      <c r="AJ6" s="77"/>
      <c r="AK6" s="78">
        <v>5.0000000000000001E-3</v>
      </c>
      <c r="AL6" s="79">
        <v>1E-3</v>
      </c>
      <c r="AM6" s="80">
        <v>5.0000000000000001E-3</v>
      </c>
      <c r="AN6" s="1715" t="s">
        <v>3394</v>
      </c>
      <c r="AO6" s="52">
        <f ca="1">SUMIF(INDIRECT("'"&amp;AN6&amp;"'"&amp;"!A:A"),"总价",INDIRECT("'"&amp;AN6&amp;"'"&amp;"!B:B"))</f>
        <v>9830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0.80900000000000005</v>
      </c>
      <c r="H16" s="90">
        <f>ROUND(SUMPRODUCT(H6:H13,K6:K13)/SUMPRODUCT((H6:H13&gt;0)*(K6:K13)),3)</f>
        <v>0.05</v>
      </c>
      <c r="I16" s="91"/>
      <c r="J16" s="91"/>
      <c r="K16" s="92">
        <f>SUM(K6:K15)</f>
        <v>5028.58</v>
      </c>
      <c r="L16" s="93">
        <f>ROUND(M16*10000/SUM(K6:K14),0)</f>
        <v>3800</v>
      </c>
      <c r="M16" s="93">
        <f>SUM(M6:M14)</f>
        <v>1911</v>
      </c>
      <c r="N16" s="94">
        <f>ROUND(SUMPRODUCT(M6:M14,N6:N14)/M16,3)</f>
        <v>0.74</v>
      </c>
      <c r="O16" s="93">
        <f>SUM(O6:O14)</f>
        <v>0</v>
      </c>
      <c r="P16" s="93">
        <f>SUM(P6:P14)</f>
        <v>0</v>
      </c>
      <c r="Q16" s="95">
        <f>ROUND(SUMPRODUCT(Q6:Q13,K6:K13)/SUMPRODUCT((Q6:Q13&gt;0)*(K6:K13)),2)</f>
        <v>0.2</v>
      </c>
      <c r="R16" s="1034">
        <f ca="1">SUM(R6:R13)</f>
        <v>563.73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ROUND(1-(2024-2004)/60,2)</f>
        <v>0.67</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3392</v>
      </c>
      <c r="N19" s="2671">
        <f>ROUND((N17+N18)/2,2)</f>
        <v>0.74</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26910</v>
      </c>
      <c r="D5" s="2512" t="e">
        <f>ROUND(B5*10000/$B$2,0)</f>
        <v>#DIV/0!</v>
      </c>
      <c r="E5" s="2686"/>
      <c r="F5" s="2687"/>
      <c r="G5" s="2687"/>
      <c r="H5" s="2688"/>
      <c r="I5" s="2688"/>
      <c r="J5" s="2688"/>
      <c r="K5" s="2688"/>
    </row>
    <row r="6" spans="1:11" ht="16.5">
      <c r="A6" s="2512" t="s">
        <v>656</v>
      </c>
      <c r="B6" s="2512">
        <f>SUM(G14:G23)</f>
        <v>0</v>
      </c>
      <c r="C6" s="2512">
        <f ca="1">IF(B6=G14,结果表!H108,ROUND(B6*10000/$B$1,0))</f>
        <v>26910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39"/>
      <c r="F10" s="3443" t="s">
        <v>3362</v>
      </c>
      <c r="G10" s="3440"/>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5" sqref="L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北京市海淀区中关村大街18号五层部分综合用房房地产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3416</v>
      </c>
      <c r="D4" s="1756" t="s">
        <v>3394</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4</v>
      </c>
      <c r="D14" s="3604">
        <v>6</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5" t="s">
        <v>2131</v>
      </c>
      <c r="F18" s="3636"/>
      <c r="G18" s="3636"/>
      <c r="H18" s="3636"/>
      <c r="I18" s="3636"/>
      <c r="J18" s="725" t="s">
        <v>3411</v>
      </c>
      <c r="K18" s="302" t="s">
        <v>1289</v>
      </c>
      <c r="L18" s="302">
        <f>IF(C1="",'数据-汇总表'!E3,SUMIF(项目类型,C1,'数据-汇总表'!E17:E26)+SUMIF(项目类型,C1,'数据-汇总表'!I17:I26))</f>
        <v>5028.579999999999</v>
      </c>
      <c r="M18" s="302">
        <f>IF(C1="",'数据-汇总表'!E3,SUMIF(项目类型,C1,'数据-汇总表'!E17:E26))</f>
        <v>5028.579999999999</v>
      </c>
    </row>
    <row r="19" spans="1:36" ht="15">
      <c r="A19" s="1761" t="s">
        <v>1290</v>
      </c>
      <c r="B19" s="1762" t="s">
        <v>1291</v>
      </c>
      <c r="C19" s="134">
        <f ca="1">SUMIF(INDIRECT("'"&amp;C4&amp;"'"&amp;"!A:A"),结果表!B19,INDIRECT("'"&amp;C4&amp;"'"&amp;"!B:B"))</f>
        <v>19086</v>
      </c>
      <c r="D19" s="135">
        <f ca="1">SUMIF(INDIRECT("'"&amp;D4&amp;"'"&amp;"!A:A"),结果表!B19,INDIRECT("'"&amp;D4&amp;"'"&amp;"!B:B"))</f>
        <v>9830</v>
      </c>
      <c r="E19" s="1761" t="s">
        <v>1292</v>
      </c>
      <c r="F19" s="1762" t="s">
        <v>1291</v>
      </c>
      <c r="G19" s="136">
        <f ca="1">ROUND(C19*$C$18+D19*$D$18,0)</f>
        <v>13532</v>
      </c>
      <c r="H19" s="1763" t="s">
        <v>1293</v>
      </c>
      <c r="I19" s="129"/>
      <c r="J19" s="725" t="s">
        <v>3412</v>
      </c>
      <c r="K19" s="302" t="s">
        <v>1294</v>
      </c>
      <c r="L19" s="302">
        <f>IF(C1="",'数据-汇总表'!D3,SUMIF(项目类型,C1,'数据-汇总表'!D17:D26)+SUMIF(项目类型,C1,'数据-汇总表'!H17:H27))</f>
        <v>563.73</v>
      </c>
      <c r="M19" s="302">
        <f>IF(C1="",'数据-汇总表'!D3,SUMIF(项目类型,C1,'数据-汇总表'!D17:D26))</f>
        <v>563.73</v>
      </c>
    </row>
    <row r="20" spans="1:36" ht="15">
      <c r="A20" s="1764"/>
      <c r="B20" s="1026" t="s">
        <v>1295</v>
      </c>
      <c r="C20" s="137">
        <f ca="1">SUMIF(INDIRECT("'"&amp;C4&amp;"'"&amp;"!A:A"),结果表!B20,INDIRECT("'"&amp;C4&amp;"'"&amp;"!B:B"))</f>
        <v>37955</v>
      </c>
      <c r="D20" s="138">
        <f ca="1">SUMIF(INDIRECT("'"&amp;D4&amp;"'"&amp;"!A:A"),结果表!B20,INDIRECT("'"&amp;D4&amp;"'"&amp;"!B:B"))</f>
        <v>19548</v>
      </c>
      <c r="E20" s="1764"/>
      <c r="F20" s="1026" t="s">
        <v>1295</v>
      </c>
      <c r="G20" s="139">
        <f ca="1">ROUND(C20*$C$18+D20*$D$18,0)</f>
        <v>26911</v>
      </c>
      <c r="H20" s="808" t="s">
        <v>1296</v>
      </c>
      <c r="I20" s="129"/>
    </row>
    <row r="21" spans="1:36" ht="15" customHeight="1" thickBot="1">
      <c r="A21" s="828"/>
      <c r="B21" s="1765" t="s">
        <v>1297</v>
      </c>
      <c r="C21" s="719">
        <f ca="1">ROUND(C19*10000/L19,0)</f>
        <v>338566</v>
      </c>
      <c r="D21" s="720">
        <f ca="1">ROUND(D19*10000/L19,0)</f>
        <v>174374</v>
      </c>
      <c r="E21" s="828"/>
      <c r="F21" s="1765" t="s">
        <v>1297</v>
      </c>
      <c r="G21" s="140">
        <f ca="1">ROUND(G19*10000/L19,0)</f>
        <v>240044</v>
      </c>
      <c r="H21" s="1766" t="s">
        <v>1296</v>
      </c>
      <c r="I21" s="129"/>
    </row>
    <row r="22" spans="1:36" ht="15" thickBot="1">
      <c r="A22" s="1688" t="s">
        <v>1298</v>
      </c>
      <c r="B22" s="1767"/>
      <c r="C22" s="1768"/>
      <c r="D22" s="721">
        <f ca="1">IF(C19&lt;D19,D19/C19-1,C19/D19-1)</f>
        <v>0.9416073245167853</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13532</v>
      </c>
      <c r="D32" s="1775" t="s">
        <v>3420</v>
      </c>
      <c r="E32" s="129"/>
      <c r="F32" s="129"/>
      <c r="G32" s="129"/>
      <c r="H32" s="129"/>
      <c r="I32" s="129"/>
    </row>
    <row r="33" spans="1:15" ht="15">
      <c r="A33" s="786" t="s">
        <v>1306</v>
      </c>
      <c r="B33" s="1776"/>
      <c r="C33" s="1777" t="s">
        <v>3421</v>
      </c>
      <c r="D33" s="1778" t="s">
        <v>3416</v>
      </c>
      <c r="E33" s="1779" t="s">
        <v>1307</v>
      </c>
      <c r="F33" s="1780" t="str">
        <f>IF(D32="楼面单价","取值（单价）","取值（总价）")</f>
        <v>取值（总价）</v>
      </c>
      <c r="G33" s="129"/>
      <c r="H33" s="129"/>
      <c r="I33" s="129"/>
    </row>
    <row r="34" spans="1:15" ht="15">
      <c r="A34" s="1781"/>
      <c r="B34" s="1782" t="s">
        <v>1308</v>
      </c>
      <c r="C34" s="148">
        <f ca="1">IF(C33="自定义",F34,C32-C35)</f>
        <v>12030</v>
      </c>
      <c r="D34" s="861">
        <f ca="1">IF(C33="自定义",ROUND(C34/C32,3),IF(C33="收益比率",SUMIF(INDIRECT("'"&amp;D33&amp;"'"&amp;"!b:b"),"土地收益比率",INDIRECT("'"&amp;D33&amp;"'"&amp;"!c:c")),SUMIF(INDIRECT("'"&amp;D33&amp;"'"&amp;"!b:b"),"土地成本比率",INDIRECT("'"&amp;D33&amp;"'"&amp;"!c:c"))))</f>
        <v>0.88900000000000001</v>
      </c>
      <c r="E34" s="1783" t="s">
        <v>1309</v>
      </c>
      <c r="F34" s="1330"/>
      <c r="G34" s="129"/>
      <c r="H34" s="129"/>
      <c r="I34" s="129"/>
    </row>
    <row r="35" spans="1:15" ht="15.75" thickBot="1">
      <c r="A35" s="1784"/>
      <c r="B35" s="1785" t="s">
        <v>1310</v>
      </c>
      <c r="C35" s="1170">
        <f ca="1">IF(C33="自定义",F35,ROUND(C32*D35,0))</f>
        <v>1502</v>
      </c>
      <c r="D35" s="1171">
        <f ca="1">IF(C33="自定义",ROUND(C35/C32,3),IF(C33="收益比率",SUMIF(INDIRECT("'"&amp;D33&amp;"'"&amp;"!b:b"),"建筑物收益比率",INDIRECT("'"&amp;D33&amp;"'"&amp;"!c:c")),SUMIF(INDIRECT("'"&amp;D33&amp;"'"&amp;"!b:b"),"建筑物成本比率",INDIRECT("'"&amp;D33&amp;"'"&amp;"!c:c"))))</f>
        <v>0.111</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13532</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45296</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6" t="s">
        <v>1340</v>
      </c>
      <c r="L48" s="3546"/>
      <c r="M48" s="3549">
        <f ca="1">H101</f>
        <v>13532</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13532</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722</v>
      </c>
      <c r="E52" s="2334" t="s">
        <v>1354</v>
      </c>
      <c r="F52" s="2554">
        <f>'数据-取费表'!B41</f>
        <v>5.6000000000000001E-2</v>
      </c>
      <c r="G52" s="2555"/>
      <c r="H52" s="2544"/>
      <c r="I52" s="1807"/>
      <c r="J52" s="2523">
        <v>1</v>
      </c>
      <c r="K52" s="3571" t="s">
        <v>1355</v>
      </c>
      <c r="L52" s="3571"/>
      <c r="M52" s="2525" t="b">
        <f>D48</f>
        <v>0</v>
      </c>
      <c r="N52" s="2523" t="str">
        <f>E48</f>
        <v>销售额×税（费）率</v>
      </c>
      <c r="O52" s="2526">
        <f>F48</f>
        <v>5.6000000000000001E-2</v>
      </c>
    </row>
    <row r="53" spans="1:35" ht="12" customHeight="1">
      <c r="A53" s="2335" t="s">
        <v>1356</v>
      </c>
      <c r="B53" s="3595" t="s">
        <v>2291</v>
      </c>
      <c r="C53" s="3596"/>
      <c r="D53" s="1087">
        <f ca="1">ROUND(D45*'数据-取费表'!B41/(1+'数据-取费表'!C42),0)</f>
        <v>722</v>
      </c>
      <c r="E53" s="2334" t="s">
        <v>1354</v>
      </c>
      <c r="F53" s="2554">
        <f>'数据-取费表'!B41</f>
        <v>5.6000000000000001E-2</v>
      </c>
      <c r="G53" s="2555"/>
      <c r="H53" s="2544"/>
      <c r="I53" s="1807"/>
      <c r="J53" s="2523">
        <v>2</v>
      </c>
      <c r="K53" s="3571" t="s">
        <v>1357</v>
      </c>
      <c r="L53" s="3571"/>
      <c r="M53" s="2525">
        <f t="shared" ref="M53:O54" ca="1" si="0">D55</f>
        <v>7</v>
      </c>
      <c r="N53" s="2523" t="str">
        <f t="shared" si="0"/>
        <v>销售额×税（费）率</v>
      </c>
      <c r="O53" s="2526" t="str">
        <f t="shared" si="0"/>
        <v>免征</v>
      </c>
    </row>
    <row r="54" spans="1:35" ht="12" customHeight="1">
      <c r="A54" s="2335" t="s">
        <v>1358</v>
      </c>
      <c r="B54" s="3595" t="s">
        <v>2292</v>
      </c>
      <c r="C54" s="3596"/>
      <c r="D54" s="1087">
        <f ca="1">C68</f>
        <v>722</v>
      </c>
      <c r="E54" s="327" t="s">
        <v>1359</v>
      </c>
      <c r="F54" s="2554">
        <f>'数据-取费表'!B41</f>
        <v>5.6000000000000001E-2</v>
      </c>
      <c r="G54" s="2555"/>
      <c r="H54" s="2556"/>
      <c r="I54" s="1807"/>
      <c r="J54" s="2523">
        <v>3</v>
      </c>
      <c r="K54" s="3571" t="s">
        <v>1360</v>
      </c>
      <c r="L54" s="3571"/>
      <c r="M54" s="2525">
        <f t="shared" ca="1" si="0"/>
        <v>7660</v>
      </c>
      <c r="N54" s="2523" t="str">
        <f t="shared" si="0"/>
        <v>增值额×税（费）率</v>
      </c>
      <c r="O54" s="2527" t="str">
        <f t="shared" si="0"/>
        <v>免征</v>
      </c>
    </row>
    <row r="55" spans="1:35" ht="24" customHeight="1">
      <c r="A55" s="3631" t="s">
        <v>1361</v>
      </c>
      <c r="B55" s="3609"/>
      <c r="C55" s="3609"/>
      <c r="D55" s="2324">
        <f ca="1">IF(H55="个人住宅",0,ROUND(D45*I55,0))</f>
        <v>7</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129</v>
      </c>
      <c r="N55" s="2040" t="str">
        <f>E59</f>
        <v>差额计税</v>
      </c>
      <c r="O55" s="2529">
        <f>F59</f>
        <v>0.01</v>
      </c>
    </row>
    <row r="56" spans="1:35" ht="24.75">
      <c r="A56" s="3631" t="s">
        <v>1363</v>
      </c>
      <c r="B56" s="3609"/>
      <c r="C56" s="3609"/>
      <c r="D56" s="2324">
        <f ca="1">IF(H56="个人住宅",D57,D58)</f>
        <v>7660</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7796</v>
      </c>
      <c r="O57" s="2533"/>
      <c r="P57" s="2690">
        <f ca="1">N57/M49</f>
        <v>0.57611587348507243</v>
      </c>
    </row>
    <row r="58" spans="1:35" ht="24.75">
      <c r="A58" s="2335" t="s">
        <v>1352</v>
      </c>
      <c r="B58" s="3595" t="s">
        <v>1369</v>
      </c>
      <c r="C58" s="3594"/>
      <c r="D58" s="2324">
        <f ca="1">IF(H58="转让取得",C81,C97)</f>
        <v>7660</v>
      </c>
      <c r="E58" s="2334" t="s">
        <v>1364</v>
      </c>
      <c r="F58" s="302" t="s">
        <v>28</v>
      </c>
      <c r="G58" s="2555"/>
      <c r="H58" s="2558"/>
      <c r="I58" s="1808"/>
      <c r="J58" s="3571"/>
      <c r="K58" s="3571"/>
      <c r="L58" s="2530" t="s">
        <v>1370</v>
      </c>
      <c r="M58" s="2534"/>
      <c r="N58" s="2535" t="str">
        <f ca="1">NUMBERSTRING(INT(N57*10000),2)&amp;"元整"</f>
        <v>柒仟柒佰玖拾陆万元整</v>
      </c>
      <c r="O58" s="2536"/>
    </row>
    <row r="59" spans="1:35" ht="24.75" thickBot="1">
      <c r="A59" s="3575" t="s">
        <v>1371</v>
      </c>
      <c r="B59" s="3576"/>
      <c r="C59" s="3576"/>
      <c r="D59" s="2560">
        <f ca="1">IF(H59="非个人房产","——",IF(H59="个人住宅（满五唯一有凭证）",0,IF(H59="个人其他（无凭证）",ROUND(D45*F59,0),ROUND(C67*F59,0))))</f>
        <v>129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f ca="1">M49-N57</f>
        <v>5736</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伍仟柒佰叁拾陆万元整</v>
      </c>
      <c r="O60" s="2536"/>
    </row>
    <row r="61" spans="1:35" ht="13.5" thickBot="1">
      <c r="A61" s="3630" t="s">
        <v>1373</v>
      </c>
      <c r="B61" s="3630"/>
      <c r="C61" s="3630"/>
      <c r="D61" s="3630"/>
      <c r="E61" s="3630"/>
      <c r="F61" s="1808"/>
      <c r="G61" s="1808"/>
      <c r="H61" s="1810"/>
      <c r="I61" s="129"/>
      <c r="J61" s="2523">
        <f>J59+1</f>
        <v>7</v>
      </c>
      <c r="K61" s="3571" t="s">
        <v>1374</v>
      </c>
      <c r="L61" s="3571"/>
      <c r="M61" s="2540"/>
      <c r="N61" s="2541">
        <f ca="1">ROUND(N59*10000/'数据-汇总表'!E3,0)</f>
        <v>11407</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12888</v>
      </c>
      <c r="D63" s="167"/>
      <c r="E63" s="168"/>
      <c r="F63" s="1808"/>
      <c r="G63" s="1808"/>
      <c r="H63" s="1810"/>
      <c r="I63" s="129"/>
      <c r="J63" s="3554" t="s">
        <v>1379</v>
      </c>
      <c r="K63" s="1332" t="s">
        <v>1380</v>
      </c>
      <c r="L63" s="1332">
        <f ca="1">IF(M49&gt;10000,M49*0.5%,IF(AND(M49&gt;1000,M49&lt;=10000),M49*1%,IF(AND(M49&gt;100,M49&lt;=1000),M49*3%,IF(AND(M49&gt;10,M49&lt;=100),M49*5%,M49*8%))))</f>
        <v>67.66</v>
      </c>
      <c r="M63" s="302">
        <f ca="1">ROUND(L63,1)</f>
        <v>67.7</v>
      </c>
      <c r="N63" s="2543"/>
      <c r="Z63" s="1752"/>
      <c r="AI63" s="1753"/>
    </row>
    <row r="64" spans="1:35" ht="14.25" customHeight="1">
      <c r="A64" s="169" t="s">
        <v>325</v>
      </c>
      <c r="B64" s="170" t="s">
        <v>1381</v>
      </c>
      <c r="C64" s="2565">
        <f ca="1">D45</f>
        <v>13532</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67.66</v>
      </c>
      <c r="M64" s="302">
        <f t="shared" ref="M64:M65" ca="1" si="1">ROUND(L64,1)</f>
        <v>67.7</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13.532</v>
      </c>
      <c r="M65" s="302">
        <f t="shared" ca="1" si="1"/>
        <v>13.5</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67.66</v>
      </c>
      <c r="M66" s="302">
        <f ca="1">IF(L66&gt;0.5,0.5,ROUND(L66,0))</f>
        <v>0.5</v>
      </c>
      <c r="N66" s="2544" t="s">
        <v>1388</v>
      </c>
      <c r="Z66" s="1752"/>
      <c r="AI66" s="1753"/>
    </row>
    <row r="67" spans="1:35" ht="14.25" customHeight="1">
      <c r="A67" s="173" t="s">
        <v>328</v>
      </c>
      <c r="B67" s="174" t="s">
        <v>1389</v>
      </c>
      <c r="C67" s="2568">
        <f ca="1">C63-C66</f>
        <v>12888</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8.6031999999999993</v>
      </c>
      <c r="M67" s="302">
        <f ca="1">ROUND(L67*0.9,1)</f>
        <v>7.7</v>
      </c>
      <c r="N67" s="2543"/>
      <c r="Z67" s="1752"/>
      <c r="AI67" s="1753"/>
    </row>
    <row r="68" spans="1:35" ht="14.25" customHeight="1" thickBot="1">
      <c r="A68" s="176" t="s">
        <v>329</v>
      </c>
      <c r="B68" s="177" t="s">
        <v>1391</v>
      </c>
      <c r="C68" s="2569">
        <f ca="1">IF(C67&lt;=0,0,ROUND(C67*D68,0))</f>
        <v>722</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67.66</v>
      </c>
      <c r="M68" s="302">
        <f ca="1">ROUND(L68,1)</f>
        <v>67.7</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225</v>
      </c>
      <c r="N69" s="2545">
        <f ca="1">M69/M49</f>
        <v>1.6627253916642035E-2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12888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77</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12811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166.37662337662337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7660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12888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77</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12811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166.37662337662337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7660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v>
      </c>
      <c r="D101" s="2586" t="str">
        <f>D4</f>
        <v>收益法</v>
      </c>
      <c r="E101" s="3550" t="s">
        <v>1431</v>
      </c>
      <c r="F101" s="3551"/>
      <c r="G101" s="1827" t="s">
        <v>1432</v>
      </c>
      <c r="H101" s="2595">
        <f ca="1">H118</f>
        <v>13532</v>
      </c>
      <c r="I101" s="129"/>
    </row>
    <row r="102" spans="1:35" ht="18.75" customHeight="1">
      <c r="A102" s="3582" t="s">
        <v>1433</v>
      </c>
      <c r="B102" s="2584" t="s">
        <v>1432</v>
      </c>
      <c r="C102" s="2585">
        <f ca="1">IF(D32="楼面单价",ROUND(C19,0),C19)</f>
        <v>19086</v>
      </c>
      <c r="D102" s="2586">
        <f ca="1">IF(D32="楼面单价",ROUND(D19,0),D19)</f>
        <v>9830</v>
      </c>
      <c r="E102" s="3550"/>
      <c r="F102" s="3551"/>
      <c r="G102" s="1827" t="s">
        <v>1434</v>
      </c>
      <c r="H102" s="2555">
        <f ca="1">I118</f>
        <v>26910</v>
      </c>
      <c r="I102" s="129"/>
    </row>
    <row r="103" spans="1:35" ht="42.75" customHeight="1">
      <c r="A103" s="3582"/>
      <c r="B103" s="2584" t="s">
        <v>1434</v>
      </c>
      <c r="C103" s="2587">
        <f ca="1">C20</f>
        <v>37955</v>
      </c>
      <c r="D103" s="2588">
        <f ca="1">D20</f>
        <v>19548</v>
      </c>
      <c r="E103" s="3543" t="s">
        <v>1435</v>
      </c>
      <c r="F103" s="3544"/>
      <c r="G103" s="1828" t="s">
        <v>1436</v>
      </c>
      <c r="H103" s="2595">
        <f>IF(D36="正常操作",H104+H105+H106,H105+H106)</f>
        <v>0</v>
      </c>
      <c r="I103" s="129"/>
    </row>
    <row r="104" spans="1:35" ht="18.75" customHeight="1">
      <c r="A104" s="3582" t="s">
        <v>1437</v>
      </c>
      <c r="B104" s="2589" t="s">
        <v>1432</v>
      </c>
      <c r="C104" s="2590">
        <f ca="1">H118</f>
        <v>13532</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26910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13532</v>
      </c>
      <c r="I107" s="129"/>
    </row>
    <row r="108" spans="1:35" ht="18.75" customHeight="1">
      <c r="A108" s="129"/>
      <c r="B108" s="129"/>
      <c r="C108" s="129"/>
      <c r="D108" s="129"/>
      <c r="E108" s="3583"/>
      <c r="F108" s="3551"/>
      <c r="G108" s="1827" t="s">
        <v>1434</v>
      </c>
      <c r="H108" s="2555">
        <f ca="1">IF(H107=H101,H102,ROUND(H107*10000/'数据-汇总表'!E3,0))</f>
        <v>26910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北京市海淀区中关村大街18号五层部分综合用房房地产</v>
      </c>
      <c r="B118" s="2329">
        <f>M18</f>
        <v>5028.579999999999</v>
      </c>
      <c r="C118" s="2329">
        <f>M19</f>
        <v>563.73</v>
      </c>
      <c r="D118" s="2329">
        <f ca="1">ROUND(IF(D32="总价",C34,E118*B118/10000),0)</f>
        <v>12030</v>
      </c>
      <c r="E118" s="2329">
        <f ca="1">ROUND(IF(C33="自定义",IF(D32="楼面单价",C34,D118*10000/B118),I118-G118),0)</f>
        <v>23923</v>
      </c>
      <c r="F118" s="2329">
        <f ca="1">ROUND(IF(D32="总价",C35,G118*B118/10000),0)</f>
        <v>1502</v>
      </c>
      <c r="G118" s="2329">
        <f ca="1">ROUND(IF(D32="楼面单价",C35,F118*10000/B118),0)</f>
        <v>2987</v>
      </c>
      <c r="H118" s="2329">
        <f ca="1">ROUND(IF(D32="总价",C32,I118*B118/10000),0)</f>
        <v>13532</v>
      </c>
      <c r="I118" s="2329">
        <f ca="1">ROUND(IF(D32="楼面单价",C32,H118*10000/B118),0)</f>
        <v>26910</v>
      </c>
    </row>
    <row r="119" spans="1:27" ht="18.75" customHeight="1">
      <c r="A119" s="3558" t="s">
        <v>1452</v>
      </c>
      <c r="B119" s="3558"/>
      <c r="C119" s="3558"/>
      <c r="D119" s="3564" t="str">
        <f ca="1">NUMBERSTRING(INT(D118*10000),2)&amp;"元整"</f>
        <v>壹亿贰仟零叁拾万元整</v>
      </c>
      <c r="E119" s="3565"/>
      <c r="F119" s="3564" t="str">
        <f ca="1">NUMBERSTRING(INT(F118*10000),2)&amp;"元整"</f>
        <v>壹仟伍佰零贰万元整</v>
      </c>
      <c r="G119" s="3565"/>
      <c r="H119" s="3564" t="str">
        <f ca="1">NUMBERSTRING(INT(H118*10000),2)&amp;"元整"</f>
        <v>壹亿叁仟伍佰叁拾贰万元整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13532</v>
      </c>
      <c r="E122" s="3560"/>
      <c r="F122" s="3560"/>
      <c r="G122" s="3560"/>
      <c r="H122" s="3560"/>
      <c r="I122" s="3561"/>
      <c r="AA122" s="725"/>
    </row>
    <row r="123" spans="1:27" ht="18.75" customHeight="1">
      <c r="A123" s="3558" t="s">
        <v>1452</v>
      </c>
      <c r="B123" s="3558"/>
      <c r="C123" s="3558"/>
      <c r="D123" s="3564" t="str">
        <f ca="1">NUMBERSTRING(INT(D122*10000),2)&amp;"元整"</f>
        <v>壹亿叁仟伍佰叁拾贰万元整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2" sqref="K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19086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37955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12081</v>
      </c>
      <c r="D5" s="211" t="s">
        <v>1469</v>
      </c>
      <c r="E5" s="212" t="s">
        <v>1470</v>
      </c>
      <c r="F5" s="212" t="s">
        <v>1471</v>
      </c>
      <c r="G5" s="213"/>
    </row>
    <row r="6" spans="1:9" s="214" customFormat="1" ht="13.5" customHeight="1">
      <c r="A6" s="778" t="s">
        <v>1472</v>
      </c>
      <c r="B6" s="215" t="s">
        <v>1473</v>
      </c>
      <c r="C6" s="216">
        <f>基准地价修正!E33</f>
        <v>11625</v>
      </c>
      <c r="D6" s="217"/>
      <c r="E6" s="218"/>
      <c r="F6" s="218"/>
      <c r="G6" s="219"/>
    </row>
    <row r="7" spans="1:9" s="214" customFormat="1" ht="13.5" customHeight="1">
      <c r="A7" s="778" t="s">
        <v>1474</v>
      </c>
      <c r="B7" s="215" t="s">
        <v>1475</v>
      </c>
      <c r="C7" s="220">
        <f>ROUND(C6*F7,0)</f>
        <v>355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101</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101</v>
      </c>
      <c r="D10" s="845">
        <f ca="1">IF(B1="",'数据-汇总表'!E6,IF(INDIRECT("'数据-取费表'!c"&amp;$G$1)="住宅",INDIRECT("'数据-取费表'!s"&amp;$G$1),INDIRECT("'数据-取费表'!k"&amp;$G$1)+INDIRECT("'数据-取费表'!s"&amp;$G$1)))</f>
        <v>5028.579999999999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5028.579999999999</v>
      </c>
      <c r="E19" s="211">
        <f>'数据-取费表'!B31</f>
        <v>200</v>
      </c>
      <c r="F19" s="231"/>
      <c r="G19" s="1856" t="s">
        <v>3415</v>
      </c>
    </row>
    <row r="20" spans="1:7" s="214" customFormat="1" ht="13.5" customHeight="1">
      <c r="A20" s="255" t="s">
        <v>1493</v>
      </c>
      <c r="B20" s="210" t="s">
        <v>1494</v>
      </c>
      <c r="C20" s="232">
        <f ca="1">ROUND((C5+C19)*F20,0)</f>
        <v>242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856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848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2465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2465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16967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1911</v>
      </c>
      <c r="D34" s="217"/>
      <c r="E34" s="220"/>
      <c r="F34" s="257">
        <f ca="1">IF('数据-取费表'!B24=0,1,IF(B1="",'数据-取费表'!N16,INDIRECT("'数据-取费表'!n"&amp;$G$1)))</f>
        <v>1</v>
      </c>
      <c r="G34" s="219" t="s">
        <v>1526</v>
      </c>
    </row>
    <row r="35" spans="1:7" ht="13.5" customHeight="1">
      <c r="A35" s="780" t="s">
        <v>351</v>
      </c>
      <c r="B35" s="215" t="s">
        <v>1527</v>
      </c>
      <c r="C35" s="220">
        <f ca="1">ROUND(C34*F35,0)</f>
        <v>57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101</v>
      </c>
      <c r="D37" s="217">
        <f ca="1">D19</f>
        <v>5028.579999999999</v>
      </c>
      <c r="E37" s="249">
        <f>'数据-取费表'!B35</f>
        <v>200</v>
      </c>
      <c r="F37" s="259"/>
      <c r="G37" s="261" t="s">
        <v>1532</v>
      </c>
    </row>
    <row r="38" spans="1:7" ht="13.5" customHeight="1">
      <c r="A38" s="780" t="s">
        <v>354</v>
      </c>
      <c r="B38" s="215" t="s">
        <v>1533</v>
      </c>
      <c r="C38" s="220">
        <f ca="1">ROUND(C34*F38,0)</f>
        <v>29</v>
      </c>
      <c r="D38" s="220"/>
      <c r="E38" s="220"/>
      <c r="F38" s="259">
        <f>'数据-取费表'!B36</f>
        <v>1.4999999999999999E-2</v>
      </c>
      <c r="G38" s="219" t="s">
        <v>1528</v>
      </c>
    </row>
    <row r="39" spans="1:7" s="214" customFormat="1" ht="13.5" customHeight="1">
      <c r="A39" s="255" t="s">
        <v>1534</v>
      </c>
      <c r="B39" s="210" t="s">
        <v>1535</v>
      </c>
      <c r="C39" s="232">
        <f ca="1">ROUND(C33*F20,0)</f>
        <v>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72</v>
      </c>
      <c r="D42" s="238"/>
      <c r="E42" s="238"/>
      <c r="F42" s="239"/>
      <c r="G42" s="3637" t="s">
        <v>1544</v>
      </c>
    </row>
    <row r="43" spans="1:7" ht="13.5" customHeight="1">
      <c r="A43" s="780" t="s">
        <v>347</v>
      </c>
      <c r="B43" s="215" t="s">
        <v>1545</v>
      </c>
      <c r="C43" s="238">
        <f ca="1">ROUND(IF('数据-取费表'!B22&lt;=1,C39*F22*'数据-取费表'!B21/2,C39*(POWER((1+F22),'数据-取费表'!B21/2)-1)),0)</f>
        <v>1</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428</v>
      </c>
      <c r="D45" s="235">
        <f ca="1">C47</f>
        <v>4.0000000000000001E-3</v>
      </c>
      <c r="E45" s="236" t="s">
        <v>1539</v>
      </c>
      <c r="F45" s="246">
        <f ca="1">F27</f>
        <v>0.2</v>
      </c>
      <c r="G45" s="247" t="s">
        <v>1548</v>
      </c>
    </row>
    <row r="46" spans="1:7" s="214" customFormat="1" ht="13.5" customHeight="1">
      <c r="A46" s="780" t="s">
        <v>346</v>
      </c>
      <c r="B46" s="248" t="s">
        <v>1549</v>
      </c>
      <c r="C46" s="249">
        <f ca="1">ROUND((C33+C39)*F27,0)</f>
        <v>428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2864</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2119</v>
      </c>
      <c r="D51" s="232"/>
      <c r="E51" s="232"/>
      <c r="F51" s="264"/>
      <c r="G51" s="234" t="s">
        <v>1560</v>
      </c>
    </row>
    <row r="52" spans="1:7" s="208" customFormat="1" ht="16.5" thickBot="1">
      <c r="A52" s="265" t="s">
        <v>1561</v>
      </c>
      <c r="B52" s="266"/>
      <c r="C52" s="267">
        <f ca="1">C31+C51</f>
        <v>19086</v>
      </c>
      <c r="D52" s="266"/>
      <c r="E52" s="266"/>
      <c r="F52" s="266"/>
      <c r="G52" s="268"/>
    </row>
    <row r="55" spans="1:7" ht="15">
      <c r="B55" s="270" t="s">
        <v>1562</v>
      </c>
      <c r="C55" s="271"/>
    </row>
    <row r="56" spans="1:7">
      <c r="B56" s="273" t="s">
        <v>802</v>
      </c>
      <c r="C56" s="275">
        <f ca="1">1-C57</f>
        <v>0.88900000000000001</v>
      </c>
    </row>
    <row r="57" spans="1:7">
      <c r="B57" s="273" t="s">
        <v>803</v>
      </c>
      <c r="C57" s="274">
        <f ca="1">ROUND(C51/C52,3)</f>
        <v>0.111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北京市海淀区中关村大街18号五层部分综合用房房地产抵押价值预评估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2402.2062000000001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1005716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1005716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1005716</v>
      </c>
      <c r="D10" s="845">
        <f ca="1">IF(B1="",'数据-汇总表'!E6,IF(INDIRECT("'数据-取费表'!c"&amp;$G$1)="住宅",INDIRECT("'数据-取费表'!s"&amp;$G$1),INDIRECT("'数据-取费表'!k"&amp;$G$1)+INDIRECT("'数据-取费表'!s"&amp;$G$1)))</f>
        <v>5028.579999999999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1005716</v>
      </c>
      <c r="D19" s="849">
        <f ca="1">D9+D10</f>
        <v>5028.579999999999</v>
      </c>
      <c r="E19" s="211">
        <f>'数据-取费表'!B31</f>
        <v>200</v>
      </c>
      <c r="F19" s="231"/>
      <c r="G19" s="1856"/>
    </row>
    <row r="20" spans="1:7" s="214" customFormat="1" ht="13.5" customHeight="1">
      <c r="A20" s="255" t="s">
        <v>1574</v>
      </c>
      <c r="B20" s="210" t="s">
        <v>1575</v>
      </c>
      <c r="C20" s="232">
        <f ca="1">ROUND((C5+C19)*F20,0)</f>
        <v>40229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142570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70591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70591</v>
      </c>
      <c r="D24" s="238"/>
      <c r="E24" s="238"/>
      <c r="F24" s="239"/>
      <c r="G24" s="240" t="s">
        <v>1586</v>
      </c>
    </row>
    <row r="25" spans="1:7" s="214" customFormat="1" ht="24">
      <c r="A25" s="780" t="s">
        <v>1476</v>
      </c>
      <c r="B25" s="215" t="s">
        <v>1587</v>
      </c>
      <c r="C25" s="1128">
        <f ca="1">ROUND(IF('数据-取费表'!B22&lt;=1,C20*F22*'数据-取费表'!B22/2,C20*(POWER((1+F22),'数据-取费表'!B22/2)-1)),0)</f>
        <v>1388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410332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410332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2824906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20974207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19108604</v>
      </c>
      <c r="D34" s="217"/>
      <c r="E34" s="220"/>
      <c r="F34" s="257"/>
      <c r="G34" s="219"/>
    </row>
    <row r="35" spans="1:7" ht="13.5" customHeight="1">
      <c r="A35" s="780" t="s">
        <v>351</v>
      </c>
      <c r="B35" s="215" t="s">
        <v>1527</v>
      </c>
      <c r="C35" s="220">
        <f ca="1">ROUND(C34*F35,0)</f>
        <v>573258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1005716</v>
      </c>
      <c r="D37" s="217">
        <f ca="1">D19</f>
        <v>5028.579999999999</v>
      </c>
      <c r="E37" s="249">
        <f>'数据-取费表'!B35</f>
        <v>200</v>
      </c>
      <c r="F37" s="259"/>
      <c r="G37" s="261"/>
    </row>
    <row r="38" spans="1:7" ht="13.5" customHeight="1">
      <c r="A38" s="780" t="s">
        <v>354</v>
      </c>
      <c r="B38" s="215" t="s">
        <v>1533</v>
      </c>
      <c r="C38" s="220">
        <f ca="1">ROUND(C34*F38,0)</f>
        <v>286629</v>
      </c>
      <c r="D38" s="220"/>
      <c r="E38" s="220"/>
      <c r="F38" s="259">
        <f>'数据-取费表'!B36</f>
        <v>1.4999999999999999E-2</v>
      </c>
      <c r="G38" s="219" t="s">
        <v>1528</v>
      </c>
    </row>
    <row r="39" spans="1:7" s="214" customFormat="1" ht="13.5" customHeight="1">
      <c r="A39" s="255" t="s">
        <v>1534</v>
      </c>
      <c r="B39" s="210" t="s">
        <v>1535</v>
      </c>
      <c r="C39" s="232">
        <f ca="1">ROUND(C33*F20,0)</f>
        <v>419484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738082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723610</v>
      </c>
      <c r="D42" s="238"/>
      <c r="E42" s="238"/>
      <c r="F42" s="239"/>
      <c r="G42" s="3637" t="s">
        <v>1591</v>
      </c>
    </row>
    <row r="43" spans="1:7" ht="13.5" customHeight="1">
      <c r="A43" s="780" t="s">
        <v>347</v>
      </c>
      <c r="B43" s="215" t="s">
        <v>1545</v>
      </c>
      <c r="C43" s="238">
        <f ca="1">ROUND(IF('数据-取费表'!B22&lt;=1,C39*F22*'数据-取费表'!B20/2,C39*(POWER((1+F22),'数据-取费表'!B20/2)-1)),0)</f>
        <v>14472</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4278738</v>
      </c>
      <c r="D45" s="235">
        <f ca="1">C47</f>
        <v>4.0000000000000001E-3</v>
      </c>
      <c r="E45" s="236" t="s">
        <v>1539</v>
      </c>
      <c r="F45" s="246">
        <f ca="1">F27</f>
        <v>0.2</v>
      </c>
      <c r="G45" s="247" t="s">
        <v>1548</v>
      </c>
    </row>
    <row r="46" spans="1:7" s="214" customFormat="1" ht="13.5" customHeight="1">
      <c r="A46" s="780" t="s">
        <v>346</v>
      </c>
      <c r="B46" s="248" t="s">
        <v>1549</v>
      </c>
      <c r="C46" s="249">
        <f ca="1">ROUND((C33+C39)*F27,0)</f>
        <v>4278738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28644806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21197156</v>
      </c>
      <c r="D51" s="232"/>
      <c r="E51" s="232"/>
      <c r="F51" s="264"/>
      <c r="G51" s="234" t="s">
        <v>1560</v>
      </c>
    </row>
    <row r="52" spans="1:7" s="208" customFormat="1" ht="16.5" thickBot="1">
      <c r="A52" s="265" t="s">
        <v>1561</v>
      </c>
      <c r="B52" s="266"/>
      <c r="C52" s="267">
        <f ca="1">C31+C51</f>
        <v>24022062</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5028.579999999999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5028.579999999999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101</v>
      </c>
      <c r="D20" s="846">
        <f ca="1">IF(C1="",'数据-汇总表'!E6,IF(INDIRECT("'数据-取费表'!c"&amp;$K$1)="住宅",INDIRECT("'数据-取费表'!s"&amp;$K$1),INDIRECT("'数据-取费表'!k"&amp;$K$1)+INDIRECT("'数据-取费表'!s"&amp;$K$1)))</f>
        <v>5028.579999999999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27.49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9830</v>
      </c>
      <c r="C2" s="1387" t="s">
        <v>805</v>
      </c>
      <c r="D2" s="1387"/>
      <c r="E2" s="1388"/>
      <c r="F2" s="1389"/>
      <c r="G2" s="2706"/>
      <c r="H2" s="2695"/>
      <c r="I2" s="2695"/>
      <c r="J2" s="2695"/>
      <c r="K2" s="2696"/>
      <c r="L2" s="2695"/>
      <c r="M2" s="2695"/>
    </row>
    <row r="3" spans="1:37" ht="18" customHeight="1" thickBot="1">
      <c r="A3" s="1390" t="s">
        <v>806</v>
      </c>
      <c r="B3" s="1391">
        <f ca="1">IF(ISERROR(B2*10000/F43),0,ROUND(B2*10000/F43,0))</f>
        <v>19548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662</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661</v>
      </c>
      <c r="D6" s="155" t="s">
        <v>2109</v>
      </c>
      <c r="E6" s="302" t="s">
        <v>696</v>
      </c>
      <c r="F6" s="303">
        <f ca="1">INDIRECT("'数据-取费表'!u"&amp;$G$1)</f>
        <v>4</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5028.58</v>
      </c>
      <c r="G7" s="1384"/>
      <c r="H7" s="304"/>
      <c r="I7" s="3643"/>
      <c r="J7" s="306"/>
      <c r="K7" s="307"/>
      <c r="L7" s="302" t="s">
        <v>697</v>
      </c>
      <c r="M7" s="303">
        <f ca="1">F7</f>
        <v>5028.58</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2119</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1911</v>
      </c>
      <c r="D14" s="1345" t="s">
        <v>708</v>
      </c>
      <c r="E14" s="1342"/>
      <c r="F14" s="319"/>
      <c r="G14" s="1384"/>
      <c r="H14" s="982" t="s">
        <v>398</v>
      </c>
      <c r="I14" s="302" t="s">
        <v>709</v>
      </c>
      <c r="J14" s="21">
        <f ca="1">C29</f>
        <v>2864</v>
      </c>
      <c r="K14" s="12"/>
      <c r="L14" s="807"/>
      <c r="M14" s="808"/>
    </row>
    <row r="15" spans="1:37" s="1397" customFormat="1" ht="18" customHeight="1" thickBot="1">
      <c r="A15" s="982" t="s">
        <v>399</v>
      </c>
      <c r="B15" s="302" t="s">
        <v>710</v>
      </c>
      <c r="C15" s="21">
        <f ca="1">ROUND(C14*F15,0)</f>
        <v>57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101</v>
      </c>
      <c r="D17" s="302" t="s">
        <v>717</v>
      </c>
      <c r="E17" s="302" t="s">
        <v>718</v>
      </c>
      <c r="F17" s="23">
        <f>'数据-取费表'!B35</f>
        <v>200</v>
      </c>
      <c r="G17" s="1396"/>
      <c r="H17" s="982" t="s">
        <v>398</v>
      </c>
      <c r="I17" s="302" t="s">
        <v>719</v>
      </c>
      <c r="J17" s="2316">
        <f ca="1">ROUND(IF(AND(项目基本情况!B11="自然人",项目基本情况!B10="北京市"),J6*M17/(1+'数据-取费表'!C42),J18+J19+J20),2)</f>
        <v>1.35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2098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42</v>
      </c>
      <c r="D20" s="323" t="s">
        <v>729</v>
      </c>
      <c r="E20" s="302" t="s">
        <v>712</v>
      </c>
      <c r="F20" s="322">
        <f>'数据-取费表'!B37</f>
        <v>0.02</v>
      </c>
      <c r="G20" s="1396"/>
      <c r="H20" s="982" t="s">
        <v>680</v>
      </c>
      <c r="I20" s="155" t="s">
        <v>730</v>
      </c>
      <c r="J20" s="22">
        <f ca="1">ROUND(M20*M21/10000,2)</f>
        <v>1.35</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563.73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14.32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428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2864</v>
      </c>
      <c r="D29" s="1092"/>
      <c r="E29" s="1090"/>
      <c r="F29" s="1093"/>
      <c r="G29" s="1396"/>
      <c r="H29" s="334" t="s">
        <v>396</v>
      </c>
      <c r="I29" s="335" t="s">
        <v>768</v>
      </c>
      <c r="J29" s="336">
        <f ca="1">ROUND(J26/(1+F40)^F41,0)</f>
        <v>0</v>
      </c>
      <c r="K29" s="337" t="s">
        <v>769</v>
      </c>
      <c r="L29" s="338"/>
      <c r="M29" s="339">
        <f ca="1">INDIRECT("'数据-取费表'!k"&amp;$G$1)</f>
        <v>5028.58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112.14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35.25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75.540000000000006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1.35</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563.73</v>
      </c>
      <c r="G35" s="1384"/>
      <c r="H35" s="2697"/>
      <c r="I35" s="1398"/>
      <c r="J35" s="1399"/>
      <c r="K35" s="2701"/>
      <c r="L35" s="2700"/>
      <c r="M35" s="2700"/>
    </row>
    <row r="36" spans="1:18" ht="18" customHeight="1">
      <c r="A36" s="1102" t="s">
        <v>402</v>
      </c>
      <c r="B36" s="302" t="s">
        <v>738</v>
      </c>
      <c r="C36" s="21">
        <f ca="1">ROUND(C29*F36,2)</f>
        <v>14.32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2.12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530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9673</v>
      </c>
      <c r="D40" s="324" t="s">
        <v>758</v>
      </c>
      <c r="E40" s="302" t="s">
        <v>759</v>
      </c>
      <c r="F40" s="312">
        <f ca="1">INDIRECT("'数据-取费表'!I"&amp;$G$1)</f>
        <v>5.5E-2</v>
      </c>
      <c r="G40" s="1384"/>
      <c r="H40" s="1461">
        <f ca="1">C39/C5</f>
        <v>0.80060422960725075</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27.49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19236</v>
      </c>
      <c r="D43" s="337" t="s">
        <v>777</v>
      </c>
      <c r="E43" s="338" t="s">
        <v>778</v>
      </c>
      <c r="F43" s="339">
        <f ca="1">INDIRECT("'数据-取费表'!k"&amp;$G$1)</f>
        <v>5028.58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-9911</v>
      </c>
      <c r="D46" s="1406" t="str">
        <f>C2</f>
        <v>万元</v>
      </c>
      <c r="E46" s="1400"/>
      <c r="F46" s="1400"/>
      <c r="I46" s="1407" t="s">
        <v>810</v>
      </c>
      <c r="J46" s="1408"/>
      <c r="K46" s="1409"/>
      <c r="L46" s="1410">
        <f ca="1">IF(M47="住宅",0,IF(L48&gt;J51,L60,J60))</f>
        <v>157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50</v>
      </c>
      <c r="M47" s="1380" t="str">
        <f>IF(ISNUMBER(FIND("住宅",C1)),"住宅","非住宅")</f>
        <v>非住宅</v>
      </c>
      <c r="O47" s="1418" t="s">
        <v>403</v>
      </c>
      <c r="P47" s="1419" t="s">
        <v>817</v>
      </c>
      <c r="Q47" s="1420">
        <f ca="1">C40+J29</f>
        <v>9673</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27.49</v>
      </c>
      <c r="O48" s="1418" t="s">
        <v>404</v>
      </c>
      <c r="P48" s="1419" t="s">
        <v>821</v>
      </c>
      <c r="Q48" s="1420">
        <f ca="1">J60</f>
        <v>157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2864</v>
      </c>
      <c r="R49" s="1420" t="s">
        <v>818</v>
      </c>
    </row>
    <row r="50" spans="1:18" s="1384" customFormat="1" ht="13.5" thickBot="1">
      <c r="A50" s="976"/>
      <c r="B50" s="979"/>
      <c r="C50" s="1118"/>
      <c r="D50" s="953"/>
      <c r="E50" s="1056" t="s">
        <v>697</v>
      </c>
      <c r="F50" s="1057">
        <f ca="1">F7</f>
        <v>5028.58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6549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27.49</v>
      </c>
      <c r="K53" s="3640" t="s">
        <v>837</v>
      </c>
      <c r="L53" s="3641"/>
      <c r="O53" s="1418" t="s">
        <v>409</v>
      </c>
      <c r="P53" s="1419" t="s">
        <v>838</v>
      </c>
      <c r="Q53" s="1420">
        <f ca="1">Q47+Q48</f>
        <v>9830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2119</v>
      </c>
      <c r="D56" s="1447"/>
      <c r="E56" s="1448"/>
      <c r="F56" s="1440"/>
      <c r="I56" s="1449" t="s">
        <v>842</v>
      </c>
      <c r="J56" s="1450" t="s">
        <v>3410</v>
      </c>
      <c r="K56" s="1421" t="s">
        <v>843</v>
      </c>
      <c r="L56" s="1424" t="str">
        <f ca="1">IF(L48&lt;J51,"——",L48-J53)</f>
        <v>——</v>
      </c>
      <c r="O56" s="1418" t="s">
        <v>403</v>
      </c>
      <c r="P56" s="1419" t="s">
        <v>817</v>
      </c>
      <c r="Q56" s="1420">
        <f ca="1">C40+J29</f>
        <v>9673</v>
      </c>
      <c r="R56" s="1420" t="s">
        <v>818</v>
      </c>
    </row>
    <row r="57" spans="1:18" s="1384" customFormat="1" ht="24.75" thickBot="1">
      <c r="A57" s="1451"/>
      <c r="B57" s="950" t="s">
        <v>767</v>
      </c>
      <c r="C57" s="238">
        <f ca="1">C29</f>
        <v>2864</v>
      </c>
      <c r="D57" s="1452"/>
      <c r="E57" s="1453"/>
      <c r="F57" s="1454"/>
      <c r="I57" s="1455" t="s">
        <v>844</v>
      </c>
      <c r="J57" s="1456">
        <f ca="1">IF(OR(M47="住宅",J51&lt;L48,J56="是"),"——",J51-L48)</f>
        <v>12.510000000000002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1.35</v>
      </c>
      <c r="D62" s="965" t="s">
        <v>786</v>
      </c>
      <c r="E62" s="950" t="s">
        <v>787</v>
      </c>
      <c r="F62" s="325">
        <f t="shared" si="0"/>
        <v>24</v>
      </c>
      <c r="I62" s="1462" t="s">
        <v>858</v>
      </c>
      <c r="J62" s="1463" t="s">
        <v>859</v>
      </c>
      <c r="K62" s="1463" t="s">
        <v>860</v>
      </c>
      <c r="L62" s="1463" t="s">
        <v>861</v>
      </c>
      <c r="M62" s="1464" t="s">
        <v>862</v>
      </c>
      <c r="O62" s="1418" t="s">
        <v>409</v>
      </c>
      <c r="P62" s="1419" t="s">
        <v>863</v>
      </c>
      <c r="Q62" s="1420">
        <f ca="1">Q56+Q57</f>
        <v>9673</v>
      </c>
      <c r="R62" s="1420" t="s">
        <v>410</v>
      </c>
    </row>
    <row r="63" spans="1:18" s="1384" customFormat="1" ht="13.5" thickBot="1">
      <c r="A63" s="326"/>
      <c r="B63" s="956"/>
      <c r="C63" s="26"/>
      <c r="D63" s="966"/>
      <c r="E63" s="950" t="s">
        <v>788</v>
      </c>
      <c r="F63" s="303">
        <f t="shared" ca="1" si="0"/>
        <v>563.73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14.32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2.12</v>
      </c>
      <c r="D65" s="964" t="s">
        <v>743</v>
      </c>
      <c r="E65" s="950" t="s">
        <v>744</v>
      </c>
      <c r="F65" s="330">
        <f t="shared" ca="1" si="0"/>
        <v>1E-3</v>
      </c>
      <c r="I65" s="1462" t="s">
        <v>867</v>
      </c>
      <c r="J65" s="1463">
        <v>40</v>
      </c>
      <c r="K65" s="1463">
        <v>30</v>
      </c>
      <c r="L65" s="1463">
        <v>50</v>
      </c>
      <c r="M65" s="1465">
        <v>0.02</v>
      </c>
      <c r="O65" s="1418" t="s">
        <v>403</v>
      </c>
      <c r="P65" s="1419" t="s">
        <v>868</v>
      </c>
      <c r="Q65" s="1420">
        <f ca="1">C40+J29</f>
        <v>9673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6549</v>
      </c>
      <c r="R67" s="1420" t="s">
        <v>870</v>
      </c>
    </row>
    <row r="68" spans="1:18" s="1384" customFormat="1" ht="16.5" thickBot="1">
      <c r="A68" s="947" t="s">
        <v>395</v>
      </c>
      <c r="B68" s="948" t="s">
        <v>774</v>
      </c>
      <c r="C68" s="301">
        <f ca="1">ROUND(C67*(1-((1+F70)/(1+F68))^F69)/(F68-F70),0)</f>
        <v>-238</v>
      </c>
      <c r="D68" s="965" t="s">
        <v>758</v>
      </c>
      <c r="E68" s="950" t="s">
        <v>759</v>
      </c>
      <c r="F68" s="312">
        <f ca="1">F40</f>
        <v>5.5E-2</v>
      </c>
      <c r="O68" s="1428" t="s">
        <v>406</v>
      </c>
      <c r="P68" s="1467" t="s">
        <v>871</v>
      </c>
      <c r="Q68" s="1420">
        <f ca="1">ROUND(Q69-Q70*Q71,0)</f>
        <v>382</v>
      </c>
      <c r="R68" s="1420" t="s">
        <v>414</v>
      </c>
    </row>
    <row r="69" spans="1:18" s="1384" customFormat="1" ht="13.5" thickBot="1">
      <c r="A69" s="951"/>
      <c r="B69" s="952"/>
      <c r="C69" s="306"/>
      <c r="D69" s="970" t="s">
        <v>762</v>
      </c>
      <c r="E69" s="950" t="s">
        <v>763</v>
      </c>
      <c r="F69" s="333">
        <f ca="1">F41</f>
        <v>27.49</v>
      </c>
      <c r="O69" s="1428" t="s">
        <v>411</v>
      </c>
      <c r="P69" s="1467" t="s">
        <v>872</v>
      </c>
      <c r="Q69" s="1420">
        <f ca="1">C39</f>
        <v>530</v>
      </c>
      <c r="R69" s="1420" t="s">
        <v>818</v>
      </c>
    </row>
    <row r="70" spans="1:18" s="1384" customFormat="1" ht="13.5" thickBot="1">
      <c r="A70" s="954"/>
      <c r="B70" s="955"/>
      <c r="C70" s="310"/>
      <c r="D70" s="966"/>
      <c r="E70" s="950" t="s">
        <v>766</v>
      </c>
      <c r="F70" s="1054"/>
      <c r="O70" s="1428" t="s">
        <v>412</v>
      </c>
      <c r="P70" s="1467" t="s">
        <v>873</v>
      </c>
      <c r="Q70" s="1420">
        <f ca="1">C13</f>
        <v>2119</v>
      </c>
      <c r="R70" s="1420" t="s">
        <v>818</v>
      </c>
    </row>
    <row r="71" spans="1:18" s="1384" customFormat="1" ht="13.5" thickBot="1">
      <c r="A71" s="971" t="s">
        <v>396</v>
      </c>
      <c r="B71" s="972" t="s">
        <v>776</v>
      </c>
      <c r="C71" s="336">
        <f ca="1">ROUND(C68*10000/F71,0)</f>
        <v>-473</v>
      </c>
      <c r="D71" s="973" t="s">
        <v>777</v>
      </c>
      <c r="E71" s="974" t="s">
        <v>778</v>
      </c>
      <c r="F71" s="339">
        <f ca="1">F43</f>
        <v>5028.58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148</v>
      </c>
      <c r="D75" s="1384"/>
      <c r="E75" s="1384"/>
      <c r="F75" s="1384"/>
      <c r="K75" s="1402"/>
      <c r="L75" s="1384"/>
      <c r="O75" s="1418" t="s">
        <v>409</v>
      </c>
      <c r="P75" s="1419" t="s">
        <v>838</v>
      </c>
      <c r="Q75" s="1420">
        <f ca="1">Q65+Q66</f>
        <v>9673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0.78100000000000003</v>
      </c>
    </row>
    <row r="83" spans="2:3">
      <c r="B83" s="273" t="s">
        <v>803</v>
      </c>
      <c r="C83" s="274">
        <f ca="1">ROUND(C13/C40,3)</f>
        <v>0.219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1" t="s">
        <v>3363</v>
      </c>
      <c r="E2" s="3442"/>
      <c r="F2" s="2846"/>
      <c r="G2" s="2847"/>
      <c r="H2" s="2848"/>
      <c r="I2" s="2849"/>
      <c r="J2" s="3645" t="s">
        <v>2321</v>
      </c>
      <c r="K2" s="364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7" t="s">
        <v>2331</v>
      </c>
      <c r="K3" s="364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7" t="s">
        <v>2333</v>
      </c>
      <c r="K4" s="364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9" t="s">
        <v>2337</v>
      </c>
      <c r="B6" s="3650"/>
      <c r="C6" s="3651"/>
      <c r="D6" s="2870"/>
      <c r="E6" s="2871"/>
      <c r="F6" s="2872"/>
      <c r="G6" s="2873"/>
      <c r="H6" s="2848"/>
      <c r="I6" s="2849"/>
      <c r="J6" s="3652">
        <v>1</v>
      </c>
      <c r="K6" s="365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2"/>
      <c r="K7" s="365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6" t="s">
        <v>2351</v>
      </c>
      <c r="C8" s="3657"/>
      <c r="D8" s="2889" t="s">
        <v>2352</v>
      </c>
      <c r="E8" s="2890" t="s">
        <v>2353</v>
      </c>
      <c r="F8" s="2891" t="s">
        <v>2354</v>
      </c>
      <c r="G8" s="2892"/>
      <c r="H8" s="2848"/>
      <c r="I8" s="2849"/>
      <c r="J8" s="3652"/>
      <c r="K8" s="365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6" t="s">
        <v>2357</v>
      </c>
      <c r="C9" s="3657"/>
      <c r="D9" s="2889">
        <f>ROUND(D6*E9,0)</f>
        <v>0</v>
      </c>
      <c r="E9" s="2893"/>
      <c r="F9" s="2894" t="s">
        <v>2358</v>
      </c>
      <c r="G9" s="2873"/>
      <c r="H9" s="2848"/>
      <c r="I9" s="2849"/>
      <c r="J9" s="3652"/>
      <c r="K9" s="3654"/>
      <c r="L9" s="2883" t="s">
        <v>2359</v>
      </c>
      <c r="M9" s="2884"/>
      <c r="N9" s="2860"/>
      <c r="O9" s="2885"/>
      <c r="P9" s="2885"/>
      <c r="Q9" s="2886">
        <v>365</v>
      </c>
      <c r="R9" s="2887">
        <f t="shared" si="0"/>
        <v>0</v>
      </c>
      <c r="S9" s="2841"/>
      <c r="T9" s="2841"/>
      <c r="U9" s="2841"/>
      <c r="V9" s="2849"/>
    </row>
    <row r="10" spans="1:22" s="2853" customFormat="1" ht="13.15" customHeight="1">
      <c r="A10" s="2888">
        <v>2</v>
      </c>
      <c r="B10" s="3656" t="s">
        <v>2360</v>
      </c>
      <c r="C10" s="3657"/>
      <c r="D10" s="2889">
        <f>ROUND(D6*E10,0)</f>
        <v>0</v>
      </c>
      <c r="E10" s="2893"/>
      <c r="F10" s="2894" t="s">
        <v>2361</v>
      </c>
      <c r="G10" s="2873"/>
      <c r="H10" s="2848"/>
      <c r="I10" s="2849"/>
      <c r="J10" s="3652"/>
      <c r="K10" s="3654"/>
      <c r="L10" s="2883" t="s">
        <v>2362</v>
      </c>
      <c r="M10" s="2884"/>
      <c r="N10" s="2860"/>
      <c r="O10" s="2885"/>
      <c r="P10" s="2885"/>
      <c r="Q10" s="2886">
        <v>365</v>
      </c>
      <c r="R10" s="2887">
        <f t="shared" si="0"/>
        <v>0</v>
      </c>
      <c r="S10" s="2841"/>
      <c r="T10" s="2841"/>
      <c r="U10" s="2841"/>
      <c r="V10" s="2849"/>
    </row>
    <row r="11" spans="1:22" s="2853" customFormat="1" ht="13.15" customHeight="1">
      <c r="A11" s="2888">
        <v>3</v>
      </c>
      <c r="B11" s="3656" t="s">
        <v>2363</v>
      </c>
      <c r="C11" s="3657"/>
      <c r="D11" s="2889">
        <f>D12+D14+D15+D16</f>
        <v>0</v>
      </c>
      <c r="E11" s="2895" t="e">
        <f>D11/D6</f>
        <v>#DIV/0!</v>
      </c>
      <c r="F11" s="2891"/>
      <c r="G11" s="2892"/>
      <c r="H11" s="2848"/>
      <c r="I11" s="2849"/>
      <c r="J11" s="3652"/>
      <c r="K11" s="365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8" t="s">
        <v>2366</v>
      </c>
      <c r="C12" s="3659"/>
      <c r="D12" s="2897">
        <f>ROUND(D13*1.2%*(1-30%),0)</f>
        <v>0</v>
      </c>
      <c r="E12" s="2898">
        <v>1.2E-2</v>
      </c>
      <c r="F12" s="2891" t="s">
        <v>2367</v>
      </c>
      <c r="G12" s="2892"/>
      <c r="H12" s="2848"/>
      <c r="I12" s="2849"/>
      <c r="J12" s="3652"/>
      <c r="K12" s="365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2"/>
      <c r="K13" s="365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8" t="s">
        <v>2372</v>
      </c>
      <c r="C14" s="3659"/>
      <c r="D14" s="2897">
        <f>ROUND(E14*B5/10000,0)</f>
        <v>0</v>
      </c>
      <c r="E14" s="2886"/>
      <c r="F14" s="2891" t="s">
        <v>2373</v>
      </c>
      <c r="G14" s="2892"/>
      <c r="H14" s="2848"/>
      <c r="I14" s="2849"/>
      <c r="J14" s="3652"/>
      <c r="K14" s="365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8" t="s">
        <v>2376</v>
      </c>
      <c r="C15" s="3659"/>
      <c r="D15" s="2897">
        <f>ROUND(D6*E15,0)</f>
        <v>0</v>
      </c>
      <c r="E15" s="2898">
        <v>5.5E-2</v>
      </c>
      <c r="F15" s="2891" t="s">
        <v>2377</v>
      </c>
      <c r="G15" s="2873"/>
      <c r="H15" s="2848"/>
      <c r="I15" s="2849"/>
      <c r="J15" s="3652">
        <v>2</v>
      </c>
      <c r="K15" s="365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8" t="s">
        <v>2385</v>
      </c>
      <c r="C16" s="3659"/>
      <c r="D16" s="2908">
        <f>D6*E16</f>
        <v>0</v>
      </c>
      <c r="E16" s="2909"/>
      <c r="F16" s="2894" t="s">
        <v>2386</v>
      </c>
      <c r="G16" s="2873"/>
      <c r="H16" s="2848"/>
      <c r="I16" s="2849"/>
      <c r="J16" s="3652"/>
      <c r="K16" s="365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2388</v>
      </c>
      <c r="C17" s="3661"/>
      <c r="D17" s="2911">
        <f>ROUND(D6*E17,0)</f>
        <v>0</v>
      </c>
      <c r="E17" s="2912"/>
      <c r="F17" s="2913" t="s">
        <v>2389</v>
      </c>
      <c r="G17" s="2873"/>
      <c r="H17" s="2848"/>
      <c r="I17" s="2849"/>
      <c r="J17" s="3652"/>
      <c r="K17" s="365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2"/>
      <c r="K18" s="365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2"/>
      <c r="K19" s="365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2"/>
      <c r="K21" s="365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2"/>
      <c r="K22" s="365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2"/>
      <c r="K23" s="365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2"/>
      <c r="K24" s="365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5" t="s">
        <v>2321</v>
      </c>
      <c r="K32" s="364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7" t="s">
        <v>2331</v>
      </c>
      <c r="K33" s="364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7" t="s">
        <v>2333</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2">
        <v>1</v>
      </c>
      <c r="K36" s="365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2"/>
      <c r="K40" s="365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9830</v>
      </c>
      <c r="C2" s="1872" t="s">
        <v>1651</v>
      </c>
      <c r="D2" s="1873" t="s">
        <v>1652</v>
      </c>
      <c r="E2" s="2607">
        <f>SUM(E6:E13)</f>
        <v>5028.58</v>
      </c>
      <c r="F2" s="2707"/>
      <c r="G2" s="1489"/>
      <c r="H2" s="1489"/>
      <c r="I2" s="1489"/>
      <c r="J2" s="1489"/>
      <c r="K2" s="1489"/>
      <c r="L2" s="1489"/>
      <c r="M2" s="1489"/>
      <c r="N2" s="1489"/>
      <c r="O2" s="1489"/>
      <c r="P2" s="1489"/>
      <c r="Q2" s="1489"/>
      <c r="R2" s="1489"/>
      <c r="S2" s="1489"/>
    </row>
    <row r="3" spans="1:22" ht="15.75">
      <c r="A3" s="1870" t="s">
        <v>686</v>
      </c>
      <c r="B3" s="2601">
        <f ca="1">ROUND(B2*10000/E2,0)</f>
        <v>19548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9830</v>
      </c>
      <c r="C6" s="1872" t="s">
        <v>1651</v>
      </c>
      <c r="D6" s="2709"/>
      <c r="E6" s="2606">
        <f>IF(OR(A6=0,F6="否"),0,'数据-取费表'!K6+'数据-取费表'!S6)</f>
        <v>5028.58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5028.579999999999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71" t="s">
        <v>1668</v>
      </c>
      <c r="S4" s="3672"/>
      <c r="T4" s="3671" t="s">
        <v>1669</v>
      </c>
      <c r="U4" s="3672"/>
      <c r="V4" s="3696" t="s">
        <v>1670</v>
      </c>
      <c r="W4" s="3696"/>
      <c r="X4" s="1355"/>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90"/>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1890"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45296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5028.579999999999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96"/>
      <c r="AC6" s="3668"/>
    </row>
    <row r="7" spans="1:29" s="108" customFormat="1" ht="15.75" thickBot="1">
      <c r="A7" s="362" t="s">
        <v>1679</v>
      </c>
      <c r="B7" s="363"/>
      <c r="C7" s="364">
        <f>'数据-取费表'!B2</f>
        <v>45296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3" sqref="E1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3417</v>
      </c>
      <c r="F1" s="1879" t="s">
        <v>3418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5028.58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9" t="s">
        <v>1775</v>
      </c>
      <c r="Q4" s="3720"/>
      <c r="R4" s="3713" t="s">
        <v>1771</v>
      </c>
      <c r="S4" s="3714"/>
      <c r="T4" s="3713" t="s">
        <v>1772</v>
      </c>
      <c r="U4" s="3714"/>
      <c r="V4" s="3723" t="s">
        <v>1773</v>
      </c>
      <c r="W4" s="3723"/>
      <c r="X4" s="1958"/>
      <c r="Y4" s="3713" t="s">
        <v>1775</v>
      </c>
      <c r="Z4" s="3714"/>
      <c r="AA4" s="3712" t="s">
        <v>1771</v>
      </c>
      <c r="AB4" s="3712" t="s">
        <v>1772</v>
      </c>
      <c r="AC4" s="3716" t="s">
        <v>1773</v>
      </c>
    </row>
    <row r="5" spans="1:29" ht="15">
      <c r="A5" s="358"/>
      <c r="B5" s="359"/>
      <c r="C5" s="3715" t="s">
        <v>3419</v>
      </c>
      <c r="D5" s="3678"/>
      <c r="E5" s="3675" t="s">
        <v>1674</v>
      </c>
      <c r="F5" s="3676"/>
      <c r="G5" s="3677" t="s">
        <v>1675</v>
      </c>
      <c r="H5" s="3678"/>
      <c r="I5" s="3677" t="s">
        <v>1676</v>
      </c>
      <c r="J5" s="3678"/>
      <c r="K5" s="559"/>
      <c r="L5" s="2715"/>
      <c r="M5" s="2716"/>
      <c r="N5" s="2716"/>
      <c r="O5" s="2716"/>
      <c r="P5" s="3721"/>
      <c r="Q5" s="3691"/>
      <c r="R5" s="3673"/>
      <c r="S5" s="3674"/>
      <c r="T5" s="3673"/>
      <c r="U5" s="3674"/>
      <c r="V5" s="3696"/>
      <c r="W5" s="3696"/>
      <c r="X5" s="1355"/>
      <c r="Y5" s="3673"/>
      <c r="Z5" s="3674"/>
      <c r="AA5" s="3667"/>
      <c r="AB5" s="3667"/>
      <c r="AC5" s="371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722"/>
      <c r="Q6" s="3693"/>
      <c r="R6" s="3673"/>
      <c r="S6" s="3674"/>
      <c r="T6" s="3694"/>
      <c r="U6" s="3695"/>
      <c r="V6" s="3696"/>
      <c r="W6" s="3696"/>
      <c r="X6" s="1355"/>
      <c r="Y6" s="3694"/>
      <c r="Z6" s="3695"/>
      <c r="AA6" s="3668"/>
      <c r="AB6" s="3668"/>
      <c r="AC6" s="3718"/>
    </row>
    <row r="7" spans="1:29" s="108" customFormat="1" ht="15.75" thickBot="1">
      <c r="A7" s="362" t="s">
        <v>1679</v>
      </c>
      <c r="B7" s="363"/>
      <c r="C7" s="364">
        <f>'数据-取费表'!B2</f>
        <v>45296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5028.579999999999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45296</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受贵公司委托，我公司对北京市海淀区中关村大街18号五层部分综合用房房地产抵押价值进行了预评估。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估价对象为北京市海淀区中关村大街18号五层部分综合用房房地产，为所有。根据《国有土地使用证》[]，估价对象（分摊）出让国有建设用地使用权面积为563.73平方米，建筑面积为5028.58平方米。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五层部分综合用房房地产,属开发建设的，该项目尚在开发建设中。根据《国有土地使用证》[]，估价对象（分摊）出让国有建设用地使用权面积为563.73平方米，规划建筑面积为5028.58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中关村大街18号五层部分综合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45296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45296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30" s="108" customFormat="1" ht="15.75" thickBot="1">
      <c r="A7" s="362" t="s">
        <v>1679</v>
      </c>
      <c r="B7" s="363"/>
      <c r="C7" s="364">
        <f>'数据-取费表'!B2</f>
        <v>45296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701"/>
      <c r="Q10" s="1343" t="str">
        <f t="shared" si="6"/>
        <v>土地使用年限（年）</v>
      </c>
      <c r="R10" s="701" t="s">
        <v>14</v>
      </c>
      <c r="S10" s="702">
        <f t="shared" si="0"/>
        <v>124</v>
      </c>
      <c r="T10" s="701" t="s">
        <v>14</v>
      </c>
      <c r="U10" s="702">
        <f t="shared" si="1"/>
        <v>124</v>
      </c>
      <c r="V10" s="701" t="s">
        <v>14</v>
      </c>
      <c r="W10" s="702">
        <f t="shared" si="2"/>
        <v>124</v>
      </c>
      <c r="X10" s="703"/>
      <c r="Y10" s="3613"/>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5028.579999999999</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5028.579999999999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45296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701"/>
      <c r="Q10" s="1343" t="str">
        <f t="shared" si="6"/>
        <v>土地使用年限（年）</v>
      </c>
      <c r="R10" s="701" t="s">
        <v>14</v>
      </c>
      <c r="S10" s="702">
        <f t="shared" si="0"/>
        <v>124</v>
      </c>
      <c r="T10" s="701" t="s">
        <v>14</v>
      </c>
      <c r="U10" s="702">
        <f t="shared" si="1"/>
        <v>124</v>
      </c>
      <c r="V10" s="701" t="s">
        <v>14</v>
      </c>
      <c r="W10" s="702">
        <f t="shared" si="2"/>
        <v>124</v>
      </c>
      <c r="X10" s="703"/>
      <c r="Y10" s="3613"/>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5028.579999999999</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563.73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11625</v>
      </c>
      <c r="C2" s="2145" t="s">
        <v>2074</v>
      </c>
      <c r="D2" s="2145" t="s">
        <v>2075</v>
      </c>
      <c r="E2" s="2612">
        <f ca="1">SUMIF(E6:E13,"&lt;&gt;#ref!",E6:E13)</f>
        <v>5028.58</v>
      </c>
      <c r="F2" s="2793"/>
      <c r="G2" s="2793"/>
      <c r="H2" s="2793"/>
      <c r="I2" s="2793"/>
      <c r="J2" s="2793"/>
      <c r="K2" s="2793"/>
      <c r="L2" s="2793"/>
      <c r="M2" s="2793"/>
      <c r="N2" s="2793"/>
      <c r="O2" s="2793"/>
      <c r="P2" s="2793"/>
    </row>
    <row r="3" spans="1:16" ht="15.75">
      <c r="A3" s="2145" t="s">
        <v>2076</v>
      </c>
      <c r="B3" s="2602">
        <f ca="1">ROUND(B2*10000/E2,0)</f>
        <v>23118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11625</v>
      </c>
      <c r="C6" s="2145" t="s">
        <v>2074</v>
      </c>
      <c r="D6" s="2793"/>
      <c r="E6" s="2612">
        <f ca="1">SUMIF(INDIRECT("'"&amp;A6&amp;"'"&amp;"!C:C"),"建筑面积",INDIRECT("'"&amp;A6&amp;"'"&amp;"!D:D"))</f>
        <v>5028.58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5028.58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11625</v>
      </c>
      <c r="C2" s="1999" t="s">
        <v>1935</v>
      </c>
      <c r="D2" s="2000" t="s">
        <v>1936</v>
      </c>
      <c r="E2" s="3420"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27550</v>
      </c>
      <c r="N2" s="866">
        <f>SUMPRODUCT((因素修正幅度!B10:B29=I2)*(因素修正幅度!C3:G3=E2)*(因素修正幅度!C10:G29))</f>
        <v>0.09</v>
      </c>
      <c r="O2" s="1119"/>
      <c r="P2" s="1119"/>
      <c r="Q2" s="1119"/>
      <c r="R2" s="1212">
        <v>1</v>
      </c>
      <c r="S2" s="3359">
        <f>ROUND(SUMPRODUCT((B106:B110=R2)*(C105:N105=G2)*(C106:N110)),4)</f>
        <v>1.5206</v>
      </c>
      <c r="T2" s="3359">
        <f t="shared" ref="T2:T16" si="0">ROUND($C$5*$C$22*$C$23*$C$24*S2*$C$28,0)</f>
        <v>39303</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23118</v>
      </c>
      <c r="C3" s="1999" t="s">
        <v>1941</v>
      </c>
      <c r="D3" s="2000" t="s">
        <v>1942</v>
      </c>
      <c r="E3" s="3418" t="s">
        <v>3395</v>
      </c>
      <c r="F3" s="2004" t="s">
        <v>3396</v>
      </c>
      <c r="G3" s="752">
        <f>IF(F3="宗地容积率",'数据-汇总表'!I4,IF(F3="估价对象容积率",'数据-汇总表'!I6,'数据-汇总表'!I7))</f>
        <v>8.92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31203</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26961</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28897</v>
      </c>
      <c r="D5" s="1339">
        <f>ROUND(C6*C17+C20,0)</f>
        <v>27519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24397</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23252</v>
      </c>
      <c r="U6" s="1213"/>
      <c r="V6" s="3359">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8.92</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9"/>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8" t="s">
        <v>3249</v>
      </c>
      <c r="B17" s="3321" t="s">
        <v>3250</v>
      </c>
      <c r="C17" s="3329">
        <f>ROUND(IF(OR(E2="工业",E2="公共服务"),1,IF(AND(E18=0,E19=0),1,IF(AND(E18=J24,E19=G19),0.8,IF(E19=0,1+E17*(-0.2),1+E17*G17*(-0.2))))),4)</f>
        <v>1</v>
      </c>
      <c r="D17" s="3322" t="s">
        <v>3251</v>
      </c>
      <c r="E17" s="3329">
        <f>ROUND(G18/I18,2)</f>
        <v>0</v>
      </c>
      <c r="F17" s="3322"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10"/>
      <c r="C18" s="3326"/>
      <c r="D18" s="3323" t="s">
        <v>3252</v>
      </c>
      <c r="E18" s="3327"/>
      <c r="F18" s="3324" t="s">
        <v>3255</v>
      </c>
      <c r="G18" s="3326">
        <f>ROUND(1-(1/(POWER(1+G24,E18))),4)</f>
        <v>0</v>
      </c>
      <c r="H18" s="3324" t="s">
        <v>3257</v>
      </c>
      <c r="I18" s="3326">
        <f>ROUND(1-(1/(POWER(1+G24,J24))),4)</f>
        <v>0.93120000000000003</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3258</v>
      </c>
      <c r="B20" s="167" t="s">
        <v>1994</v>
      </c>
      <c r="C20" s="3325">
        <f>ROUND(IF(F21="与级别开发程度一致",0,(G21-E21)/C21),0)</f>
        <v>-31</v>
      </c>
      <c r="D20" s="3339" t="s">
        <v>1998</v>
      </c>
      <c r="E20" s="3340"/>
      <c r="F20" s="3760" t="s">
        <v>1995</v>
      </c>
      <c r="G20" s="3761"/>
      <c r="H20" s="2047" t="s">
        <v>3399</v>
      </c>
      <c r="I20" s="2047" t="s">
        <v>3400</v>
      </c>
      <c r="J20" s="3453" t="s">
        <v>3401</v>
      </c>
      <c r="K20" s="2047" t="s">
        <v>3402</v>
      </c>
      <c r="L20" s="2047" t="s">
        <v>3403</v>
      </c>
      <c r="M20" s="2047" t="s">
        <v>3404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5"/>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3398</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4" t="s">
        <v>2002</v>
      </c>
      <c r="E23" s="761">
        <v>44197</v>
      </c>
      <c r="F23" s="2054" t="s">
        <v>2003</v>
      </c>
      <c r="G23" s="762">
        <f>'数据-取费表'!B2</f>
        <v>45296</v>
      </c>
      <c r="H23" s="3341" t="s">
        <v>3260</v>
      </c>
      <c r="I23" s="3342" t="str">
        <f>IF(H23="季度增幅（自定义）",SUMIF(N25:N28,E2,O25:O28),"")</f>
        <v/>
      </c>
      <c r="J23" s="3444"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0.82740000000000002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27.49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0.89439999999999997</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0.89439999999999997</v>
      </c>
      <c r="E26" s="752">
        <f>ROUNDDOWN(G3,1)</f>
        <v>8.9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0.89470000000000005</v>
      </c>
      <c r="G26" s="752">
        <f>ROUNDUP(G3,1)</f>
        <v>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3343"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1.0514000000000001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11625</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23118</v>
      </c>
      <c r="D33" s="2098">
        <f>'数据-汇总表'!F19</f>
        <v>5028.58</v>
      </c>
      <c r="E33" s="773">
        <f>ROUND(C33*D33/10000,0)</f>
        <v>11625</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5780</v>
      </c>
      <c r="D34" s="2103"/>
      <c r="E34" s="773">
        <f>ROUND(IF(B25="楼层修正",SUM(V2:V16)*M40,C34*D34/10000),0)</f>
        <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f>ROUND(D5*C22*C23*C24*C28*F37,0)</f>
        <v>17230</v>
      </c>
      <c r="D37" s="2098"/>
      <c r="E37" s="171">
        <f>ROUND(C37*D37/10000,0)</f>
        <v>0</v>
      </c>
      <c r="F37" s="171">
        <f>SUMIF(修正!A57:A68,G2,修正!B57:B68)</f>
        <v>0.7</v>
      </c>
      <c r="G37" s="171">
        <f>ROUND(IF(E2="工业",C37*$M$42,C37*$M$41),0)</f>
        <v>4308</v>
      </c>
      <c r="H37" s="171">
        <f>D37</f>
        <v>0</v>
      </c>
      <c r="I37" s="171">
        <f>ROUND(G37*H37/10000,0)</f>
        <v>0</v>
      </c>
      <c r="J37" s="3012"/>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9846</v>
      </c>
      <c r="D38" s="2098"/>
      <c r="E38" s="171">
        <f t="shared" ref="E38:E42" si="4">ROUND(C38*D38/10000,0)</f>
        <v>0</v>
      </c>
      <c r="F38" s="171">
        <f>SUMIF(修正!A57:A68,G2,修正!C57:C68)</f>
        <v>0.4</v>
      </c>
      <c r="G38" s="171">
        <f>ROUND(IF(E2="工业",C38*$M$42,C38*$M$41),0)</f>
        <v>2462</v>
      </c>
      <c r="H38" s="171">
        <f t="shared" ref="H38:H42" si="5">D38</f>
        <v>0</v>
      </c>
      <c r="I38" s="171">
        <f t="shared" ref="I38:I42" si="6">ROUND(G38*H38/10000,0)</f>
        <v>0</v>
      </c>
      <c r="J38" s="3011"/>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9"/>
      <c r="B39" s="2041" t="s">
        <v>3263</v>
      </c>
      <c r="C39" s="175">
        <f>ROUND(D5*C22*C23*C24*C28*F39,0)</f>
        <v>7384</v>
      </c>
      <c r="D39" s="2098"/>
      <c r="E39" s="171">
        <f t="shared" si="4"/>
        <v>0</v>
      </c>
      <c r="F39" s="171">
        <f>SUMIF(修正!A57:A68,G2,修正!D57:D68)</f>
        <v>0.3</v>
      </c>
      <c r="G39" s="171">
        <f>ROUND(IF(E2="工业",C39*$M$42,C39*$M$41),0)</f>
        <v>1846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7384</v>
      </c>
      <c r="D40" s="2098"/>
      <c r="E40" s="171">
        <f t="shared" si="4"/>
        <v>0</v>
      </c>
      <c r="F40" s="175">
        <f>SUMIF(修正!A57:A68,G2,修正!E57:E68)</f>
        <v>0.3</v>
      </c>
      <c r="G40" s="171">
        <f>ROUND(IF(E2="工业",C40*$M$42,C40*$M$41),0)</f>
        <v>1846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1.0514000000000001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26" t="s">
        <v>3405</v>
      </c>
      <c r="D61" s="1065">
        <f t="shared" ref="D61:D69" si="12">SUMIF($J$60:$N$60,C61,J61:N61)</f>
        <v>1.12E-2</v>
      </c>
      <c r="E61" s="744">
        <f>ROUND(SUM(D61:D69),4)</f>
        <v>5.1400000000000001E-2</v>
      </c>
      <c r="F61" s="1814">
        <f>IF(E2="办公",SUMIF(L1:L12,G2,N1:N12),"——")</f>
        <v>0.09</v>
      </c>
      <c r="G61" s="1063">
        <v>1.12E-2</v>
      </c>
      <c r="H61" s="1066">
        <f t="shared" ref="H61:H69" si="13">IFERROR(ROUNDDOWN($F$61*I61/2,4),"——")</f>
        <v>1.12E-2</v>
      </c>
      <c r="I61" s="3365">
        <v>0.25</v>
      </c>
      <c r="J61" s="1064">
        <f t="shared" ref="J61:J69" si="14">K61+$G61</f>
        <v>2.24E-2</v>
      </c>
      <c r="K61" s="1064">
        <f t="shared" ref="K61:K69" si="15">$L61+$G61</f>
        <v>1.12E-2</v>
      </c>
      <c r="L61" s="1064">
        <v>0</v>
      </c>
      <c r="M61" s="1064">
        <f t="shared" ref="M61:N69" si="16">L61-$G61</f>
        <v>-1.12E-2</v>
      </c>
      <c r="N61" s="1064">
        <f t="shared" si="16"/>
        <v>-2.24E-2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3405</v>
      </c>
      <c r="D62" s="1065">
        <f t="shared" si="12"/>
        <v>1.17E-2</v>
      </c>
      <c r="E62" s="745"/>
      <c r="F62" s="1814"/>
      <c r="G62" s="1063">
        <v>1.17E-2</v>
      </c>
      <c r="H62" s="1066">
        <f t="shared" si="13"/>
        <v>1.17E-2</v>
      </c>
      <c r="I62" s="3365">
        <v>0.26</v>
      </c>
      <c r="J62" s="1064">
        <f t="shared" si="14"/>
        <v>2.3400000000000001E-2</v>
      </c>
      <c r="K62" s="1064">
        <f t="shared" si="15"/>
        <v>1.17E-2</v>
      </c>
      <c r="L62" s="1064">
        <v>0</v>
      </c>
      <c r="M62" s="1064">
        <f t="shared" si="16"/>
        <v>-1.17E-2</v>
      </c>
      <c r="N62" s="1064">
        <f t="shared" si="16"/>
        <v>-2.3400000000000001E-2</v>
      </c>
      <c r="AA62" s="1120"/>
      <c r="AB62" s="1120"/>
      <c r="AC62" s="1120"/>
      <c r="AD62" s="1120"/>
      <c r="AE62" s="1120"/>
      <c r="AF62" s="1120"/>
      <c r="AG62" s="1120"/>
      <c r="AH62" s="1120"/>
      <c r="AI62" s="1120"/>
      <c r="AJ62" s="1120"/>
      <c r="AK62" s="1120"/>
    </row>
    <row r="63" spans="1:37" s="1119" customFormat="1" ht="36">
      <c r="A63" s="3367" t="s">
        <v>3273</v>
      </c>
      <c r="B63" s="2134">
        <f>估价对象房地状况!C19</f>
        <v>0</v>
      </c>
      <c r="C63" s="2044" t="s">
        <v>3405</v>
      </c>
      <c r="D63" s="1065">
        <f t="shared" si="12"/>
        <v>4.8999999999999998E-3</v>
      </c>
      <c r="E63" s="745"/>
      <c r="F63" s="1814"/>
      <c r="G63" s="1063">
        <v>4.8999999999999998E-3</v>
      </c>
      <c r="H63" s="1066">
        <f t="shared" si="13"/>
        <v>4.8999999999999998E-3</v>
      </c>
      <c r="I63" s="3365">
        <v>0.11</v>
      </c>
      <c r="J63" s="1064">
        <f t="shared" si="14"/>
        <v>9.7999999999999997E-3</v>
      </c>
      <c r="K63" s="1064">
        <f t="shared" si="15"/>
        <v>4.8999999999999998E-3</v>
      </c>
      <c r="L63" s="1064">
        <v>0</v>
      </c>
      <c r="M63" s="1064">
        <f t="shared" si="16"/>
        <v>-4.8999999999999998E-3</v>
      </c>
      <c r="N63" s="1064">
        <f t="shared" si="16"/>
        <v>-9.7999999999999997E-3</v>
      </c>
      <c r="AA63" s="1120"/>
      <c r="AB63" s="1120"/>
      <c r="AC63" s="1120"/>
      <c r="AD63" s="1120"/>
      <c r="AE63" s="1120"/>
      <c r="AF63" s="1120"/>
      <c r="AG63" s="1120"/>
      <c r="AH63" s="1120"/>
      <c r="AI63" s="1120"/>
      <c r="AJ63" s="1120"/>
      <c r="AK63" s="1120"/>
    </row>
    <row r="64" spans="1:37" s="1119" customFormat="1" ht="36.75">
      <c r="A64" s="2130" t="s">
        <v>2054</v>
      </c>
      <c r="B64" s="2135" t="s">
        <v>2055</v>
      </c>
      <c r="C64" s="2044" t="s">
        <v>3405</v>
      </c>
      <c r="D64" s="1065">
        <f t="shared" si="12"/>
        <v>2.2000000000000001E-3</v>
      </c>
      <c r="E64" s="745"/>
      <c r="F64" s="1814"/>
      <c r="G64" s="1063">
        <v>2.2000000000000001E-3</v>
      </c>
      <c r="H64" s="1066">
        <f t="shared" si="13"/>
        <v>2.2000000000000001E-3</v>
      </c>
      <c r="I64" s="3365">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3405</v>
      </c>
      <c r="D65" s="1065">
        <f t="shared" si="12"/>
        <v>2.2000000000000001E-3</v>
      </c>
      <c r="E65" s="745"/>
      <c r="F65" s="1814"/>
      <c r="G65" s="1063">
        <v>2.2000000000000001E-3</v>
      </c>
      <c r="H65" s="1066">
        <f t="shared" si="13"/>
        <v>2.2000000000000001E-3</v>
      </c>
      <c r="I65" s="3365">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3405</v>
      </c>
      <c r="D66" s="1065">
        <f t="shared" si="12"/>
        <v>2.7000000000000001E-3</v>
      </c>
      <c r="E66" s="745"/>
      <c r="F66" s="1814"/>
      <c r="G66" s="1063">
        <v>2.7000000000000001E-3</v>
      </c>
      <c r="H66" s="1066">
        <f t="shared" si="13"/>
        <v>2.7000000000000001E-3</v>
      </c>
      <c r="I66" s="3365">
        <v>0.06</v>
      </c>
      <c r="J66" s="1064">
        <f t="shared" si="14"/>
        <v>5.4000000000000003E-3</v>
      </c>
      <c r="K66" s="1064">
        <f t="shared" si="15"/>
        <v>2.7000000000000001E-3</v>
      </c>
      <c r="L66" s="1064">
        <v>0</v>
      </c>
      <c r="M66" s="1064">
        <f t="shared" si="16"/>
        <v>-2.7000000000000001E-3</v>
      </c>
      <c r="N66" s="1064">
        <f t="shared" si="16"/>
        <v>-5.4000000000000003E-3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3406</v>
      </c>
      <c r="D67" s="1065">
        <f t="shared" si="12"/>
        <v>5.4000000000000003E-3</v>
      </c>
      <c r="E67" s="745"/>
      <c r="F67" s="1814"/>
      <c r="G67" s="1063">
        <v>2.7000000000000001E-3</v>
      </c>
      <c r="H67" s="1066">
        <f t="shared" si="13"/>
        <v>2.7000000000000001E-3</v>
      </c>
      <c r="I67" s="3365">
        <v>0.06</v>
      </c>
      <c r="J67" s="1064">
        <f t="shared" si="14"/>
        <v>5.4000000000000003E-3</v>
      </c>
      <c r="K67" s="1064">
        <f t="shared" si="15"/>
        <v>2.7000000000000001E-3</v>
      </c>
      <c r="L67" s="1064">
        <v>0</v>
      </c>
      <c r="M67" s="1064">
        <f t="shared" si="16"/>
        <v>-2.7000000000000001E-3</v>
      </c>
      <c r="N67" s="1064">
        <f t="shared" si="16"/>
        <v>-5.4000000000000003E-3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3406</v>
      </c>
      <c r="D68" s="1065">
        <f t="shared" si="12"/>
        <v>8.0000000000000002E-3</v>
      </c>
      <c r="E68" s="745"/>
      <c r="F68" s="1814"/>
      <c r="G68" s="1063">
        <v>4.0000000000000001E-3</v>
      </c>
      <c r="H68" s="1066">
        <f t="shared" si="13"/>
        <v>4.0000000000000001E-3</v>
      </c>
      <c r="I68" s="3365">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3405</v>
      </c>
      <c r="D69" s="1065">
        <f t="shared" si="12"/>
        <v>3.0999999999999999E-3</v>
      </c>
      <c r="E69" s="746"/>
      <c r="F69" s="1814"/>
      <c r="G69" s="1063">
        <v>3.0999999999999999E-3</v>
      </c>
      <c r="H69" s="1066">
        <f t="shared" si="13"/>
        <v>3.0999999999999999E-3</v>
      </c>
      <c r="I69" s="3366">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6" t="s">
        <v>3298</v>
      </c>
      <c r="B103" s="3756"/>
      <c r="C103" s="3756"/>
      <c r="D103" s="3756"/>
      <c r="E103" s="3756"/>
      <c r="F103" s="3756"/>
      <c r="G103" s="3756"/>
      <c r="H103" s="3756"/>
      <c r="I103" s="3756"/>
      <c r="J103" s="3756"/>
      <c r="K103" s="3388"/>
      <c r="L103" s="3388"/>
      <c r="M103" s="3388"/>
      <c r="N103" s="3388"/>
    </row>
    <row r="104" spans="1:14">
      <c r="A104" s="3757" t="s">
        <v>3299</v>
      </c>
      <c r="B104" s="3757" t="s">
        <v>3300</v>
      </c>
      <c r="C104" s="3389" t="s">
        <v>3301</v>
      </c>
      <c r="D104" s="3390"/>
      <c r="E104" s="3390"/>
      <c r="F104" s="3390"/>
      <c r="G104" s="3390"/>
      <c r="H104" s="3390"/>
      <c r="I104" s="3390"/>
      <c r="J104" s="3391"/>
      <c r="K104" s="3392"/>
      <c r="L104" s="3392"/>
      <c r="M104" s="3392"/>
      <c r="N104" s="3392"/>
    </row>
    <row r="105" spans="1:14">
      <c r="A105" s="3757"/>
      <c r="B105" s="3757"/>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3"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4"/>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6" t="s">
        <v>3315</v>
      </c>
      <c r="B113" s="3746"/>
      <c r="C113" s="3746"/>
      <c r="D113" s="3746"/>
      <c r="E113" s="3746"/>
      <c r="F113" s="3746"/>
      <c r="G113" s="3746"/>
      <c r="H113" s="3746"/>
      <c r="I113" s="3746"/>
      <c r="J113" s="37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8.92</v>
      </c>
      <c r="C116" s="3398" t="s">
        <v>3317</v>
      </c>
      <c r="D116" s="3399">
        <f>SUMPRODUCT((A118:A122=F116)*(B117:M117=H116)*B118:M122)</f>
        <v>0.8931</v>
      </c>
      <c r="E116" s="2000" t="s">
        <v>3318</v>
      </c>
      <c r="F116" s="3400" t="str">
        <f>E2</f>
        <v>办公</v>
      </c>
      <c r="G116" s="2000" t="s">
        <v>3319</v>
      </c>
      <c r="H116" s="3400" t="str">
        <f>G2</f>
        <v>二级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0.89870000000000005</v>
      </c>
      <c r="C118" s="3386">
        <f>B118</f>
        <v>0.89870000000000005</v>
      </c>
      <c r="D118" s="3386">
        <f>ROUND(0.949-0.014*B116,4)</f>
        <v>0.82410000000000005</v>
      </c>
      <c r="E118" s="3386">
        <f>D118</f>
        <v>0.82410000000000005</v>
      </c>
      <c r="F118" s="3386">
        <f>E118</f>
        <v>0.82410000000000005</v>
      </c>
      <c r="G118" s="3386">
        <f>F118</f>
        <v>0.82410000000000005</v>
      </c>
      <c r="H118" s="3386">
        <f>G118</f>
        <v>0.82410000000000005</v>
      </c>
      <c r="I118" s="3386">
        <f>ROUND(0.8486-0.018*B116,4)</f>
        <v>0.68799999999999994</v>
      </c>
      <c r="J118" s="3386">
        <f t="shared" ref="J118:M122" si="35">I118</f>
        <v>0.68799999999999994</v>
      </c>
      <c r="K118" s="3386">
        <f t="shared" si="35"/>
        <v>0.68799999999999994</v>
      </c>
      <c r="L118" s="3386">
        <f t="shared" si="35"/>
        <v>0.68799999999999994</v>
      </c>
      <c r="M118" s="3409">
        <f t="shared" si="35"/>
        <v>0.68799999999999994</v>
      </c>
      <c r="N118" s="3396"/>
    </row>
    <row r="119" spans="1:14">
      <c r="A119" s="3408" t="s">
        <v>3333</v>
      </c>
      <c r="B119" s="3386">
        <f>ROUND(0.993-0.0112*B116,4)</f>
        <v>0.8931</v>
      </c>
      <c r="C119" s="3386">
        <f>B119</f>
        <v>0.8931</v>
      </c>
      <c r="D119" s="3386">
        <f>ROUND(0.9415-0.0142*B116,4)</f>
        <v>0.81479999999999997</v>
      </c>
      <c r="E119" s="3386">
        <f t="shared" ref="E119:H120" si="36">D119</f>
        <v>0.81479999999999997</v>
      </c>
      <c r="F119" s="3386">
        <f t="shared" si="36"/>
        <v>0.81479999999999997</v>
      </c>
      <c r="G119" s="3386">
        <f t="shared" si="36"/>
        <v>0.81479999999999997</v>
      </c>
      <c r="H119" s="3386">
        <f t="shared" si="36"/>
        <v>0.81479999999999997</v>
      </c>
      <c r="I119" s="3386">
        <f>ROUND(0.838-0.0182*B116,4)</f>
        <v>0.67569999999999997</v>
      </c>
      <c r="J119" s="3386">
        <f t="shared" si="35"/>
        <v>0.67569999999999997</v>
      </c>
      <c r="K119" s="3386">
        <f t="shared" si="35"/>
        <v>0.67569999999999997</v>
      </c>
      <c r="L119" s="3386">
        <f t="shared" si="35"/>
        <v>0.67569999999999997</v>
      </c>
      <c r="M119" s="3409">
        <f t="shared" si="35"/>
        <v>0.67569999999999997</v>
      </c>
      <c r="N119" s="3396"/>
    </row>
    <row r="120" spans="1:14">
      <c r="A120" s="3408" t="s">
        <v>3334</v>
      </c>
      <c r="B120" s="3386">
        <f>ROUND(0.9448-0.0115*B116,4)</f>
        <v>0.84219999999999995</v>
      </c>
      <c r="C120" s="3386">
        <f>B120</f>
        <v>0.84219999999999995</v>
      </c>
      <c r="D120" s="3386">
        <f>ROUND(0.937-0.0145*B116,4)</f>
        <v>0.80769999999999997</v>
      </c>
      <c r="E120" s="3386">
        <f t="shared" si="36"/>
        <v>0.80769999999999997</v>
      </c>
      <c r="F120" s="3386">
        <f t="shared" si="36"/>
        <v>0.80769999999999997</v>
      </c>
      <c r="G120" s="3386">
        <f t="shared" si="36"/>
        <v>0.80769999999999997</v>
      </c>
      <c r="H120" s="3386">
        <f t="shared" si="36"/>
        <v>0.80769999999999997</v>
      </c>
      <c r="I120" s="3386">
        <f>ROUND(0.7965-0.0185*B116,4)</f>
        <v>0.63149999999999995</v>
      </c>
      <c r="J120" s="3386">
        <f t="shared" si="35"/>
        <v>0.63149999999999995</v>
      </c>
      <c r="K120" s="3386">
        <f t="shared" si="35"/>
        <v>0.63149999999999995</v>
      </c>
      <c r="L120" s="3386">
        <f t="shared" si="35"/>
        <v>0.63149999999999995</v>
      </c>
      <c r="M120" s="3409">
        <f t="shared" si="35"/>
        <v>0.63149999999999995</v>
      </c>
      <c r="N120" s="3396"/>
    </row>
    <row r="121" spans="1:14" ht="13.5" thickBot="1">
      <c r="A121" s="3410" t="s">
        <v>3335</v>
      </c>
      <c r="B121" s="3411">
        <f>ROUND(0.7836-0.012*B116,4)</f>
        <v>0.67659999999999998</v>
      </c>
      <c r="C121" s="3411">
        <f>B121</f>
        <v>0.67659999999999998</v>
      </c>
      <c r="D121" s="3411">
        <f>ROUND(0.753-0.015*B116,4)</f>
        <v>0.61919999999999997</v>
      </c>
      <c r="E121" s="3411">
        <f>D121</f>
        <v>0.61919999999999997</v>
      </c>
      <c r="F121" s="3411">
        <f>E121</f>
        <v>0.61919999999999997</v>
      </c>
      <c r="G121" s="3411">
        <f>ROUND(0.6612-0.018*B116,4)</f>
        <v>0.50060000000000004</v>
      </c>
      <c r="H121" s="3411">
        <f>G121</f>
        <v>0.50060000000000004</v>
      </c>
      <c r="I121" s="3411">
        <f>ROUND(0.5905-0.019*B116,4)</f>
        <v>0.42099999999999999</v>
      </c>
      <c r="J121" s="3411">
        <f t="shared" si="35"/>
        <v>0.42099999999999999</v>
      </c>
      <c r="K121" s="3411">
        <f t="shared" si="35"/>
        <v>0.42099999999999999</v>
      </c>
      <c r="L121" s="3411">
        <f t="shared" si="35"/>
        <v>0.42099999999999999</v>
      </c>
      <c r="M121" s="3412">
        <f t="shared" si="35"/>
        <v>0.42099999999999999</v>
      </c>
      <c r="N121" s="3396"/>
    </row>
    <row r="122" spans="1:14">
      <c r="A122" s="3413" t="s">
        <v>2616</v>
      </c>
      <c r="B122" s="3386">
        <f>ROUND(0.9404-0.0106*B116,4)</f>
        <v>0.8458</v>
      </c>
      <c r="C122" s="3386">
        <f>B122</f>
        <v>0.8458</v>
      </c>
      <c r="D122" s="3386">
        <f>ROUND(0.8955-0.0135*B116,4)</f>
        <v>0.77510000000000001</v>
      </c>
      <c r="E122" s="3386">
        <f t="shared" ref="E122:H122" si="37">D122</f>
        <v>0.77510000000000001</v>
      </c>
      <c r="F122" s="3386">
        <f t="shared" si="37"/>
        <v>0.77510000000000001</v>
      </c>
      <c r="G122" s="3386">
        <f t="shared" si="37"/>
        <v>0.77510000000000001</v>
      </c>
      <c r="H122" s="3386">
        <f t="shared" si="37"/>
        <v>0.77510000000000001</v>
      </c>
      <c r="I122" s="3386">
        <f>ROUND(0.7632-0.0166*B116,4)</f>
        <v>0.61509999999999998</v>
      </c>
      <c r="J122" s="3386">
        <f t="shared" si="35"/>
        <v>0.61509999999999998</v>
      </c>
      <c r="K122" s="3386">
        <f t="shared" si="35"/>
        <v>0.61509999999999998</v>
      </c>
      <c r="L122" s="3386">
        <f t="shared" si="35"/>
        <v>0.61509999999999998</v>
      </c>
      <c r="M122" s="3409">
        <f t="shared" si="35"/>
        <v>0.61509999999999998</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9" t="s">
        <v>2611</v>
      </c>
      <c r="B20" s="3762" t="s">
        <v>2632</v>
      </c>
      <c r="C20" s="3103" t="s">
        <v>2443</v>
      </c>
      <c r="D20" s="3104"/>
      <c r="E20" s="3105">
        <v>1</v>
      </c>
      <c r="F20" s="3106" t="s">
        <v>2444</v>
      </c>
      <c r="G20" s="3106"/>
    </row>
    <row r="21" spans="1:13" ht="19.5" customHeight="1">
      <c r="A21" s="3770"/>
      <c r="B21" s="3763"/>
      <c r="C21" s="3107" t="s">
        <v>2445</v>
      </c>
      <c r="D21" s="3108"/>
      <c r="E21" s="3109">
        <v>1</v>
      </c>
      <c r="F21" s="3106" t="s">
        <v>2446</v>
      </c>
      <c r="G21" s="3106"/>
    </row>
    <row r="22" spans="1:13" ht="19.5" customHeight="1">
      <c r="A22" s="3770"/>
      <c r="B22" s="3763"/>
      <c r="C22" s="3107" t="s">
        <v>2447</v>
      </c>
      <c r="D22" s="3108"/>
      <c r="E22" s="3109">
        <v>0.9</v>
      </c>
      <c r="F22" s="3106" t="s">
        <v>2448</v>
      </c>
      <c r="G22" s="3106"/>
    </row>
    <row r="23" spans="1:13" ht="19.5" customHeight="1">
      <c r="A23" s="3770"/>
      <c r="B23" s="3763"/>
      <c r="C23" s="3107" t="s">
        <v>2449</v>
      </c>
      <c r="D23" s="3108"/>
      <c r="E23" s="3109">
        <v>0.9</v>
      </c>
      <c r="F23" s="3106" t="s">
        <v>2450</v>
      </c>
      <c r="G23" s="3106"/>
    </row>
    <row r="24" spans="1:13" ht="19.5" customHeight="1">
      <c r="A24" s="3770"/>
      <c r="B24" s="3763"/>
      <c r="C24" s="3107" t="s">
        <v>2451</v>
      </c>
      <c r="D24" s="3108"/>
      <c r="E24" s="3109">
        <v>0.8</v>
      </c>
      <c r="F24" s="3106" t="s">
        <v>2452</v>
      </c>
      <c r="G24" s="3106"/>
    </row>
    <row r="25" spans="1:13" ht="19.5" customHeight="1" thickBot="1">
      <c r="A25" s="3771"/>
      <c r="B25" s="376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5" t="s">
        <v>2635</v>
      </c>
      <c r="B27" s="3762" t="s">
        <v>2616</v>
      </c>
      <c r="C27" s="3103" t="s">
        <v>2456</v>
      </c>
      <c r="D27" s="3104"/>
      <c r="E27" s="3105">
        <v>1</v>
      </c>
      <c r="F27" s="3106" t="s">
        <v>2457</v>
      </c>
      <c r="G27" s="3106"/>
    </row>
    <row r="28" spans="1:13" ht="19.5" customHeight="1">
      <c r="A28" s="3766"/>
      <c r="B28" s="3763"/>
      <c r="C28" s="3107" t="s">
        <v>2458</v>
      </c>
      <c r="D28" s="3108"/>
      <c r="E28" s="3109">
        <v>1</v>
      </c>
      <c r="F28" s="3106" t="s">
        <v>2459</v>
      </c>
      <c r="G28" s="3106"/>
    </row>
    <row r="29" spans="1:13" ht="19.5" customHeight="1">
      <c r="A29" s="3766"/>
      <c r="B29" s="3763"/>
      <c r="C29" s="3107" t="s">
        <v>2460</v>
      </c>
      <c r="D29" s="3108"/>
      <c r="E29" s="3109">
        <v>0.8</v>
      </c>
      <c r="F29" s="3106" t="s">
        <v>2461</v>
      </c>
      <c r="G29" s="3106"/>
    </row>
    <row r="30" spans="1:13" ht="19.5" customHeight="1">
      <c r="A30" s="3766"/>
      <c r="B30" s="3763"/>
      <c r="C30" s="3107" t="s">
        <v>2462</v>
      </c>
      <c r="D30" s="3108"/>
      <c r="E30" s="3109">
        <v>0.8</v>
      </c>
      <c r="F30" s="3106" t="s">
        <v>2463</v>
      </c>
      <c r="G30" s="3106"/>
    </row>
    <row r="31" spans="1:13" ht="19.5" customHeight="1">
      <c r="A31" s="3766"/>
      <c r="B31" s="3763"/>
      <c r="C31" s="3107" t="s">
        <v>2464</v>
      </c>
      <c r="D31" s="3108"/>
      <c r="E31" s="3109">
        <v>0.8</v>
      </c>
      <c r="F31" s="3106" t="s">
        <v>2465</v>
      </c>
      <c r="G31" s="3106"/>
    </row>
    <row r="32" spans="1:13" ht="19.5" customHeight="1">
      <c r="A32" s="3766"/>
      <c r="B32" s="3763"/>
      <c r="C32" s="3107" t="s">
        <v>2466</v>
      </c>
      <c r="D32" s="3108"/>
      <c r="E32" s="3109">
        <v>0.7</v>
      </c>
      <c r="F32" s="3106" t="s">
        <v>2467</v>
      </c>
      <c r="G32" s="3106"/>
    </row>
    <row r="33" spans="1:7" ht="19.5" customHeight="1">
      <c r="A33" s="3766"/>
      <c r="B33" s="3763"/>
      <c r="C33" s="3107" t="s">
        <v>2468</v>
      </c>
      <c r="D33" s="3108"/>
      <c r="E33" s="3109">
        <v>0.8</v>
      </c>
      <c r="F33" s="3106" t="s">
        <v>2469</v>
      </c>
      <c r="G33" s="3106"/>
    </row>
    <row r="34" spans="1:7" ht="19.5" customHeight="1">
      <c r="A34" s="3766"/>
      <c r="B34" s="3763"/>
      <c r="C34" s="3107" t="s">
        <v>2470</v>
      </c>
      <c r="D34" s="3108"/>
      <c r="E34" s="3109">
        <v>0.6</v>
      </c>
      <c r="F34" s="3106" t="s">
        <v>2471</v>
      </c>
      <c r="G34" s="3106"/>
    </row>
    <row r="35" spans="1:7" ht="19.5" customHeight="1">
      <c r="A35" s="3766"/>
      <c r="B35" s="3763"/>
      <c r="C35" s="3107" t="s">
        <v>2472</v>
      </c>
      <c r="D35" s="3108"/>
      <c r="E35" s="3109">
        <v>0.2</v>
      </c>
      <c r="F35" s="3106" t="s">
        <v>2473</v>
      </c>
      <c r="G35" s="3106"/>
    </row>
    <row r="36" spans="1:7" ht="19.5" customHeight="1">
      <c r="A36" s="3766"/>
      <c r="B36" s="3763"/>
      <c r="C36" s="3107" t="s">
        <v>2474</v>
      </c>
      <c r="D36" s="3108"/>
      <c r="E36" s="3109">
        <v>0.2</v>
      </c>
      <c r="F36" s="3106" t="s">
        <v>2475</v>
      </c>
      <c r="G36" s="3106"/>
    </row>
    <row r="37" spans="1:7" ht="19.5" customHeight="1">
      <c r="A37" s="3766"/>
      <c r="B37" s="3768" t="s">
        <v>2636</v>
      </c>
      <c r="C37" s="3107" t="s">
        <v>2476</v>
      </c>
      <c r="D37" s="3108"/>
      <c r="E37" s="3109">
        <v>0.6</v>
      </c>
      <c r="F37" s="3106" t="s">
        <v>2477</v>
      </c>
      <c r="G37" s="3106"/>
    </row>
    <row r="38" spans="1:7" ht="19.5" customHeight="1">
      <c r="A38" s="3766"/>
      <c r="B38" s="3763"/>
      <c r="C38" s="3107" t="s">
        <v>2478</v>
      </c>
      <c r="D38" s="3108"/>
      <c r="E38" s="3109">
        <v>0.6</v>
      </c>
      <c r="F38" s="3106" t="s">
        <v>2479</v>
      </c>
      <c r="G38" s="3106"/>
    </row>
    <row r="39" spans="1:7" ht="19.5" customHeight="1" thickBot="1">
      <c r="A39" s="3767"/>
      <c r="B39" s="376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9" t="s">
        <v>2614</v>
      </c>
      <c r="B41" s="3762" t="s">
        <v>2638</v>
      </c>
      <c r="C41" s="3103" t="s">
        <v>2483</v>
      </c>
      <c r="D41" s="3104"/>
      <c r="E41" s="3105">
        <v>1</v>
      </c>
      <c r="F41" s="3106" t="s">
        <v>2484</v>
      </c>
      <c r="G41" s="3106"/>
    </row>
    <row r="42" spans="1:7" ht="19.5" customHeight="1">
      <c r="A42" s="3770"/>
      <c r="B42" s="3763"/>
      <c r="C42" s="3107" t="s">
        <v>2485</v>
      </c>
      <c r="D42" s="3108"/>
      <c r="E42" s="3109">
        <v>1</v>
      </c>
      <c r="F42" s="3106" t="s">
        <v>2486</v>
      </c>
      <c r="G42" s="3106"/>
    </row>
    <row r="43" spans="1:7" ht="19.5" customHeight="1">
      <c r="A43" s="3770"/>
      <c r="B43" s="3772"/>
      <c r="C43" s="3107" t="s">
        <v>2487</v>
      </c>
      <c r="D43" s="3108"/>
      <c r="E43" s="3109">
        <v>1.5</v>
      </c>
      <c r="F43" s="3106" t="s">
        <v>2488</v>
      </c>
      <c r="G43" s="3106"/>
    </row>
    <row r="44" spans="1:7" ht="19.5" customHeight="1">
      <c r="A44" s="3770"/>
      <c r="B44" s="3118" t="s">
        <v>2639</v>
      </c>
      <c r="C44" s="3107" t="s">
        <v>2640</v>
      </c>
      <c r="D44" s="3108"/>
      <c r="E44" s="3109">
        <v>2</v>
      </c>
      <c r="F44" s="3106" t="s">
        <v>2489</v>
      </c>
      <c r="G44" s="3106"/>
    </row>
    <row r="45" spans="1:7" ht="19.5" customHeight="1">
      <c r="A45" s="3770"/>
      <c r="B45" s="3768" t="s">
        <v>2641</v>
      </c>
      <c r="C45" s="3107" t="s">
        <v>2490</v>
      </c>
      <c r="D45" s="3108"/>
      <c r="E45" s="3109">
        <v>1</v>
      </c>
      <c r="F45" s="3106" t="s">
        <v>2491</v>
      </c>
      <c r="G45" s="3106"/>
    </row>
    <row r="46" spans="1:7" ht="19.5" customHeight="1">
      <c r="A46" s="3770"/>
      <c r="B46" s="3763"/>
      <c r="C46" s="3107" t="s">
        <v>2492</v>
      </c>
      <c r="D46" s="3108"/>
      <c r="E46" s="3109">
        <v>1</v>
      </c>
      <c r="F46" s="3106" t="s">
        <v>2493</v>
      </c>
      <c r="G46" s="3106"/>
    </row>
    <row r="47" spans="1:7" ht="19.5" customHeight="1">
      <c r="A47" s="3770"/>
      <c r="B47" s="3763"/>
      <c r="C47" s="3107" t="s">
        <v>2494</v>
      </c>
      <c r="D47" s="3108"/>
      <c r="E47" s="3109">
        <v>1</v>
      </c>
      <c r="F47" s="3106" t="s">
        <v>2495</v>
      </c>
      <c r="G47" s="3106"/>
    </row>
    <row r="48" spans="1:7" ht="19.5" customHeight="1">
      <c r="A48" s="3770"/>
      <c r="B48" s="3763"/>
      <c r="C48" s="3107" t="s">
        <v>2496</v>
      </c>
      <c r="D48" s="3108"/>
      <c r="E48" s="3109">
        <v>1</v>
      </c>
      <c r="F48" s="3106" t="s">
        <v>2497</v>
      </c>
      <c r="G48" s="3106"/>
    </row>
    <row r="49" spans="1:7" ht="19.5" customHeight="1">
      <c r="A49" s="3770"/>
      <c r="B49" s="3763"/>
      <c r="C49" s="3107" t="s">
        <v>2498</v>
      </c>
      <c r="D49" s="3108"/>
      <c r="E49" s="3109">
        <v>1</v>
      </c>
      <c r="F49" s="3106" t="s">
        <v>2499</v>
      </c>
      <c r="G49" s="3106"/>
    </row>
    <row r="50" spans="1:7" ht="19.5" customHeight="1">
      <c r="A50" s="3770"/>
      <c r="B50" s="3763"/>
      <c r="C50" s="3107" t="s">
        <v>2500</v>
      </c>
      <c r="D50" s="3108"/>
      <c r="E50" s="3109">
        <v>1</v>
      </c>
      <c r="F50" s="3106" t="s">
        <v>2501</v>
      </c>
      <c r="G50" s="3106"/>
    </row>
    <row r="51" spans="1:7" ht="19.5" customHeight="1" thickBot="1">
      <c r="A51" s="3771"/>
      <c r="B51" s="376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8" t="s">
        <v>2655</v>
      </c>
      <c r="C73" s="3092" t="s">
        <v>2656</v>
      </c>
      <c r="D73" s="3092" t="s">
        <v>2657</v>
      </c>
      <c r="E73" s="3118">
        <v>0.2</v>
      </c>
      <c r="F73" s="3118">
        <v>25</v>
      </c>
    </row>
    <row r="74" spans="1:7" ht="24">
      <c r="A74" s="3118">
        <v>2</v>
      </c>
      <c r="B74" s="3763"/>
      <c r="C74" s="3092" t="s">
        <v>2658</v>
      </c>
      <c r="D74" s="3092" t="s">
        <v>2659</v>
      </c>
      <c r="E74" s="3118">
        <v>0.2</v>
      </c>
      <c r="F74" s="3118">
        <v>25</v>
      </c>
    </row>
    <row r="75" spans="1:7" ht="24">
      <c r="A75" s="3118">
        <v>3</v>
      </c>
      <c r="B75" s="3763"/>
      <c r="C75" s="3092" t="s">
        <v>2660</v>
      </c>
      <c r="D75" s="3092" t="s">
        <v>2661</v>
      </c>
      <c r="E75" s="3118">
        <v>0.2</v>
      </c>
      <c r="F75" s="3118">
        <v>25</v>
      </c>
    </row>
    <row r="76" spans="1:7" ht="13.5">
      <c r="A76" s="3118">
        <v>4</v>
      </c>
      <c r="B76" s="3763"/>
      <c r="C76" s="3092" t="s">
        <v>2662</v>
      </c>
      <c r="D76" s="3092" t="s">
        <v>2663</v>
      </c>
      <c r="E76" s="3118">
        <v>0.15</v>
      </c>
      <c r="F76" s="3118">
        <v>20</v>
      </c>
    </row>
    <row r="77" spans="1:7" ht="24">
      <c r="A77" s="3118">
        <v>5</v>
      </c>
      <c r="B77" s="3763"/>
      <c r="C77" s="3092" t="s">
        <v>2664</v>
      </c>
      <c r="D77" s="3092" t="s">
        <v>2665</v>
      </c>
      <c r="E77" s="3118">
        <v>0.15</v>
      </c>
      <c r="F77" s="3118">
        <v>20</v>
      </c>
    </row>
    <row r="78" spans="1:7" ht="24">
      <c r="A78" s="3118">
        <v>6</v>
      </c>
      <c r="B78" s="3763"/>
      <c r="C78" s="3092" t="s">
        <v>2666</v>
      </c>
      <c r="D78" s="3092" t="s">
        <v>2667</v>
      </c>
      <c r="E78" s="3118">
        <v>0.15</v>
      </c>
      <c r="F78" s="3118">
        <v>20</v>
      </c>
    </row>
    <row r="79" spans="1:7" ht="24">
      <c r="A79" s="3118">
        <v>7</v>
      </c>
      <c r="B79" s="3763"/>
      <c r="C79" s="3092" t="s">
        <v>2668</v>
      </c>
      <c r="D79" s="3092" t="s">
        <v>2669</v>
      </c>
      <c r="E79" s="3118">
        <v>0.15</v>
      </c>
      <c r="F79" s="3118">
        <v>20</v>
      </c>
    </row>
    <row r="80" spans="1:7" ht="24">
      <c r="A80" s="3118">
        <v>8</v>
      </c>
      <c r="B80" s="3763"/>
      <c r="C80" s="3092" t="s">
        <v>2670</v>
      </c>
      <c r="D80" s="3092" t="s">
        <v>2671</v>
      </c>
      <c r="E80" s="3118">
        <v>0.1</v>
      </c>
      <c r="F80" s="3118">
        <v>15</v>
      </c>
    </row>
    <row r="81" spans="1:6" ht="24">
      <c r="A81" s="3118">
        <v>9</v>
      </c>
      <c r="B81" s="3763"/>
      <c r="C81" s="3092" t="s">
        <v>2672</v>
      </c>
      <c r="D81" s="3092" t="s">
        <v>2673</v>
      </c>
      <c r="E81" s="3118">
        <v>0.1</v>
      </c>
      <c r="F81" s="3118">
        <v>15</v>
      </c>
    </row>
    <row r="82" spans="1:6" ht="24">
      <c r="A82" s="3118">
        <v>10</v>
      </c>
      <c r="B82" s="3763"/>
      <c r="C82" s="3092" t="s">
        <v>2674</v>
      </c>
      <c r="D82" s="3092" t="s">
        <v>2675</v>
      </c>
      <c r="E82" s="3118">
        <v>0.1</v>
      </c>
      <c r="F82" s="3118">
        <v>15</v>
      </c>
    </row>
    <row r="83" spans="1:6" ht="24">
      <c r="A83" s="3118">
        <v>11</v>
      </c>
      <c r="B83" s="3763"/>
      <c r="C83" s="3092" t="s">
        <v>2676</v>
      </c>
      <c r="D83" s="3092" t="s">
        <v>2677</v>
      </c>
      <c r="E83" s="3118">
        <v>0.1</v>
      </c>
      <c r="F83" s="3118">
        <v>15</v>
      </c>
    </row>
    <row r="84" spans="1:6" ht="24">
      <c r="A84" s="3118">
        <v>12</v>
      </c>
      <c r="B84" s="3763"/>
      <c r="C84" s="3092" t="s">
        <v>2678</v>
      </c>
      <c r="D84" s="3092" t="s">
        <v>2679</v>
      </c>
      <c r="E84" s="3118">
        <v>0.1</v>
      </c>
      <c r="F84" s="3118">
        <v>15</v>
      </c>
    </row>
    <row r="85" spans="1:6" ht="13.5">
      <c r="A85" s="3118">
        <v>13</v>
      </c>
      <c r="B85" s="3763"/>
      <c r="C85" s="3092" t="s">
        <v>2680</v>
      </c>
      <c r="D85" s="3092" t="s">
        <v>2681</v>
      </c>
      <c r="E85" s="3118">
        <v>0.1</v>
      </c>
      <c r="F85" s="3118">
        <v>15</v>
      </c>
    </row>
    <row r="86" spans="1:6" ht="13.5">
      <c r="A86" s="3118">
        <v>14</v>
      </c>
      <c r="B86" s="3763"/>
      <c r="C86" s="3092" t="s">
        <v>2682</v>
      </c>
      <c r="D86" s="3092" t="s">
        <v>2683</v>
      </c>
      <c r="E86" s="3118">
        <v>0.1</v>
      </c>
      <c r="F86" s="3118">
        <v>15</v>
      </c>
    </row>
    <row r="87" spans="1:6" ht="13.5">
      <c r="A87" s="3118">
        <v>15</v>
      </c>
      <c r="B87" s="3763"/>
      <c r="C87" s="3092" t="s">
        <v>2684</v>
      </c>
      <c r="D87" s="3092" t="s">
        <v>2685</v>
      </c>
      <c r="E87" s="3118">
        <v>0.1</v>
      </c>
      <c r="F87" s="3118">
        <v>15</v>
      </c>
    </row>
    <row r="88" spans="1:6" ht="24">
      <c r="A88" s="3118">
        <v>16</v>
      </c>
      <c r="B88" s="3763"/>
      <c r="C88" s="3092" t="s">
        <v>2686</v>
      </c>
      <c r="D88" s="3092" t="s">
        <v>2687</v>
      </c>
      <c r="E88" s="3118">
        <v>0.1</v>
      </c>
      <c r="F88" s="3118">
        <v>15</v>
      </c>
    </row>
    <row r="89" spans="1:6" ht="24">
      <c r="A89" s="3118">
        <v>17</v>
      </c>
      <c r="B89" s="3772"/>
      <c r="C89" s="3092" t="s">
        <v>2688</v>
      </c>
      <c r="D89" s="3092" t="s">
        <v>2689</v>
      </c>
      <c r="E89" s="3118">
        <v>0.1</v>
      </c>
      <c r="F89" s="3118">
        <v>15</v>
      </c>
    </row>
    <row r="90" spans="1:6" ht="13.5">
      <c r="A90" s="3118">
        <v>18</v>
      </c>
      <c r="B90" s="3768" t="s">
        <v>2690</v>
      </c>
      <c r="C90" s="3092" t="s">
        <v>2691</v>
      </c>
      <c r="D90" s="3092" t="s">
        <v>2692</v>
      </c>
      <c r="E90" s="3118">
        <v>0.2</v>
      </c>
      <c r="F90" s="3118">
        <v>25</v>
      </c>
    </row>
    <row r="91" spans="1:6" ht="24">
      <c r="A91" s="3118">
        <v>19</v>
      </c>
      <c r="B91" s="3763"/>
      <c r="C91" s="3092" t="s">
        <v>2693</v>
      </c>
      <c r="D91" s="3092" t="s">
        <v>2694</v>
      </c>
      <c r="E91" s="3118">
        <v>0.2</v>
      </c>
      <c r="F91" s="3118">
        <v>25</v>
      </c>
    </row>
    <row r="92" spans="1:6" ht="13.5">
      <c r="A92" s="3118">
        <v>20</v>
      </c>
      <c r="B92" s="3763"/>
      <c r="C92" s="3092" t="s">
        <v>2695</v>
      </c>
      <c r="D92" s="3092" t="s">
        <v>2696</v>
      </c>
      <c r="E92" s="3118">
        <v>0.15</v>
      </c>
      <c r="F92" s="3118">
        <v>20</v>
      </c>
    </row>
    <row r="93" spans="1:6" ht="13.5">
      <c r="A93" s="3118">
        <v>21</v>
      </c>
      <c r="B93" s="3763"/>
      <c r="C93" s="3092" t="s">
        <v>2697</v>
      </c>
      <c r="D93" s="3092" t="s">
        <v>2698</v>
      </c>
      <c r="E93" s="3118">
        <v>0.15</v>
      </c>
      <c r="F93" s="3118">
        <v>20</v>
      </c>
    </row>
    <row r="94" spans="1:6" ht="13.5">
      <c r="A94" s="3118">
        <v>22</v>
      </c>
      <c r="B94" s="3763"/>
      <c r="C94" s="3092" t="s">
        <v>2699</v>
      </c>
      <c r="D94" s="3092" t="s">
        <v>2700</v>
      </c>
      <c r="E94" s="3118">
        <v>0.15</v>
      </c>
      <c r="F94" s="3118">
        <v>20</v>
      </c>
    </row>
    <row r="95" spans="1:6" ht="36">
      <c r="A95" s="3118">
        <v>23</v>
      </c>
      <c r="B95" s="3763"/>
      <c r="C95" s="3092" t="s">
        <v>2701</v>
      </c>
      <c r="D95" s="3092" t="s">
        <v>2702</v>
      </c>
      <c r="E95" s="3118">
        <v>0.15</v>
      </c>
      <c r="F95" s="3118">
        <v>20</v>
      </c>
    </row>
    <row r="96" spans="1:6" ht="13.5">
      <c r="A96" s="3118">
        <v>24</v>
      </c>
      <c r="B96" s="3763"/>
      <c r="C96" s="3092" t="s">
        <v>2703</v>
      </c>
      <c r="D96" s="3092" t="s">
        <v>2704</v>
      </c>
      <c r="E96" s="3118">
        <v>0.1</v>
      </c>
      <c r="F96" s="3118">
        <v>15</v>
      </c>
    </row>
    <row r="97" spans="1:6" ht="13.5">
      <c r="A97" s="3118">
        <v>25</v>
      </c>
      <c r="B97" s="3763"/>
      <c r="C97" s="3092" t="s">
        <v>2705</v>
      </c>
      <c r="D97" s="3092" t="s">
        <v>2706</v>
      </c>
      <c r="E97" s="3118">
        <v>0.1</v>
      </c>
      <c r="F97" s="3118">
        <v>15</v>
      </c>
    </row>
    <row r="98" spans="1:6" ht="24">
      <c r="A98" s="3118">
        <v>26</v>
      </c>
      <c r="B98" s="3763"/>
      <c r="C98" s="3092" t="s">
        <v>2707</v>
      </c>
      <c r="D98" s="3092" t="s">
        <v>2708</v>
      </c>
      <c r="E98" s="3118">
        <v>0.1</v>
      </c>
      <c r="F98" s="3118">
        <v>15</v>
      </c>
    </row>
    <row r="99" spans="1:6" ht="24">
      <c r="A99" s="3118">
        <v>27</v>
      </c>
      <c r="B99" s="3763"/>
      <c r="C99" s="3092" t="s">
        <v>2709</v>
      </c>
      <c r="D99" s="3092" t="s">
        <v>2710</v>
      </c>
      <c r="E99" s="3118">
        <v>0.1</v>
      </c>
      <c r="F99" s="3118">
        <v>15</v>
      </c>
    </row>
    <row r="100" spans="1:6" ht="13.5">
      <c r="A100" s="3118">
        <v>28</v>
      </c>
      <c r="B100" s="3763"/>
      <c r="C100" s="3092" t="s">
        <v>2711</v>
      </c>
      <c r="D100" s="3092" t="s">
        <v>2712</v>
      </c>
      <c r="E100" s="3118">
        <v>0.1</v>
      </c>
      <c r="F100" s="3118">
        <v>15</v>
      </c>
    </row>
    <row r="101" spans="1:6" ht="13.5">
      <c r="A101" s="3118">
        <v>29</v>
      </c>
      <c r="B101" s="3763"/>
      <c r="C101" s="3092" t="s">
        <v>2713</v>
      </c>
      <c r="D101" s="3092" t="s">
        <v>2714</v>
      </c>
      <c r="E101" s="3118">
        <v>0.1</v>
      </c>
      <c r="F101" s="3118">
        <v>15</v>
      </c>
    </row>
    <row r="102" spans="1:6" ht="13.5">
      <c r="A102" s="3118">
        <v>30</v>
      </c>
      <c r="B102" s="3763"/>
      <c r="C102" s="3092" t="s">
        <v>2715</v>
      </c>
      <c r="D102" s="3092" t="s">
        <v>2716</v>
      </c>
      <c r="E102" s="3118">
        <v>0.1</v>
      </c>
      <c r="F102" s="3118">
        <v>15</v>
      </c>
    </row>
    <row r="103" spans="1:6" ht="24">
      <c r="A103" s="3118">
        <v>31</v>
      </c>
      <c r="B103" s="3763"/>
      <c r="C103" s="3092" t="s">
        <v>2717</v>
      </c>
      <c r="D103" s="3092" t="s">
        <v>2718</v>
      </c>
      <c r="E103" s="3118">
        <v>0.1</v>
      </c>
      <c r="F103" s="3118">
        <v>15</v>
      </c>
    </row>
    <row r="104" spans="1:6" ht="24">
      <c r="A104" s="3118">
        <v>32</v>
      </c>
      <c r="B104" s="3763"/>
      <c r="C104" s="3092" t="s">
        <v>2719</v>
      </c>
      <c r="D104" s="3092" t="s">
        <v>2720</v>
      </c>
      <c r="E104" s="3118">
        <v>0.1</v>
      </c>
      <c r="F104" s="3118">
        <v>15</v>
      </c>
    </row>
    <row r="105" spans="1:6" ht="24">
      <c r="A105" s="3118">
        <v>33</v>
      </c>
      <c r="B105" s="3763"/>
      <c r="C105" s="3092" t="s">
        <v>2721</v>
      </c>
      <c r="D105" s="3092" t="s">
        <v>2722</v>
      </c>
      <c r="E105" s="3118">
        <v>0.1</v>
      </c>
      <c r="F105" s="3118">
        <v>15</v>
      </c>
    </row>
    <row r="106" spans="1:6" ht="24">
      <c r="A106" s="3118">
        <v>34</v>
      </c>
      <c r="B106" s="3772"/>
      <c r="C106" s="3092" t="s">
        <v>2723</v>
      </c>
      <c r="D106" s="3092" t="s">
        <v>2724</v>
      </c>
      <c r="E106" s="3118">
        <v>0.1</v>
      </c>
      <c r="F106" s="3118">
        <v>15</v>
      </c>
    </row>
    <row r="107" spans="1:6" ht="24">
      <c r="A107" s="3118">
        <v>35</v>
      </c>
      <c r="B107" s="3768" t="s">
        <v>2725</v>
      </c>
      <c r="C107" s="3118" t="s">
        <v>2726</v>
      </c>
      <c r="D107" s="3092" t="s">
        <v>2727</v>
      </c>
      <c r="E107" s="3118">
        <v>0.15</v>
      </c>
      <c r="F107" s="3118">
        <v>20</v>
      </c>
    </row>
    <row r="108" spans="1:6" ht="13.5">
      <c r="A108" s="3118">
        <v>36</v>
      </c>
      <c r="B108" s="3763"/>
      <c r="C108" s="3118" t="s">
        <v>2728</v>
      </c>
      <c r="D108" s="3092" t="s">
        <v>2729</v>
      </c>
      <c r="E108" s="3118">
        <v>0.15</v>
      </c>
      <c r="F108" s="3118">
        <v>20</v>
      </c>
    </row>
    <row r="109" spans="1:6" ht="13.5">
      <c r="A109" s="3118">
        <v>37</v>
      </c>
      <c r="B109" s="3763"/>
      <c r="C109" s="3118" t="s">
        <v>2730</v>
      </c>
      <c r="D109" s="3092" t="s">
        <v>2731</v>
      </c>
      <c r="E109" s="3118">
        <v>0.15</v>
      </c>
      <c r="F109" s="3118">
        <v>20</v>
      </c>
    </row>
    <row r="110" spans="1:6" ht="13.5">
      <c r="A110" s="3118">
        <v>38</v>
      </c>
      <c r="B110" s="3763"/>
      <c r="C110" s="3118" t="s">
        <v>2732</v>
      </c>
      <c r="D110" s="3092" t="s">
        <v>2733</v>
      </c>
      <c r="E110" s="3118">
        <v>0.1</v>
      </c>
      <c r="F110" s="3118">
        <v>15</v>
      </c>
    </row>
    <row r="111" spans="1:6" ht="24">
      <c r="A111" s="3118">
        <v>39</v>
      </c>
      <c r="B111" s="3763"/>
      <c r="C111" s="3118" t="s">
        <v>2734</v>
      </c>
      <c r="D111" s="3092" t="s">
        <v>2735</v>
      </c>
      <c r="E111" s="3118">
        <v>0.1</v>
      </c>
      <c r="F111" s="3118">
        <v>15</v>
      </c>
    </row>
    <row r="112" spans="1:6" ht="24">
      <c r="A112" s="3118">
        <v>40</v>
      </c>
      <c r="B112" s="3772"/>
      <c r="C112" s="3118" t="s">
        <v>2736</v>
      </c>
      <c r="D112" s="3092" t="s">
        <v>2737</v>
      </c>
      <c r="E112" s="3118">
        <v>0.1</v>
      </c>
      <c r="F112" s="3118">
        <v>15</v>
      </c>
    </row>
    <row r="113" spans="1:6" ht="13.5">
      <c r="A113" s="3118">
        <v>41</v>
      </c>
      <c r="B113" s="3773" t="s">
        <v>2738</v>
      </c>
      <c r="C113" s="3118" t="s">
        <v>2739</v>
      </c>
      <c r="D113" s="3092" t="s">
        <v>2740</v>
      </c>
      <c r="E113" s="3118">
        <v>0.1</v>
      </c>
      <c r="F113" s="3118">
        <v>15</v>
      </c>
    </row>
    <row r="114" spans="1:6" ht="13.5">
      <c r="A114" s="3118">
        <v>42</v>
      </c>
      <c r="B114" s="3773"/>
      <c r="C114" s="3118" t="s">
        <v>2741</v>
      </c>
      <c r="D114" s="3092" t="s">
        <v>2742</v>
      </c>
      <c r="E114" s="3118">
        <v>0.1</v>
      </c>
      <c r="F114" s="3118">
        <v>15</v>
      </c>
    </row>
    <row r="115" spans="1:6" ht="24">
      <c r="A115" s="3118">
        <v>43</v>
      </c>
      <c r="B115" s="3773"/>
      <c r="C115" s="3118" t="s">
        <v>2743</v>
      </c>
      <c r="D115" s="3092" t="s">
        <v>2744</v>
      </c>
      <c r="E115" s="3118">
        <v>0.1</v>
      </c>
      <c r="F115" s="3118">
        <v>15</v>
      </c>
    </row>
    <row r="116" spans="1:6" ht="13.5">
      <c r="A116" s="3118">
        <v>44</v>
      </c>
      <c r="B116" s="3768" t="s">
        <v>2745</v>
      </c>
      <c r="C116" s="3118" t="s">
        <v>2746</v>
      </c>
      <c r="D116" s="3092" t="s">
        <v>2747</v>
      </c>
      <c r="E116" s="3118">
        <v>0.1</v>
      </c>
      <c r="F116" s="3118">
        <v>15</v>
      </c>
    </row>
    <row r="117" spans="1:6" ht="24">
      <c r="A117" s="3118">
        <v>45</v>
      </c>
      <c r="B117" s="3772"/>
      <c r="C117" s="3092" t="s">
        <v>2748</v>
      </c>
      <c r="D117" s="3092" t="s">
        <v>2749</v>
      </c>
      <c r="E117" s="3118">
        <v>0.1</v>
      </c>
      <c r="F117" s="3118">
        <v>15</v>
      </c>
    </row>
    <row r="118" spans="1:6" ht="24">
      <c r="A118" s="3118">
        <v>46</v>
      </c>
      <c r="B118" s="3768" t="s">
        <v>2750</v>
      </c>
      <c r="C118" s="3118" t="s">
        <v>2751</v>
      </c>
      <c r="D118" s="3092" t="s">
        <v>2752</v>
      </c>
      <c r="E118" s="3118">
        <v>0.1</v>
      </c>
      <c r="F118" s="3118">
        <v>15</v>
      </c>
    </row>
    <row r="119" spans="1:6" ht="24">
      <c r="A119" s="3118">
        <v>47</v>
      </c>
      <c r="B119" s="3772"/>
      <c r="C119" s="3118" t="s">
        <v>2753</v>
      </c>
      <c r="D119" s="3092" t="s">
        <v>2754</v>
      </c>
      <c r="E119" s="3118">
        <v>0.1</v>
      </c>
      <c r="F119" s="3118">
        <v>15</v>
      </c>
    </row>
    <row r="120" spans="1:6" ht="13.5">
      <c r="A120" s="3118">
        <v>48</v>
      </c>
      <c r="B120" s="3768" t="s">
        <v>2755</v>
      </c>
      <c r="C120" s="3118" t="s">
        <v>2756</v>
      </c>
      <c r="D120" s="3092" t="s">
        <v>2757</v>
      </c>
      <c r="E120" s="3118">
        <v>0.1</v>
      </c>
      <c r="F120" s="3118">
        <v>15</v>
      </c>
    </row>
    <row r="121" spans="1:6" ht="13.5">
      <c r="A121" s="3118">
        <v>49</v>
      </c>
      <c r="B121" s="3772"/>
      <c r="C121" s="3118" t="s">
        <v>2758</v>
      </c>
      <c r="D121" s="3092" t="s">
        <v>2759</v>
      </c>
      <c r="E121" s="3118">
        <v>0.1</v>
      </c>
      <c r="F121" s="3118">
        <v>15</v>
      </c>
    </row>
    <row r="122" spans="1:6" ht="24">
      <c r="A122" s="3118">
        <v>50</v>
      </c>
      <c r="B122" s="3773" t="s">
        <v>2760</v>
      </c>
      <c r="C122" s="3118" t="s">
        <v>2761</v>
      </c>
      <c r="D122" s="3092" t="s">
        <v>2762</v>
      </c>
      <c r="E122" s="3118">
        <v>0.1</v>
      </c>
      <c r="F122" s="3118">
        <v>15</v>
      </c>
    </row>
    <row r="123" spans="1:6" ht="24">
      <c r="A123" s="3118">
        <v>51</v>
      </c>
      <c r="B123" s="3773"/>
      <c r="C123" s="3118" t="s">
        <v>2763</v>
      </c>
      <c r="D123" s="3092" t="s">
        <v>2764</v>
      </c>
      <c r="E123" s="3118">
        <v>0.1</v>
      </c>
      <c r="F123" s="3118">
        <v>15</v>
      </c>
    </row>
    <row r="124" spans="1:6" ht="24">
      <c r="A124" s="3118">
        <v>52</v>
      </c>
      <c r="B124" s="3773" t="s">
        <v>2765</v>
      </c>
      <c r="C124" s="3118" t="s">
        <v>2766</v>
      </c>
      <c r="D124" s="3092" t="s">
        <v>2767</v>
      </c>
      <c r="E124" s="3118">
        <v>0.1</v>
      </c>
      <c r="F124" s="3118">
        <v>15</v>
      </c>
    </row>
    <row r="125" spans="1:6" ht="24">
      <c r="A125" s="3118">
        <v>53</v>
      </c>
      <c r="B125" s="3773"/>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3" t="s">
        <v>2773</v>
      </c>
      <c r="C127" s="3118" t="s">
        <v>2774</v>
      </c>
      <c r="D127" s="3092" t="s">
        <v>2775</v>
      </c>
      <c r="E127" s="3118">
        <v>0.1</v>
      </c>
      <c r="F127" s="3118">
        <v>15</v>
      </c>
    </row>
    <row r="128" spans="1:6" ht="13.5">
      <c r="A128" s="3118">
        <v>56</v>
      </c>
      <c r="B128" s="3773"/>
      <c r="C128" s="3118" t="s">
        <v>2776</v>
      </c>
      <c r="D128" s="3092" t="s">
        <v>2777</v>
      </c>
      <c r="E128" s="3118">
        <v>0.1</v>
      </c>
      <c r="F128" s="3118">
        <v>15</v>
      </c>
    </row>
    <row r="129" spans="1:6" ht="24">
      <c r="A129" s="3118">
        <v>57</v>
      </c>
      <c r="B129" s="3773"/>
      <c r="C129" s="3118" t="s">
        <v>2778</v>
      </c>
      <c r="D129" s="3092" t="s">
        <v>2779</v>
      </c>
      <c r="E129" s="3118">
        <v>0.1</v>
      </c>
      <c r="F129" s="3118">
        <v>15</v>
      </c>
    </row>
    <row r="130" spans="1:6" ht="24">
      <c r="A130" s="3118">
        <v>58</v>
      </c>
      <c r="B130" s="3773" t="s">
        <v>2780</v>
      </c>
      <c r="C130" s="3118" t="s">
        <v>2781</v>
      </c>
      <c r="D130" s="3092" t="s">
        <v>2782</v>
      </c>
      <c r="E130" s="3118">
        <v>0.1</v>
      </c>
      <c r="F130" s="3118">
        <v>15</v>
      </c>
    </row>
    <row r="131" spans="1:6" ht="13.5">
      <c r="A131" s="3118">
        <v>59</v>
      </c>
      <c r="B131" s="3773"/>
      <c r="C131" s="3118" t="s">
        <v>2783</v>
      </c>
      <c r="D131" s="3092" t="s">
        <v>2784</v>
      </c>
      <c r="E131" s="3118">
        <v>0.1</v>
      </c>
      <c r="F131" s="3118">
        <v>15</v>
      </c>
    </row>
    <row r="132" spans="1:6" ht="13.5">
      <c r="A132" s="3118">
        <v>60</v>
      </c>
      <c r="B132" s="3768" t="s">
        <v>2785</v>
      </c>
      <c r="C132" s="3118" t="s">
        <v>2786</v>
      </c>
      <c r="D132" s="3092" t="s">
        <v>2787</v>
      </c>
      <c r="E132" s="3118">
        <v>0.1</v>
      </c>
      <c r="F132" s="3118">
        <v>15</v>
      </c>
    </row>
    <row r="133" spans="1:6" ht="13.5">
      <c r="A133" s="3118">
        <v>61</v>
      </c>
      <c r="B133" s="377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3" t="s">
        <v>2793</v>
      </c>
      <c r="C135" s="3118" t="s">
        <v>2794</v>
      </c>
      <c r="D135" s="3092" t="s">
        <v>2795</v>
      </c>
      <c r="E135" s="3118">
        <v>0.1</v>
      </c>
      <c r="F135" s="3118">
        <v>15</v>
      </c>
    </row>
    <row r="136" spans="1:6" ht="13.5">
      <c r="A136" s="3118">
        <v>64</v>
      </c>
      <c r="B136" s="3773"/>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0.89470000000000005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0.84740000000000004</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31208</v>
      </c>
      <c r="C2" s="2" t="s">
        <v>106</v>
      </c>
      <c r="D2" s="199"/>
      <c r="E2" s="199"/>
      <c r="F2" s="199"/>
      <c r="G2" s="199"/>
    </row>
    <row r="3" spans="1:7" s="200" customFormat="1" ht="18" customHeight="1" thickBot="1">
      <c r="A3" s="203" t="s">
        <v>58</v>
      </c>
      <c r="B3" s="204">
        <f ca="1">ROUND(B2*10000/'数据-汇总表'!E3,0)</f>
        <v>62061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101</v>
      </c>
      <c r="D10" s="845">
        <f>'数据-汇总表'!E6</f>
        <v>5028.579999999999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101</v>
      </c>
      <c r="D19" s="849">
        <f>'数据-汇总表'!E3</f>
        <v>5028.579999999999</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1468</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4225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1911</v>
      </c>
      <c r="D34" s="217"/>
      <c r="E34" s="220"/>
      <c r="F34" s="257">
        <f>IF('数据-取费表'!B24=0,1,'数据-取费表'!N16)</f>
        <v>1</v>
      </c>
      <c r="G34" s="219" t="s">
        <v>89</v>
      </c>
    </row>
    <row r="35" spans="1:7" ht="13.5" customHeight="1">
      <c r="A35" s="780" t="s">
        <v>351</v>
      </c>
      <c r="B35" s="215" t="s">
        <v>33</v>
      </c>
      <c r="C35" s="220">
        <f>ROUND(C34*F35,0)</f>
        <v>57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101</v>
      </c>
      <c r="D37" s="217">
        <f>'数据-汇总表'!E3</f>
        <v>5028.579999999999</v>
      </c>
      <c r="E37" s="249">
        <f>'数据-取费表'!B35</f>
        <v>200</v>
      </c>
      <c r="F37" s="259"/>
      <c r="G37" s="261" t="s">
        <v>92</v>
      </c>
    </row>
    <row r="38" spans="1:7" ht="13.5" customHeight="1">
      <c r="A38" s="780" t="s">
        <v>354</v>
      </c>
      <c r="B38" s="215" t="s">
        <v>36</v>
      </c>
      <c r="C38" s="220">
        <f>ROUND(C34*F38,0)</f>
        <v>29</v>
      </c>
      <c r="D38" s="220"/>
      <c r="E38" s="220"/>
      <c r="F38" s="259">
        <f>'数据-取费表'!B36</f>
        <v>1.4999999999999999E-2</v>
      </c>
      <c r="G38" s="219" t="s">
        <v>90</v>
      </c>
    </row>
    <row r="39" spans="1:7" s="214" customFormat="1" ht="13.5" customHeight="1">
      <c r="A39" s="777" t="s">
        <v>338</v>
      </c>
      <c r="B39" s="210" t="s">
        <v>77</v>
      </c>
      <c r="C39" s="232">
        <f>ROUND(C33*F20,0)</f>
        <v>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72</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428</v>
      </c>
      <c r="D45" s="235">
        <f>C47</f>
        <v>4.0000000000000001E-3</v>
      </c>
      <c r="E45" s="236" t="s">
        <v>102</v>
      </c>
      <c r="F45" s="246"/>
      <c r="G45" s="247" t="s">
        <v>434</v>
      </c>
    </row>
    <row r="46" spans="1:7" s="214" customFormat="1" ht="13.5" customHeight="1">
      <c r="A46" s="780" t="s">
        <v>349</v>
      </c>
      <c r="B46" s="248" t="s">
        <v>427</v>
      </c>
      <c r="C46" s="249">
        <f>ROUND((C33+C39)*F27,0)</f>
        <v>428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2865</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2120</v>
      </c>
      <c r="D51" s="232"/>
      <c r="E51" s="232"/>
      <c r="F51" s="264"/>
      <c r="G51" s="234" t="s">
        <v>37</v>
      </c>
    </row>
    <row r="52" spans="1:7" s="208" customFormat="1" ht="16.5" thickBot="1">
      <c r="A52" s="265" t="s">
        <v>38</v>
      </c>
      <c r="B52" s="266"/>
      <c r="C52" s="267">
        <f ca="1">C31+C51</f>
        <v>31208</v>
      </c>
      <c r="D52" s="266"/>
      <c r="E52" s="266"/>
      <c r="F52" s="266"/>
      <c r="G52" s="268"/>
    </row>
    <row r="55" spans="1:7" ht="15">
      <c r="B55" s="270" t="s">
        <v>39</v>
      </c>
      <c r="C55" s="271"/>
    </row>
    <row r="56" spans="1:7">
      <c r="B56" s="273" t="s">
        <v>40</v>
      </c>
      <c r="C56" s="274">
        <f ca="1">ROUND(C51/C52,3)</f>
        <v>6.8000000000000005E-2</v>
      </c>
    </row>
    <row r="57" spans="1:7">
      <c r="B57" s="273" t="s">
        <v>41</v>
      </c>
      <c r="C57" s="275">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13532</v>
      </c>
      <c r="E5" s="1491"/>
    </row>
    <row r="6" spans="1:5" ht="15.75">
      <c r="A6" s="1491"/>
      <c r="B6" s="3456"/>
      <c r="C6" s="1494" t="s">
        <v>911</v>
      </c>
      <c r="D6" s="850" t="str">
        <f ca="1">NUMBERSTRING(INT(D5*10000),2)&amp;"元整"</f>
        <v>壹亿叁仟伍佰叁拾贰万元整</v>
      </c>
      <c r="E6" s="1491"/>
    </row>
    <row r="7" spans="1:5" ht="15.75">
      <c r="A7" s="1491"/>
      <c r="B7" s="3461"/>
      <c r="C7" s="1495" t="s">
        <v>912</v>
      </c>
      <c r="D7" s="851">
        <f ca="1">结果表!H102</f>
        <v>26910</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13532</v>
      </c>
      <c r="E13" s="1491"/>
    </row>
    <row r="14" spans="1:5" ht="15.75">
      <c r="A14" s="1491"/>
      <c r="B14" s="3456"/>
      <c r="C14" s="1494" t="s">
        <v>911</v>
      </c>
      <c r="D14" s="850" t="str">
        <f ca="1">NUMBERSTRING(INT(D13*10000),2)&amp;"元整"</f>
        <v>壹亿叁仟伍佰叁拾贰万元整</v>
      </c>
      <c r="E14" s="1491"/>
    </row>
    <row r="15" spans="1:5" ht="15">
      <c r="A15" s="1491"/>
      <c r="B15" s="3461"/>
      <c r="C15" s="1495" t="s">
        <v>921</v>
      </c>
      <c r="D15" s="859">
        <f ca="1">结果表!H108</f>
        <v>26910</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2843</v>
      </c>
      <c r="B1" s="3776"/>
      <c r="C1" s="3776"/>
      <c r="D1" s="3776"/>
      <c r="E1" s="3776"/>
      <c r="F1" s="3776"/>
      <c r="G1" s="3777"/>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4"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5"/>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3185</v>
      </c>
      <c r="B1" s="3778"/>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3236</v>
      </c>
      <c r="B1" s="3779"/>
      <c r="C1" s="3779"/>
      <c r="D1" s="3779"/>
      <c r="E1" s="3779"/>
      <c r="F1" s="3780"/>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45296</v>
      </c>
      <c r="B1" s="3210" t="s">
        <v>3376</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6"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81" t="s">
        <v>2831</v>
      </c>
      <c r="S23" s="3782"/>
      <c r="T23" s="3782"/>
      <c r="U23" s="3782"/>
      <c r="V23" s="3782"/>
      <c r="W23" s="3782"/>
      <c r="X23" s="3165"/>
      <c r="Y23" s="3781" t="s">
        <v>2832</v>
      </c>
      <c r="Z23" s="3782"/>
      <c r="AA23" s="3782"/>
      <c r="AB23" s="3782"/>
      <c r="AC23" s="3782"/>
      <c r="AD23" s="3782"/>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6"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30">
      <c r="A4" s="1505" t="str">
        <f>项目基本情况!S2</f>
        <v>北京市海淀区中关村大街18号五层部分综合用房房地产</v>
      </c>
      <c r="B4" s="854">
        <f>项目基本情况!C17</f>
        <v>5028.579999999999</v>
      </c>
      <c r="C4" s="854">
        <f>项目基本情况!C18</f>
        <v>563.73</v>
      </c>
      <c r="D4" s="854">
        <f ca="1">结果表!D118</f>
        <v>12030</v>
      </c>
      <c r="E4" s="854">
        <f ca="1">结果表!E118</f>
        <v>23923</v>
      </c>
      <c r="F4" s="854">
        <f ca="1">结果表!F118</f>
        <v>1502</v>
      </c>
      <c r="G4" s="854">
        <f ca="1">结果表!G118</f>
        <v>2987</v>
      </c>
      <c r="H4" s="854">
        <f ca="1">结果表!H118</f>
        <v>13532</v>
      </c>
      <c r="I4" s="854">
        <f ca="1">结果表!I118</f>
        <v>26910</v>
      </c>
    </row>
    <row r="5" spans="1:9" ht="30" customHeight="1">
      <c r="A5" s="3467" t="s">
        <v>927</v>
      </c>
      <c r="B5" s="3467"/>
      <c r="C5" s="3467"/>
      <c r="D5" s="3467" t="str">
        <f ca="1">结果表!D119</f>
        <v>壹亿贰仟零叁拾万元整</v>
      </c>
      <c r="E5" s="3467"/>
      <c r="F5" s="3467" t="str">
        <f ca="1">结果表!F119</f>
        <v>壹仟伍佰零贰万元整</v>
      </c>
      <c r="G5" s="3467"/>
      <c r="H5" s="3467" t="str">
        <f ca="1">结果表!H119</f>
        <v>壹亿叁仟伍佰叁拾贰万元整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13532</v>
      </c>
      <c r="E8" s="3468"/>
      <c r="F8" s="3468"/>
      <c r="G8" s="3468"/>
      <c r="H8" s="3468"/>
      <c r="I8" s="3468"/>
    </row>
    <row r="9" spans="1:9" ht="15">
      <c r="A9" s="3467" t="s">
        <v>927</v>
      </c>
      <c r="B9" s="3467"/>
      <c r="C9" s="3467"/>
      <c r="D9" s="3467" t="str">
        <f ca="1">结果表!D123</f>
        <v>壹亿叁仟伍佰叁拾贰万元整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2024-01-05T08:28:11Z</dcterms:modified>
</cp:coreProperties>
</file>