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90" windowWidth="11385" windowHeight="94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商业" sheetId="33" r:id="rId21"/>
    <sheet name="商业案例" sheetId="78" r:id="rId22"/>
    <sheet name="典型户型修正" sheetId="31" state="hidden" r:id="rId23"/>
    <sheet name="收益法 (元)" sheetId="67" r:id="rId24"/>
    <sheet name="成本法 (元)" sheetId="69" state="hidden" r:id="rId25"/>
    <sheet name="假设开发法" sheetId="12" state="hidden" r:id="rId26"/>
    <sheet name="收益法" sheetId="15"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3" i="3" l="1"/>
  <c r="C36" i="33" l="1"/>
  <c r="C33" i="33"/>
  <c r="Y6" i="1"/>
  <c r="N6" i="1"/>
  <c r="F19" i="6"/>
  <c r="I13" i="3"/>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s="1"/>
  <c r="C118" i="9" s="1"/>
  <c r="C14" i="74" s="1"/>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AA21" i="33" s="1"/>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J21" i="33"/>
  <c r="AC21" i="33" s="1"/>
  <c r="F83" i="21"/>
  <c r="H21" i="21"/>
  <c r="F38" i="69"/>
  <c r="E37" i="69"/>
  <c r="F36" i="69"/>
  <c r="F35" i="69"/>
  <c r="F21" i="69"/>
  <c r="C21" i="69"/>
  <c r="F20" i="69"/>
  <c r="E10" i="69"/>
  <c r="E9" i="69"/>
  <c r="C7" i="69"/>
  <c r="AC21" i="37"/>
  <c r="W21" i="37"/>
  <c r="AC21" i="34"/>
  <c r="W21" i="34"/>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E113" i="33" s="1"/>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F32" i="33"/>
  <c r="AA32"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C13" i="12" s="1"/>
  <c r="B41" i="1"/>
  <c r="F31" i="12"/>
  <c r="C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9" i="33"/>
  <c r="F101" i="33"/>
  <c r="G101" i="33"/>
  <c r="H101" i="33"/>
  <c r="I101" i="33"/>
  <c r="J101" i="33"/>
  <c r="K101" i="33"/>
  <c r="L101" i="33"/>
  <c r="M101" i="33"/>
  <c r="J32" i="33"/>
  <c r="S46" i="33"/>
  <c r="W43" i="33"/>
  <c r="S43" i="33"/>
  <c r="F91" i="33"/>
  <c r="H27" i="33"/>
  <c r="F87" i="33"/>
  <c r="H25" i="33"/>
  <c r="F2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c r="D58" i="33" s="1"/>
  <c r="C7" i="21"/>
  <c r="C58" i="21" s="1"/>
  <c r="C7" i="40"/>
  <c r="C63" i="40"/>
  <c r="M47" i="9"/>
  <c r="G19" i="43"/>
  <c r="O19" i="43" s="1"/>
  <c r="C19" i="43" s="1"/>
  <c r="T35" i="4"/>
  <c r="A19" i="51"/>
  <c r="B14" i="72"/>
  <c r="C46" i="36"/>
  <c r="D46" i="36"/>
  <c r="C59" i="34"/>
  <c r="D59" i="34" s="1"/>
  <c r="C52" i="37"/>
  <c r="D52" i="37" s="1"/>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AB34" i="33"/>
  <c r="U44" i="33"/>
  <c r="AB44" i="33"/>
  <c r="S30" i="33"/>
  <c r="AA30" i="33"/>
  <c r="AC14" i="33"/>
  <c r="W14" i="33"/>
  <c r="AC30" i="33"/>
  <c r="W30" i="33"/>
  <c r="S31" i="33"/>
  <c r="AA31" i="33"/>
  <c r="W13" i="33"/>
  <c r="AC13"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O16" i="1" s="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U36" i="33" s="1"/>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AB36" i="33"/>
  <c r="W27" i="33"/>
  <c r="AC27" i="33"/>
  <c r="W25" i="33"/>
  <c r="AC25"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C24" i="12"/>
  <c r="P7" i="1"/>
  <c r="S20" i="6"/>
  <c r="I19" i="6"/>
  <c r="M27" i="6"/>
  <c r="M16" i="1"/>
  <c r="N16" i="1"/>
  <c r="F50" i="11" s="1"/>
  <c r="F27" i="11"/>
  <c r="AC11" i="37"/>
  <c r="W11" i="37"/>
  <c r="W11" i="34"/>
  <c r="AC11" i="34"/>
  <c r="H20" i="6"/>
  <c r="H27" i="6" s="1"/>
  <c r="B2" i="74"/>
  <c r="E6" i="3"/>
  <c r="D10" i="68"/>
  <c r="C10" i="68" s="1"/>
  <c r="D10" i="11"/>
  <c r="C10" i="11"/>
  <c r="D20" i="12"/>
  <c r="C20" i="12" s="1"/>
  <c r="D19" i="6"/>
  <c r="D25" i="6"/>
  <c r="R25" i="6" s="1"/>
  <c r="D26" i="6"/>
  <c r="D15" i="6"/>
  <c r="C18" i="4"/>
  <c r="D22" i="6"/>
  <c r="R22" i="6" s="1"/>
  <c r="D8" i="6"/>
  <c r="D21" i="6"/>
  <c r="R21" i="6" s="1"/>
  <c r="D23" i="6"/>
  <c r="D24" i="6"/>
  <c r="D14" i="6"/>
  <c r="D20" i="6"/>
  <c r="R20" i="6" s="1"/>
  <c r="R27" i="6" s="1"/>
  <c r="R7" i="1"/>
  <c r="D5" i="6"/>
  <c r="D6" i="6"/>
  <c r="D12" i="6"/>
  <c r="D9" i="6"/>
  <c r="D16" i="6" s="1"/>
  <c r="D11" i="6"/>
  <c r="D10" i="6"/>
  <c r="D13" i="6"/>
  <c r="L19" i="9"/>
  <c r="D28" i="6"/>
  <c r="D29" i="6"/>
  <c r="E61" i="40"/>
  <c r="H25" i="6"/>
  <c r="H22" i="6"/>
  <c r="H23" i="6"/>
  <c r="H21" i="6"/>
  <c r="H26" i="6"/>
  <c r="H24" i="6"/>
  <c r="P16" i="1"/>
  <c r="C11" i="12"/>
  <c r="C15" i="12" s="1"/>
  <c r="F34" i="11"/>
  <c r="C37" i="11"/>
  <c r="F11" i="12"/>
  <c r="C23" i="12" s="1"/>
  <c r="F34" i="68"/>
  <c r="C34" i="68" s="1"/>
  <c r="H19" i="6"/>
  <c r="S19" i="6"/>
  <c r="S27" i="6"/>
  <c r="I27" i="6"/>
  <c r="F50" i="69"/>
  <c r="C47" i="11"/>
  <c r="D45" i="11" s="1"/>
  <c r="C29" i="11"/>
  <c r="D27" i="11" s="1"/>
  <c r="L16" i="1"/>
  <c r="C34" i="11"/>
  <c r="C38" i="11" s="1"/>
  <c r="R26" i="6"/>
  <c r="R23" i="6"/>
  <c r="R24" i="6"/>
  <c r="R8" i="1"/>
  <c r="D30" i="6"/>
  <c r="A7" i="51"/>
  <c r="B7" i="72" s="1"/>
  <c r="C4" i="52"/>
  <c r="B45" i="72" s="1"/>
  <c r="A10" i="51"/>
  <c r="B9" i="72" s="1"/>
  <c r="D27" i="6"/>
  <c r="R19" i="6"/>
  <c r="R6" i="1" s="1"/>
  <c r="C35" i="11"/>
  <c r="D31" i="6"/>
  <c r="I6" i="6" s="1"/>
  <c r="E2" i="70"/>
  <c r="C34" i="69"/>
  <c r="C35" i="69" s="1"/>
  <c r="D10" i="69"/>
  <c r="C10" i="69" s="1"/>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D59" i="9"/>
  <c r="M55" i="9"/>
  <c r="B38" i="72"/>
  <c r="D20" i="53"/>
  <c r="B40" i="72"/>
  <c r="I14" i="74"/>
  <c r="B8" i="74"/>
  <c r="D127" i="9"/>
  <c r="D13" i="52"/>
  <c r="D12" i="52"/>
  <c r="D8" i="74"/>
  <c r="C8" i="74"/>
  <c r="AD3" i="71"/>
  <c r="B4" i="62"/>
  <c r="B71" i="72"/>
  <c r="C65" i="40"/>
  <c r="D63" i="40"/>
  <c r="D65" i="40" s="1"/>
  <c r="J1" i="73"/>
  <c r="C36" i="11"/>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C48" i="68"/>
  <c r="C11" i="71"/>
  <c r="D11" i="71"/>
  <c r="D12" i="71"/>
  <c r="D13" i="71"/>
  <c r="U13" i="71"/>
  <c r="S13" i="71"/>
  <c r="T13" i="71"/>
  <c r="AB11" i="71"/>
  <c r="X9" i="71"/>
  <c r="X8" i="71"/>
  <c r="AA9" i="71"/>
  <c r="AA8" i="71"/>
  <c r="X12" i="71"/>
  <c r="Z7" i="71"/>
  <c r="Y8" i="71"/>
  <c r="Z8" i="71"/>
  <c r="AB9" i="71"/>
  <c r="AB8" i="71"/>
  <c r="S9" i="71"/>
  <c r="C94" i="9"/>
  <c r="C92" i="9"/>
  <c r="C20" i="11"/>
  <c r="C28" i="11"/>
  <c r="C27" i="11" s="1"/>
  <c r="F10" i="71"/>
  <c r="F9" i="71"/>
  <c r="Y9" i="71"/>
  <c r="Z9" i="71"/>
  <c r="AB3" i="71"/>
  <c r="X3" i="71"/>
  <c r="C10" i="71"/>
  <c r="E10" i="71"/>
  <c r="E9" i="71"/>
  <c r="AF3" i="71"/>
  <c r="P24" i="43"/>
  <c r="B66" i="40" s="1"/>
  <c r="P21" i="43"/>
  <c r="P22" i="43"/>
  <c r="G20" i="43"/>
  <c r="E63" i="40"/>
  <c r="E65" i="40" s="1"/>
  <c r="G17" i="43"/>
  <c r="C16" i="43"/>
  <c r="D5" i="43"/>
  <c r="C5" i="43"/>
  <c r="V9" i="71"/>
  <c r="P23" i="43"/>
  <c r="B71" i="39"/>
  <c r="C9" i="71"/>
  <c r="D10" i="71"/>
  <c r="P25" i="43"/>
  <c r="F63" i="40"/>
  <c r="E41" i="43"/>
  <c r="C41" i="43"/>
  <c r="C20" i="43"/>
  <c r="D7" i="71"/>
  <c r="T9" i="71"/>
  <c r="D8" i="71"/>
  <c r="D9" i="71"/>
  <c r="F65" i="40"/>
  <c r="G63" i="40"/>
  <c r="H63" i="40" s="1"/>
  <c r="H65" i="40" s="1"/>
  <c r="M20" i="43"/>
  <c r="U9" i="71"/>
  <c r="G65" i="40"/>
  <c r="F31" i="67"/>
  <c r="F31" i="15"/>
  <c r="F59" i="15"/>
  <c r="F59" i="67"/>
  <c r="M17" i="15"/>
  <c r="M17" i="67"/>
  <c r="D2" i="33"/>
  <c r="M8" i="15"/>
  <c r="M22" i="15"/>
  <c r="B12" i="76"/>
  <c r="M23" i="15"/>
  <c r="E2" i="69"/>
  <c r="B8" i="76"/>
  <c r="E10" i="76"/>
  <c r="F37" i="67"/>
  <c r="C76" i="15"/>
  <c r="M21" i="67"/>
  <c r="M8" i="67"/>
  <c r="F16" i="67"/>
  <c r="M24" i="15"/>
  <c r="F20" i="31"/>
  <c r="M9" i="15"/>
  <c r="E8" i="76"/>
  <c r="M21" i="15"/>
  <c r="F35" i="15"/>
  <c r="L48" i="15"/>
  <c r="D2" i="37"/>
  <c r="E11" i="76"/>
  <c r="M26" i="67"/>
  <c r="AO13" i="1"/>
  <c r="F9" i="15"/>
  <c r="E7" i="76"/>
  <c r="F36" i="15"/>
  <c r="F9" i="67"/>
  <c r="D2" i="21"/>
  <c r="B10" i="76"/>
  <c r="D2" i="34"/>
  <c r="F13" i="15"/>
  <c r="D5" i="73"/>
  <c r="F6" i="73"/>
  <c r="AO8" i="1"/>
  <c r="M28" i="67"/>
  <c r="E2" i="68"/>
  <c r="F13" i="67"/>
  <c r="D6" i="73"/>
  <c r="AO7" i="1"/>
  <c r="F40" i="15"/>
  <c r="M26" i="15"/>
  <c r="B13" i="76"/>
  <c r="M29" i="67"/>
  <c r="B11" i="76"/>
  <c r="AO11" i="1"/>
  <c r="L47" i="15"/>
  <c r="M27" i="67"/>
  <c r="D2" i="35"/>
  <c r="F36" i="67"/>
  <c r="M27" i="15"/>
  <c r="D3" i="73"/>
  <c r="L48" i="67"/>
  <c r="F38" i="67"/>
  <c r="F43" i="67"/>
  <c r="F7" i="73"/>
  <c r="F16" i="15"/>
  <c r="AO9" i="1"/>
  <c r="J15" i="15"/>
  <c r="F37" i="15"/>
  <c r="E9" i="76"/>
  <c r="D2" i="36"/>
  <c r="M6" i="67"/>
  <c r="F41" i="15"/>
  <c r="D7" i="73"/>
  <c r="L47" i="67"/>
  <c r="M6" i="15"/>
  <c r="F3" i="73"/>
  <c r="F43" i="15"/>
  <c r="J15" i="67"/>
  <c r="F6" i="15"/>
  <c r="E12" i="76"/>
  <c r="C14" i="15"/>
  <c r="D4" i="73"/>
  <c r="F6" i="67"/>
  <c r="F8" i="67"/>
  <c r="M9" i="67"/>
  <c r="M29" i="15"/>
  <c r="F42" i="67"/>
  <c r="F35" i="67"/>
  <c r="M23" i="67"/>
  <c r="M28" i="15"/>
  <c r="F7" i="67"/>
  <c r="B7" i="76"/>
  <c r="M24" i="67"/>
  <c r="M22" i="67"/>
  <c r="AO10" i="1"/>
  <c r="F7" i="15"/>
  <c r="B9" i="76"/>
  <c r="F5" i="73"/>
  <c r="F42" i="15"/>
  <c r="AO12" i="1"/>
  <c r="F4" i="73"/>
  <c r="F26" i="67"/>
  <c r="F38" i="15"/>
  <c r="F8" i="15"/>
  <c r="E13" i="76"/>
  <c r="C76" i="67"/>
  <c r="F26" i="15"/>
  <c r="F40" i="67"/>
  <c r="I5" i="6" l="1"/>
  <c r="F22" i="43"/>
  <c r="K101" i="43"/>
  <c r="F101" i="43"/>
  <c r="N101" i="43"/>
  <c r="E22" i="43"/>
  <c r="L101" i="43"/>
  <c r="H101" i="43"/>
  <c r="G22" i="43"/>
  <c r="S2" i="43"/>
  <c r="S5" i="43"/>
  <c r="S6" i="43"/>
  <c r="S3"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F113" i="33"/>
  <c r="G113" i="33" s="1"/>
  <c r="H113" i="33" s="1"/>
  <c r="I113" i="33" s="1"/>
  <c r="J113" i="33" s="1"/>
  <c r="K113" i="33" s="1"/>
  <c r="L113" i="33" s="1"/>
  <c r="M113" i="33" s="1"/>
  <c r="H37" i="33"/>
  <c r="F37" i="33"/>
  <c r="J37" i="33"/>
  <c r="J19" i="33"/>
  <c r="W19" i="33" s="1"/>
  <c r="F19" i="33"/>
  <c r="H19" i="33"/>
  <c r="U19" i="33" s="1"/>
  <c r="F15" i="33"/>
  <c r="AA15" i="33" s="1"/>
  <c r="F77" i="33"/>
  <c r="G77" i="33" s="1"/>
  <c r="T14" i="43"/>
  <c r="V14" i="43" s="1"/>
  <c r="T5" i="43"/>
  <c r="V5" i="43" s="1"/>
  <c r="T2" i="43"/>
  <c r="V2" i="43" s="1"/>
  <c r="C37" i="43"/>
  <c r="C33" i="43"/>
  <c r="T11" i="43"/>
  <c r="V11" i="43" s="1"/>
  <c r="T6" i="43"/>
  <c r="V6" i="43" s="1"/>
  <c r="C35" i="43"/>
  <c r="T16" i="43"/>
  <c r="V16" i="43" s="1"/>
  <c r="T12" i="43"/>
  <c r="V12" i="43" s="1"/>
  <c r="C34" i="43"/>
  <c r="C39" i="43"/>
  <c r="C29" i="43"/>
  <c r="T13" i="43"/>
  <c r="V13" i="43" s="1"/>
  <c r="T9" i="43"/>
  <c r="V9" i="43" s="1"/>
  <c r="T3" i="43"/>
  <c r="V3" i="43" s="1"/>
  <c r="T8" i="43"/>
  <c r="V8" i="43" s="1"/>
  <c r="T15" i="43"/>
  <c r="V15" i="43" s="1"/>
  <c r="T7" i="43"/>
  <c r="V7" i="43" s="1"/>
  <c r="T4" i="43"/>
  <c r="V4" i="43" s="1"/>
  <c r="C38" i="43"/>
  <c r="C36" i="43"/>
  <c r="T10" i="43"/>
  <c r="V10" i="43" s="1"/>
  <c r="D58" i="21"/>
  <c r="I63" i="40"/>
  <c r="E52" i="37"/>
  <c r="F52" i="37" s="1"/>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J7" i="33"/>
  <c r="H7" i="33"/>
  <c r="F7" i="33"/>
  <c r="C70" i="39"/>
  <c r="D68" i="39"/>
  <c r="G46" i="36"/>
  <c r="E59" i="34"/>
  <c r="G16" i="1"/>
  <c r="D48" i="35"/>
  <c r="C33" i="11"/>
  <c r="J7" i="37"/>
  <c r="C28" i="67"/>
  <c r="H23" i="33"/>
  <c r="J23" i="33"/>
  <c r="F85" i="33"/>
  <c r="G85" i="33" s="1"/>
  <c r="F23" i="33"/>
  <c r="W21" i="33"/>
  <c r="U21" i="33"/>
  <c r="S21" i="33"/>
  <c r="AC19" i="33"/>
  <c r="AB19" i="33"/>
  <c r="F81" i="33"/>
  <c r="G81" i="33" s="1"/>
  <c r="F79" i="33"/>
  <c r="G79" i="33" s="1"/>
  <c r="F17" i="33"/>
  <c r="J17" i="33"/>
  <c r="H17" i="33"/>
  <c r="J15" i="33"/>
  <c r="W15" i="33" s="1"/>
  <c r="H15" i="33"/>
  <c r="U15" i="33" s="1"/>
  <c r="AC15" i="33"/>
  <c r="S15" i="33"/>
  <c r="S33" i="33"/>
  <c r="E7" i="49"/>
  <c r="B13" i="49"/>
  <c r="E22" i="49"/>
  <c r="E21" i="49"/>
  <c r="E10" i="49"/>
  <c r="B8" i="49"/>
  <c r="C12" i="12"/>
  <c r="D19" i="69"/>
  <c r="C19" i="69" s="1"/>
  <c r="C47" i="68"/>
  <c r="D45" i="68" s="1"/>
  <c r="B6" i="49"/>
  <c r="B10" i="49"/>
  <c r="E13" i="49"/>
  <c r="B14" i="49"/>
  <c r="D19" i="68"/>
  <c r="C19" i="68" s="1"/>
  <c r="C20" i="68" s="1"/>
  <c r="C28" i="68" s="1"/>
  <c r="C27" i="68" s="1"/>
  <c r="R16" i="1"/>
  <c r="B4" i="49"/>
  <c r="E11" i="49"/>
  <c r="E8" i="49"/>
  <c r="B11" i="49"/>
  <c r="E9" i="49"/>
  <c r="B22" i="49"/>
  <c r="E4" i="49"/>
  <c r="E6" i="49"/>
  <c r="B9" i="49"/>
  <c r="C14" i="12"/>
  <c r="E14" i="49"/>
  <c r="C47" i="69"/>
  <c r="D45" i="69" s="1"/>
  <c r="C29" i="69"/>
  <c r="D27" i="69" s="1"/>
  <c r="F28" i="12"/>
  <c r="C29" i="12" s="1"/>
  <c r="D28" i="12" s="1"/>
  <c r="C39" i="11"/>
  <c r="C46" i="11" s="1"/>
  <c r="C45" i="11" s="1"/>
  <c r="F50" i="68"/>
  <c r="C36" i="68"/>
  <c r="C38" i="69"/>
  <c r="H10" i="40"/>
  <c r="F10" i="40"/>
  <c r="C35" i="68"/>
  <c r="C38" i="68"/>
  <c r="C18" i="12"/>
  <c r="C8" i="69"/>
  <c r="C5" i="69" s="1"/>
  <c r="B10" i="70"/>
  <c r="B11" i="70"/>
  <c r="B9" i="70"/>
  <c r="J20" i="15"/>
  <c r="C18" i="15"/>
  <c r="C15" i="15"/>
  <c r="M59" i="15"/>
  <c r="L58" i="15"/>
  <c r="L59" i="15"/>
  <c r="N59" i="15"/>
  <c r="F66" i="15"/>
  <c r="B13" i="70"/>
  <c r="F63" i="15"/>
  <c r="C62" i="15" s="1"/>
  <c r="C34" i="15"/>
  <c r="L58" i="67"/>
  <c r="L59" i="67"/>
  <c r="N59" i="67"/>
  <c r="M59" i="67"/>
  <c r="J57" i="15"/>
  <c r="J55" i="15" s="1"/>
  <c r="J58" i="15" s="1"/>
  <c r="Q50" i="15" s="1"/>
  <c r="I54" i="15"/>
  <c r="J53" i="15"/>
  <c r="F68" i="67"/>
  <c r="C27" i="67"/>
  <c r="F71" i="67"/>
  <c r="I1" i="73"/>
  <c r="B39" i="1" s="1"/>
  <c r="F51" i="67"/>
  <c r="C6" i="15"/>
  <c r="C27" i="15"/>
  <c r="F69" i="15"/>
  <c r="F65" i="15"/>
  <c r="B8" i="70"/>
  <c r="F50" i="15"/>
  <c r="M7" i="15"/>
  <c r="J6" i="15" s="1"/>
  <c r="Q71" i="15"/>
  <c r="F64" i="15"/>
  <c r="J20" i="67"/>
  <c r="F51" i="15"/>
  <c r="B12" i="70"/>
  <c r="F71" i="15"/>
  <c r="Q71" i="67"/>
  <c r="B7" i="70"/>
  <c r="F68" i="15"/>
  <c r="B20" i="31"/>
  <c r="J57" i="67"/>
  <c r="J55" i="67" s="1"/>
  <c r="J58" i="67" s="1"/>
  <c r="Q50" i="67" s="1"/>
  <c r="L57" i="67"/>
  <c r="L60" i="67"/>
  <c r="J53" i="67"/>
  <c r="I54" i="67"/>
  <c r="L56" i="67"/>
  <c r="F70" i="67"/>
  <c r="F66" i="67"/>
  <c r="F65" i="67"/>
  <c r="F64" i="67"/>
  <c r="E20" i="43"/>
  <c r="K1" i="73"/>
  <c r="C34" i="67"/>
  <c r="F63" i="67"/>
  <c r="C62" i="67" s="1"/>
  <c r="M7" i="67"/>
  <c r="J6" i="67" s="1"/>
  <c r="F50" i="67"/>
  <c r="C6" i="67"/>
  <c r="C16" i="15"/>
  <c r="C17" i="67"/>
  <c r="C16" i="67"/>
  <c r="C14" i="67"/>
  <c r="C17" i="15"/>
  <c r="G1" i="73"/>
  <c r="E104" i="43" l="1"/>
  <c r="E107" i="43"/>
  <c r="E105" i="43"/>
  <c r="E102" i="43"/>
  <c r="E103" i="43"/>
  <c r="E106" i="43"/>
  <c r="E109"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2" i="43"/>
  <c r="H104" i="43"/>
  <c r="H109" i="43"/>
  <c r="H103" i="43"/>
  <c r="H105" i="43"/>
  <c r="D22" i="43"/>
  <c r="F102" i="43"/>
  <c r="F105" i="43"/>
  <c r="F109" i="43"/>
  <c r="F104" i="43"/>
  <c r="F107" i="43"/>
  <c r="F106" i="43"/>
  <c r="F103" i="43"/>
  <c r="I109" i="43"/>
  <c r="I104" i="43"/>
  <c r="I107" i="43"/>
  <c r="I105" i="43"/>
  <c r="I102" i="43"/>
  <c r="I106" i="43"/>
  <c r="I103" i="43"/>
  <c r="D109" i="43"/>
  <c r="D105" i="43"/>
  <c r="D106" i="43"/>
  <c r="D102" i="43"/>
  <c r="D103" i="43"/>
  <c r="D104" i="43"/>
  <c r="D107"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W37" i="33"/>
  <c r="AC37" i="33"/>
  <c r="AB37" i="33"/>
  <c r="U37" i="33"/>
  <c r="AA37" i="33"/>
  <c r="S37" i="33"/>
  <c r="AA19" i="33"/>
  <c r="S19" i="33"/>
  <c r="S7" i="37"/>
  <c r="AA7" i="37"/>
  <c r="R42" i="37" s="1"/>
  <c r="S7" i="33"/>
  <c r="AA7" i="33"/>
  <c r="E39" i="43"/>
  <c r="G39" i="43"/>
  <c r="I39" i="43" s="1"/>
  <c r="E35" i="43"/>
  <c r="G35" i="43"/>
  <c r="I35" i="43" s="1"/>
  <c r="F10" i="39"/>
  <c r="H10" i="39"/>
  <c r="J10" i="39"/>
  <c r="J10" i="40"/>
  <c r="H46" i="36"/>
  <c r="G34" i="43"/>
  <c r="I34" i="43" s="1"/>
  <c r="E34" i="43"/>
  <c r="E48" i="35"/>
  <c r="F48" i="35" s="1"/>
  <c r="G48" i="35" s="1"/>
  <c r="H48" i="35" s="1"/>
  <c r="I48" i="35" s="1"/>
  <c r="J48" i="35" s="1"/>
  <c r="K48" i="35" s="1"/>
  <c r="L48" i="35" s="1"/>
  <c r="M48" i="35" s="1"/>
  <c r="N48" i="35" s="1"/>
  <c r="O48" i="35" s="1"/>
  <c r="F7" i="35"/>
  <c r="J7" i="35"/>
  <c r="E68" i="39"/>
  <c r="D70" i="39"/>
  <c r="W7" i="33"/>
  <c r="AC7" i="33"/>
  <c r="H7" i="37"/>
  <c r="E36" i="43"/>
  <c r="G36" i="43"/>
  <c r="I36" i="43" s="1"/>
  <c r="W7" i="37"/>
  <c r="AC7" i="37"/>
  <c r="V42" i="37" s="1"/>
  <c r="I42" i="37" s="1"/>
  <c r="E37" i="43"/>
  <c r="G37" i="43"/>
  <c r="I37" i="43" s="1"/>
  <c r="AB7" i="33"/>
  <c r="U7" i="33"/>
  <c r="E58" i="21"/>
  <c r="H7" i="35"/>
  <c r="F59" i="34"/>
  <c r="J63" i="40"/>
  <c r="I65" i="40"/>
  <c r="G38" i="43"/>
  <c r="I38" i="43" s="1"/>
  <c r="E38" i="43"/>
  <c r="C30" i="43"/>
  <c r="E30" i="43" s="1"/>
  <c r="C27" i="43" s="1"/>
  <c r="E29" i="43"/>
  <c r="C26" i="43" s="1"/>
  <c r="G33" i="43"/>
  <c r="I33" i="43" s="1"/>
  <c r="E33" i="43"/>
  <c r="AA23" i="33"/>
  <c r="S23" i="33"/>
  <c r="AC23" i="33"/>
  <c r="W23" i="33"/>
  <c r="AB23" i="33"/>
  <c r="U23" i="33"/>
  <c r="D37" i="69"/>
  <c r="C37" i="69" s="1"/>
  <c r="C33" i="69" s="1"/>
  <c r="C39" i="69" s="1"/>
  <c r="W17" i="33"/>
  <c r="AC17" i="33"/>
  <c r="U17" i="33"/>
  <c r="AB17" i="33"/>
  <c r="AA17" i="33"/>
  <c r="S17" i="33"/>
  <c r="AB15" i="33"/>
  <c r="C20" i="69"/>
  <c r="C28" i="69" s="1"/>
  <c r="C27" i="69" s="1"/>
  <c r="C16" i="12"/>
  <c r="C21" i="12" s="1"/>
  <c r="D37" i="68"/>
  <c r="C37" i="68" s="1"/>
  <c r="C33" i="68" s="1"/>
  <c r="C39" i="68" s="1"/>
  <c r="C46" i="68" s="1"/>
  <c r="C45" i="68" s="1"/>
  <c r="U10" i="40"/>
  <c r="AB10" i="40"/>
  <c r="AA10" i="40"/>
  <c r="S10" i="40"/>
  <c r="C49" i="15"/>
  <c r="C49" i="67"/>
  <c r="B40" i="1"/>
  <c r="C15" i="67"/>
  <c r="C18" i="67"/>
  <c r="J18" i="67"/>
  <c r="J18" i="15"/>
  <c r="C19" i="15"/>
  <c r="Q57" i="67"/>
  <c r="Q66" i="67"/>
  <c r="C32" i="15"/>
  <c r="F11" i="67"/>
  <c r="C53" i="67" s="1"/>
  <c r="M11" i="67"/>
  <c r="J10" i="67" s="1"/>
  <c r="J5" i="67" s="1"/>
  <c r="M11" i="15"/>
  <c r="J10" i="15" s="1"/>
  <c r="J5" i="15" s="1"/>
  <c r="F11" i="15"/>
  <c r="Q52" i="15"/>
  <c r="F1" i="15"/>
  <c r="L56" i="15"/>
  <c r="Q74" i="67"/>
  <c r="Q61" i="67"/>
  <c r="Q73" i="15"/>
  <c r="Q60" i="15"/>
  <c r="C33" i="67"/>
  <c r="C32" i="67"/>
  <c r="M28" i="43"/>
  <c r="P28" i="43"/>
  <c r="N28" i="43"/>
  <c r="O28" i="43"/>
  <c r="F1" i="67"/>
  <c r="Q52" i="67"/>
  <c r="Q73" i="67"/>
  <c r="Q60" i="67"/>
  <c r="Q61" i="15"/>
  <c r="Q74" i="15"/>
  <c r="AE6" i="1"/>
  <c r="C115" i="43" l="1"/>
  <c r="D113" i="43" s="1"/>
  <c r="AC7" i="35"/>
  <c r="V38" i="35" s="1"/>
  <c r="I38" i="35" s="1"/>
  <c r="W7" i="35"/>
  <c r="AC10" i="40"/>
  <c r="W10" i="40"/>
  <c r="V48" i="33"/>
  <c r="I48" i="33" s="1"/>
  <c r="I52" i="33" s="1"/>
  <c r="J52" i="33" s="1"/>
  <c r="F58" i="21"/>
  <c r="B2" i="43"/>
  <c r="AB7" i="35"/>
  <c r="T38" i="35" s="1"/>
  <c r="G38" i="35" s="1"/>
  <c r="U7" i="35"/>
  <c r="K63" i="40"/>
  <c r="J65" i="40"/>
  <c r="AA7" i="35"/>
  <c r="R38" i="35" s="1"/>
  <c r="S7" i="35"/>
  <c r="AC10" i="39"/>
  <c r="W10" i="39"/>
  <c r="R48" i="33"/>
  <c r="E48" i="33" s="1"/>
  <c r="E52" i="33" s="1"/>
  <c r="F52" i="33" s="1"/>
  <c r="AB10" i="39"/>
  <c r="U10" i="39"/>
  <c r="R43" i="37"/>
  <c r="E42" i="37"/>
  <c r="G59" i="34"/>
  <c r="I46" i="37"/>
  <c r="J46" i="37" s="1"/>
  <c r="I47" i="37"/>
  <c r="J47" i="37" s="1"/>
  <c r="U7" i="37"/>
  <c r="AB7" i="37"/>
  <c r="T42" i="37" s="1"/>
  <c r="G42" i="37" s="1"/>
  <c r="F68" i="39"/>
  <c r="E70" i="39"/>
  <c r="I46" i="36"/>
  <c r="S10" i="39"/>
  <c r="AA10" i="39"/>
  <c r="T48" i="33"/>
  <c r="G48" i="33" s="1"/>
  <c r="G52" i="33" s="1"/>
  <c r="H52" i="33" s="1"/>
  <c r="C46" i="69"/>
  <c r="C45" i="69" s="1"/>
  <c r="C48" i="67"/>
  <c r="C60" i="67" s="1"/>
  <c r="C31" i="67"/>
  <c r="C19" i="67"/>
  <c r="C20" i="67" s="1"/>
  <c r="C22" i="12"/>
  <c r="C30" i="12" s="1"/>
  <c r="C28" i="12" s="1"/>
  <c r="J26" i="15"/>
  <c r="J29" i="15" s="1"/>
  <c r="J24" i="15"/>
  <c r="C10" i="67"/>
  <c r="C5" i="67" s="1"/>
  <c r="C53" i="15"/>
  <c r="C48" i="15" s="1"/>
  <c r="C10" i="15"/>
  <c r="C5" i="15" s="1"/>
  <c r="C20" i="15"/>
  <c r="C26" i="15" s="1"/>
  <c r="J26" i="67"/>
  <c r="J24" i="67"/>
  <c r="F24" i="67"/>
  <c r="C24" i="67" s="1"/>
  <c r="F25" i="12"/>
  <c r="F22" i="11"/>
  <c r="F22" i="68"/>
  <c r="F24" i="15"/>
  <c r="C24" i="15" s="1"/>
  <c r="F22" i="69"/>
  <c r="E6" i="76"/>
  <c r="B6" i="76"/>
  <c r="F41" i="67"/>
  <c r="E2" i="76" l="1"/>
  <c r="I53" i="33"/>
  <c r="J53" i="33" s="1"/>
  <c r="B2" i="76"/>
  <c r="E38" i="35"/>
  <c r="R39" i="35"/>
  <c r="G42" i="35"/>
  <c r="H42" i="35" s="1"/>
  <c r="G43" i="35"/>
  <c r="H43" i="35" s="1"/>
  <c r="B3" i="43"/>
  <c r="I43" i="35"/>
  <c r="J43" i="35" s="1"/>
  <c r="I42" i="35"/>
  <c r="J42" i="35" s="1"/>
  <c r="G68" i="39"/>
  <c r="F70" i="39"/>
  <c r="C43" i="37"/>
  <c r="B2" i="37" s="1"/>
  <c r="B3" i="37" s="1"/>
  <c r="C42" i="37"/>
  <c r="J46" i="36"/>
  <c r="K46" i="36" s="1"/>
  <c r="L46" i="36" s="1"/>
  <c r="M46" i="36" s="1"/>
  <c r="N46" i="36" s="1"/>
  <c r="O46" i="36" s="1"/>
  <c r="J7" i="36"/>
  <c r="H7" i="36"/>
  <c r="H59" i="34"/>
  <c r="I59" i="34" s="1"/>
  <c r="J59" i="34" s="1"/>
  <c r="K59" i="34" s="1"/>
  <c r="L59" i="34" s="1"/>
  <c r="M59" i="34" s="1"/>
  <c r="N59" i="34" s="1"/>
  <c r="O59" i="34" s="1"/>
  <c r="G58" i="21"/>
  <c r="H58" i="21" s="1"/>
  <c r="I58" i="21" s="1"/>
  <c r="J58" i="21" s="1"/>
  <c r="K58" i="21" s="1"/>
  <c r="L58" i="21" s="1"/>
  <c r="M58" i="21" s="1"/>
  <c r="N58" i="21" s="1"/>
  <c r="O58" i="21" s="1"/>
  <c r="F7" i="21"/>
  <c r="E47" i="37"/>
  <c r="F47" i="37" s="1"/>
  <c r="E46" i="37"/>
  <c r="F46" i="37" s="1"/>
  <c r="F7" i="36"/>
  <c r="G46" i="37"/>
  <c r="H46" i="37" s="1"/>
  <c r="G47" i="37"/>
  <c r="H47" i="37" s="1"/>
  <c r="F7" i="34"/>
  <c r="L63" i="40"/>
  <c r="K65" i="40"/>
  <c r="J7" i="21"/>
  <c r="G53" i="33"/>
  <c r="H53" i="33" s="1"/>
  <c r="E53" i="33"/>
  <c r="F53" i="33" s="1"/>
  <c r="R49" i="33"/>
  <c r="C49" i="33" s="1"/>
  <c r="B3" i="33" s="1"/>
  <c r="F69" i="67"/>
  <c r="J29" i="67"/>
  <c r="C66" i="67"/>
  <c r="C23" i="67"/>
  <c r="C44" i="68"/>
  <c r="D41" i="68" s="1"/>
  <c r="C26" i="68"/>
  <c r="D22" i="68" s="1"/>
  <c r="C24" i="68"/>
  <c r="C25" i="68"/>
  <c r="C23" i="68"/>
  <c r="C42" i="68"/>
  <c r="C43" i="68"/>
  <c r="C26" i="12"/>
  <c r="D25" i="12" s="1"/>
  <c r="C27" i="12"/>
  <c r="C25" i="12" s="1"/>
  <c r="C38" i="67"/>
  <c r="C44" i="11"/>
  <c r="D41" i="11" s="1"/>
  <c r="C26" i="11"/>
  <c r="D22" i="11" s="1"/>
  <c r="C23" i="11"/>
  <c r="C42" i="11"/>
  <c r="C24" i="11"/>
  <c r="C43" i="11"/>
  <c r="C25" i="11"/>
  <c r="C23" i="15"/>
  <c r="C29" i="15" s="1"/>
  <c r="C60" i="15"/>
  <c r="C66" i="15"/>
  <c r="C26" i="67"/>
  <c r="C25" i="69"/>
  <c r="C44" i="69"/>
  <c r="D41" i="69" s="1"/>
  <c r="C26" i="69"/>
  <c r="D22" i="69" s="1"/>
  <c r="C23" i="69"/>
  <c r="C24" i="69"/>
  <c r="C42" i="69"/>
  <c r="C43" i="69"/>
  <c r="C38" i="15"/>
  <c r="D20" i="9"/>
  <c r="B3" i="76" l="1"/>
  <c r="AA7" i="34"/>
  <c r="R49" i="34" s="1"/>
  <c r="S7" i="34"/>
  <c r="H68" i="39"/>
  <c r="G70" i="39"/>
  <c r="AC7" i="21"/>
  <c r="V48" i="21" s="1"/>
  <c r="I48" i="21" s="1"/>
  <c r="W7" i="21"/>
  <c r="H7" i="21"/>
  <c r="W7" i="36"/>
  <c r="AC7" i="36"/>
  <c r="V36" i="36" s="1"/>
  <c r="I36" i="36" s="1"/>
  <c r="C39" i="35"/>
  <c r="B2" i="35" s="1"/>
  <c r="B3" i="35" s="1"/>
  <c r="C38" i="35"/>
  <c r="AA7" i="21"/>
  <c r="R48" i="21" s="1"/>
  <c r="S7" i="21"/>
  <c r="AB7" i="36"/>
  <c r="T36" i="36" s="1"/>
  <c r="G36" i="36" s="1"/>
  <c r="U7" i="36"/>
  <c r="H7" i="34"/>
  <c r="M63" i="40"/>
  <c r="L65" i="40"/>
  <c r="AA7" i="36"/>
  <c r="R36" i="36" s="1"/>
  <c r="S7" i="36"/>
  <c r="J7" i="34"/>
  <c r="E43" i="35"/>
  <c r="F43" i="35" s="1"/>
  <c r="E42" i="35"/>
  <c r="F42" i="35" s="1"/>
  <c r="B2" i="33"/>
  <c r="C48" i="33"/>
  <c r="D103" i="9"/>
  <c r="C29" i="67"/>
  <c r="C36" i="67" s="1"/>
  <c r="C32" i="12"/>
  <c r="B2" i="12" s="1"/>
  <c r="B3" i="12" s="1"/>
  <c r="C22" i="68"/>
  <c r="C31" i="68" s="1"/>
  <c r="Q49" i="15"/>
  <c r="C36" i="15"/>
  <c r="J19" i="15"/>
  <c r="J17" i="15" s="1"/>
  <c r="C13" i="15"/>
  <c r="J14" i="15"/>
  <c r="C33" i="15"/>
  <c r="C31" i="15" s="1"/>
  <c r="C57" i="15"/>
  <c r="J59" i="15"/>
  <c r="J60" i="15" s="1"/>
  <c r="C41" i="69"/>
  <c r="C49" i="69" s="1"/>
  <c r="C51" i="69" s="1"/>
  <c r="C22" i="69"/>
  <c r="C31" i="69" s="1"/>
  <c r="C22" i="11"/>
  <c r="C31" i="11" s="1"/>
  <c r="C41" i="68"/>
  <c r="C49" i="68" s="1"/>
  <c r="C51" i="68" s="1"/>
  <c r="C41" i="11"/>
  <c r="C49" i="11" s="1"/>
  <c r="C51" i="11" s="1"/>
  <c r="D19" i="9"/>
  <c r="R49" i="21" l="1"/>
  <c r="E48" i="21"/>
  <c r="I68" i="39"/>
  <c r="H70" i="39"/>
  <c r="AC7" i="34"/>
  <c r="V49" i="34" s="1"/>
  <c r="I49" i="34" s="1"/>
  <c r="W7" i="34"/>
  <c r="N63" i="40"/>
  <c r="M65" i="40"/>
  <c r="G41" i="36"/>
  <c r="H41" i="36" s="1"/>
  <c r="G40" i="36"/>
  <c r="H40" i="36" s="1"/>
  <c r="E36" i="36"/>
  <c r="I41" i="36" s="1"/>
  <c r="J41" i="36" s="1"/>
  <c r="R37" i="36"/>
  <c r="AB7" i="21"/>
  <c r="T48" i="21" s="1"/>
  <c r="G48" i="21" s="1"/>
  <c r="U7" i="21"/>
  <c r="AB7" i="34"/>
  <c r="T49" i="34" s="1"/>
  <c r="G49" i="34" s="1"/>
  <c r="U7" i="34"/>
  <c r="I40" i="36"/>
  <c r="J40" i="36" s="1"/>
  <c r="I53" i="21"/>
  <c r="J53" i="21" s="1"/>
  <c r="I52" i="21"/>
  <c r="J52" i="21" s="1"/>
  <c r="E49" i="34"/>
  <c r="R50" i="34"/>
  <c r="D102" i="9"/>
  <c r="D21" i="9"/>
  <c r="J14" i="67"/>
  <c r="J13" i="67" s="1"/>
  <c r="J23" i="67" s="1"/>
  <c r="J19" i="67"/>
  <c r="J17" i="67" s="1"/>
  <c r="C52" i="68"/>
  <c r="B2" i="68" s="1"/>
  <c r="B3" i="68" s="1"/>
  <c r="J59" i="67"/>
  <c r="J60" i="67" s="1"/>
  <c r="L46" i="67" s="1"/>
  <c r="C57" i="67"/>
  <c r="C61" i="67" s="1"/>
  <c r="C59" i="67" s="1"/>
  <c r="Q49" i="67"/>
  <c r="C13" i="67"/>
  <c r="C37" i="67" s="1"/>
  <c r="C30" i="67" s="1"/>
  <c r="C39" i="67" s="1"/>
  <c r="C52" i="69"/>
  <c r="B2" i="69" s="1"/>
  <c r="B3" i="69" s="1"/>
  <c r="C52" i="11"/>
  <c r="B2" i="11" s="1"/>
  <c r="B3" i="11" s="1"/>
  <c r="Q48" i="15"/>
  <c r="L46" i="15"/>
  <c r="Q70" i="15"/>
  <c r="C56" i="15"/>
  <c r="C65" i="15" s="1"/>
  <c r="C37" i="15"/>
  <c r="C30" i="15" s="1"/>
  <c r="C39" i="15" s="1"/>
  <c r="C75" i="15"/>
  <c r="C61" i="15"/>
  <c r="C59" i="15" s="1"/>
  <c r="C64" i="15"/>
  <c r="J22" i="15"/>
  <c r="J13" i="15"/>
  <c r="J23" i="15" s="1"/>
  <c r="J7" i="40" l="1"/>
  <c r="C49" i="34"/>
  <c r="C50" i="34"/>
  <c r="B2" i="34" s="1"/>
  <c r="B3" i="34" s="1"/>
  <c r="E53" i="21"/>
  <c r="F53" i="21" s="1"/>
  <c r="E52" i="21"/>
  <c r="F52" i="21" s="1"/>
  <c r="C36" i="36"/>
  <c r="C37" i="36"/>
  <c r="B2" i="36" s="1"/>
  <c r="B3" i="36" s="1"/>
  <c r="G54" i="34"/>
  <c r="H54" i="34" s="1"/>
  <c r="G53" i="34"/>
  <c r="H53" i="34" s="1"/>
  <c r="E41" i="36"/>
  <c r="F41" i="36" s="1"/>
  <c r="E40" i="36"/>
  <c r="F40" i="36" s="1"/>
  <c r="N65" i="40"/>
  <c r="H7" i="40" s="1"/>
  <c r="O63" i="40"/>
  <c r="O65" i="40" s="1"/>
  <c r="J68" i="39"/>
  <c r="I70" i="39"/>
  <c r="E53" i="34"/>
  <c r="F53" i="34" s="1"/>
  <c r="E54" i="34"/>
  <c r="F54" i="34" s="1"/>
  <c r="G52" i="21"/>
  <c r="H52" i="21" s="1"/>
  <c r="G53" i="21"/>
  <c r="H53" i="21" s="1"/>
  <c r="I53" i="34"/>
  <c r="J53" i="34" s="1"/>
  <c r="I54" i="34"/>
  <c r="J54" i="34" s="1"/>
  <c r="C48" i="21"/>
  <c r="C49" i="21"/>
  <c r="B2" i="21" s="1"/>
  <c r="B3" i="21" s="1"/>
  <c r="C64" i="67"/>
  <c r="C57" i="68"/>
  <c r="C56" i="68" s="1"/>
  <c r="Q48" i="67"/>
  <c r="J22" i="67"/>
  <c r="J16" i="67" s="1"/>
  <c r="J25" i="67" s="1"/>
  <c r="Q70" i="67"/>
  <c r="C57" i="69"/>
  <c r="C56" i="69" s="1"/>
  <c r="C75" i="67"/>
  <c r="C80" i="67" s="1"/>
  <c r="C79" i="67" s="1"/>
  <c r="C56" i="67"/>
  <c r="C65" i="67" s="1"/>
  <c r="C56" i="11"/>
  <c r="C57" i="11" s="1"/>
  <c r="C80" i="15"/>
  <c r="C79" i="15" s="1"/>
  <c r="J16" i="15"/>
  <c r="J25" i="15" s="1"/>
  <c r="C58" i="15"/>
  <c r="C67" i="15" s="1"/>
  <c r="C68" i="15" s="1"/>
  <c r="C40" i="67"/>
  <c r="Q69" i="67"/>
  <c r="Q69" i="15"/>
  <c r="Q68" i="15" s="1"/>
  <c r="C40" i="15"/>
  <c r="L51" i="15"/>
  <c r="L51" i="67"/>
  <c r="AB7" i="40" l="1"/>
  <c r="T42" i="40" s="1"/>
  <c r="G42" i="40" s="1"/>
  <c r="U7" i="40"/>
  <c r="K68" i="39"/>
  <c r="J70" i="39"/>
  <c r="F7" i="40"/>
  <c r="W7" i="40"/>
  <c r="AC7" i="40"/>
  <c r="V42" i="40" s="1"/>
  <c r="I42" i="40" s="1"/>
  <c r="C58" i="67"/>
  <c r="C67" i="67" s="1"/>
  <c r="C68" i="67" s="1"/>
  <c r="C45" i="67" s="1"/>
  <c r="C46" i="67" s="1"/>
  <c r="Q68" i="67"/>
  <c r="Q67" i="15"/>
  <c r="L57" i="15"/>
  <c r="L60" i="15" s="1"/>
  <c r="Q67" i="67"/>
  <c r="B2" i="15"/>
  <c r="Q65" i="15"/>
  <c r="C43" i="15"/>
  <c r="Q47" i="15"/>
  <c r="Q53" i="15" s="1"/>
  <c r="Q56" i="15"/>
  <c r="C83" i="15"/>
  <c r="C82" i="15" s="1"/>
  <c r="D2" i="67"/>
  <c r="C43" i="67"/>
  <c r="Q56" i="67"/>
  <c r="Q62" i="67" s="1"/>
  <c r="Q65" i="67"/>
  <c r="Q75" i="67" s="1"/>
  <c r="Q47" i="67"/>
  <c r="Q53" i="67" s="1"/>
  <c r="C83" i="67"/>
  <c r="C82" i="67" s="1"/>
  <c r="C71" i="15"/>
  <c r="C46" i="15"/>
  <c r="B3" i="15" l="1"/>
  <c r="I46" i="40"/>
  <c r="J46" i="40" s="1"/>
  <c r="K70" i="39"/>
  <c r="L68" i="39"/>
  <c r="S7" i="40"/>
  <c r="AA7" i="40"/>
  <c r="R42" i="40" s="1"/>
  <c r="G47" i="40"/>
  <c r="H47" i="40" s="1"/>
  <c r="G46" i="40"/>
  <c r="H46" i="40" s="1"/>
  <c r="C71" i="67"/>
  <c r="B2" i="67"/>
  <c r="B3" i="67"/>
  <c r="Q57" i="15"/>
  <c r="Q62" i="15" s="1"/>
  <c r="Q66" i="15"/>
  <c r="Q75" i="15" s="1"/>
  <c r="AO6" i="1"/>
  <c r="D34" i="9"/>
  <c r="C19" i="9"/>
  <c r="C20" i="9"/>
  <c r="D35" i="9"/>
  <c r="M68" i="39" l="1"/>
  <c r="L70" i="39"/>
  <c r="R43" i="40"/>
  <c r="E42" i="40"/>
  <c r="G20" i="9"/>
  <c r="C103" i="9"/>
  <c r="G19" i="9"/>
  <c r="C21" i="9"/>
  <c r="D22" i="9"/>
  <c r="C102" i="9"/>
  <c r="B6" i="70"/>
  <c r="B2" i="70" s="1"/>
  <c r="B3" i="70" s="1"/>
  <c r="E47" i="40" l="1"/>
  <c r="F47" i="40" s="1"/>
  <c r="E46" i="40"/>
  <c r="F46" i="40" s="1"/>
  <c r="I47" i="40"/>
  <c r="J47" i="40" s="1"/>
  <c r="C43" i="40"/>
  <c r="C42" i="40"/>
  <c r="M70" i="39"/>
  <c r="N68" i="39"/>
  <c r="C32" i="9"/>
  <c r="G21" i="9"/>
  <c r="B57" i="40" l="1"/>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O68" i="39"/>
  <c r="O70" i="39" s="1"/>
  <c r="N70" i="39"/>
  <c r="H118" i="9"/>
  <c r="C35" i="9"/>
  <c r="F118" i="9" s="1"/>
  <c r="J7" i="39" l="1"/>
  <c r="H7" i="39"/>
  <c r="F7" i="39"/>
  <c r="C34" i="9"/>
  <c r="D118" i="9" s="1"/>
  <c r="D119" i="9" s="1"/>
  <c r="D5" i="52" s="1"/>
  <c r="B49" i="72" s="1"/>
  <c r="H101" i="9"/>
  <c r="D14" i="74"/>
  <c r="I118" i="9"/>
  <c r="H119" i="9"/>
  <c r="H5" i="52" s="1"/>
  <c r="H4" i="52"/>
  <c r="C104" i="9"/>
  <c r="G118" i="9"/>
  <c r="G4" i="52" s="1"/>
  <c r="B52" i="72" s="1"/>
  <c r="F4" i="52"/>
  <c r="B51" i="72" s="1"/>
  <c r="F119" i="9"/>
  <c r="F5" i="52" s="1"/>
  <c r="B53" i="72" s="1"/>
  <c r="S7" i="39" l="1"/>
  <c r="AA7" i="39"/>
  <c r="R47" i="39" s="1"/>
  <c r="U7" i="39"/>
  <c r="AB7" i="39"/>
  <c r="T47" i="39" s="1"/>
  <c r="G47" i="39" s="1"/>
  <c r="W7" i="39"/>
  <c r="AC7" i="39"/>
  <c r="V47" i="39" s="1"/>
  <c r="I47" i="39" s="1"/>
  <c r="D4" i="52"/>
  <c r="B47" i="72" s="1"/>
  <c r="H102" i="9"/>
  <c r="D7" i="53" s="1"/>
  <c r="B21" i="72" s="1"/>
  <c r="I4" i="52"/>
  <c r="C105" i="9"/>
  <c r="E118" i="9"/>
  <c r="E4" i="52" s="1"/>
  <c r="B48" i="72" s="1"/>
  <c r="H107" i="9"/>
  <c r="D5" i="53"/>
  <c r="D45" i="9"/>
  <c r="M48" i="9"/>
  <c r="F14" i="74"/>
  <c r="E14" i="74"/>
  <c r="B5" i="74"/>
  <c r="E47" i="39" l="1"/>
  <c r="R48" i="39"/>
  <c r="G51" i="39"/>
  <c r="H51" i="39" s="1"/>
  <c r="G52" i="39"/>
  <c r="H52" i="39" s="1"/>
  <c r="I51" i="39"/>
  <c r="J51" i="39" s="1"/>
  <c r="I52" i="39"/>
  <c r="J52" i="39" s="1"/>
  <c r="D6" i="53"/>
  <c r="B22" i="72" s="1"/>
  <c r="B20" i="72"/>
  <c r="D5" i="74"/>
  <c r="C5" i="74"/>
  <c r="C78" i="9"/>
  <c r="C73" i="9" s="1"/>
  <c r="C85" i="9"/>
  <c r="D53" i="9"/>
  <c r="D55" i="9"/>
  <c r="M53" i="9" s="1"/>
  <c r="C64" i="9"/>
  <c r="C63" i="9" s="1"/>
  <c r="C67" i="9" s="1"/>
  <c r="C68" i="9" s="1"/>
  <c r="D54" i="9" s="1"/>
  <c r="C72" i="9"/>
  <c r="C93" i="9"/>
  <c r="C86" i="9" s="1"/>
  <c r="D52" i="9"/>
  <c r="M49" i="9"/>
  <c r="D122" i="9"/>
  <c r="D13" i="53"/>
  <c r="H108" i="9"/>
  <c r="D15" i="53" s="1"/>
  <c r="B31" i="72" s="1"/>
  <c r="C47" i="39" l="1"/>
  <c r="C48" i="39"/>
  <c r="E52" i="39"/>
  <c r="F52" i="39" s="1"/>
  <c r="E51" i="39"/>
  <c r="F51" i="39" s="1"/>
  <c r="L65" i="9"/>
  <c r="M65" i="9" s="1"/>
  <c r="L64" i="9"/>
  <c r="M64" i="9" s="1"/>
  <c r="L67" i="9"/>
  <c r="M67" i="9" s="1"/>
  <c r="L68" i="9"/>
  <c r="M68" i="9" s="1"/>
  <c r="L66" i="9"/>
  <c r="M66" i="9" s="1"/>
  <c r="L63" i="9"/>
  <c r="M63" i="9" s="1"/>
  <c r="G14" i="74"/>
  <c r="B6" i="74" s="1"/>
  <c r="D123" i="9"/>
  <c r="D9" i="52" s="1"/>
  <c r="D8" i="52"/>
  <c r="C79" i="9"/>
  <c r="C95" i="9"/>
  <c r="D14" i="53"/>
  <c r="B32" i="72" s="1"/>
  <c r="B30" i="72"/>
  <c r="B59" i="39" l="1"/>
  <c r="F59" i="39" s="1"/>
  <c r="B61" i="39"/>
  <c r="F61" i="39" s="1"/>
  <c r="B56" i="39"/>
  <c r="F56" i="39" s="1"/>
  <c r="F66" i="39" s="1"/>
  <c r="B2" i="39" s="1"/>
  <c r="B3" i="39" s="1"/>
  <c r="B58" i="39"/>
  <c r="F58" i="39" s="1"/>
  <c r="B57" i="39"/>
  <c r="F57" i="39" s="1"/>
  <c r="B62" i="39"/>
  <c r="F62" i="39" s="1"/>
  <c r="B60" i="39"/>
  <c r="F60" i="39" s="1"/>
  <c r="B63" i="39"/>
  <c r="F63" i="39" s="1"/>
  <c r="B64" i="39"/>
  <c r="F64" i="39" s="1"/>
  <c r="B65" i="39"/>
  <c r="F65" i="39" s="1"/>
  <c r="D6" i="74"/>
  <c r="C6" i="74"/>
  <c r="M69" i="9"/>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<sst xmlns="http://schemas.openxmlformats.org/spreadsheetml/2006/main" count="7398" uniqueCount="3145">
  <si>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</si>
  <si>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</si>
  <si>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</si>
  <si>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</si>
  <si>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</si>
  <si>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</si>
  <si>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</si>
  <si>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</si>
  <si>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</si>
  <si>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</si>
  <si>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</si>
  <si>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</si>
  <si>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</si>
  <si>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</si>
  <si>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</si>
  <si>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</si>
  <si>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</si>
  <si>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</si>
  <si>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</si>
  <si>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</si>
  <si>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</si>
  <si>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</si>
  <si>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</si>
  <si>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</si>
  <si>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</si>
  <si>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</si>
  <si>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</si>
  <si>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</si>
  <si>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</si>
  <si>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</si>
  <si>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</si>
  <si>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</si>
  <si>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</si>
  <si>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</si>
  <si>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</si>
  <si>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</si>
  <si>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</si>
  <si>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</si>
  <si>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</si>
  <si>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</si>
  <si>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</si>
  <si>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</si>
  <si>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</si>
  <si>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</si>
  <si>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</si>
  <si>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</si>
  <si>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</si>
  <si>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</si>
  <si>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</si>
  <si>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</si>
  <si>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</si>
  <si>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</si>
  <si>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</si>
  <si>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</si>
  <si>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</si>
  <si>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</si>
  <si>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</si>
  <si>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</si>
  <si>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</si>
  <si>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</si>
  <si>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</si>
  <si>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</si>
  <si>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</si>
  <si>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</si>
  <si>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</si>
  <si>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</si>
  <si>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</si>
  <si>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</si>
  <si>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</si>
  <si>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</si>
  <si>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</si>
  <si>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</si>
  <si>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</si>
  <si>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</si>
  <si>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</si>
  <si>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</si>
  <si>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</si>
  <si>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</si>
  <si>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</si>
  <si>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</si>
  <si>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</si>
  <si>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</si>
  <si>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</si>
  <si>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</si>
  <si>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</si>
  <si>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</si>
  <si>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</si>
  <si>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</si>
  <si>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</si>
  <si>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</si>
  <si>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</si>
  <si>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</si>
  <si>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</si>
  <si>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</si>
  <si>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</si>
  <si>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</si>
  <si>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</si>
  <si>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</si>
  <si>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</si>
  <si>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</si>
  <si>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</si>
  <si>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</si>
  <si>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</si>
  <si>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</si>
  <si>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</si>
  <si>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</si>
  <si>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</si>
  <si>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</si>
  <si>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</si>
  <si>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</si>
  <si>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</si>
  <si>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</si>
  <si>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</si>
  <si>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</si>
  <si>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</si>
  <si>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</si>
  <si>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</si>
  <si>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</si>
  <si>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</si>
  <si>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</si>
  <si>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</si>
  <si>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</si>
  <si>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</si>
  <si>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</si>
  <si>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</si>
  <si>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</si>
  <si>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</si>
  <si>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</si>
  <si>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</si>
  <si>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</si>
  <si>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</si>
  <si>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</si>
  <si>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</si>
  <si>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</si>
  <si>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</si>
  <si>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</si>
  <si>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</si>
  <si>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</si>
  <si>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</si>
  <si>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</si>
  <si>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</si>
  <si>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</si>
  <si>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</si>
  <si>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</si>
  <si>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</si>
  <si>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</si>
  <si>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</si>
  <si>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</si>
  <si>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</si>
  <si>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</si>
  <si>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</si>
  <si>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</si>
  <si>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</si>
  <si>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</si>
  <si>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</si>
  <si>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</si>
  <si>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</si>
  <si>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</si>
  <si>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</si>
  <si>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</si>
  <si>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</si>
  <si>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</si>
  <si>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</si>
  <si>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</si>
  <si>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</si>
  <si>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</si>
  <si>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</si>
  <si>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</si>
  <si>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</si>
  <si>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</si>
  <si>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</si>
  <si>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</si>
  <si>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</si>
  <si>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</si>
  <si>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</si>
  <si>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</si>
  <si>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</si>
  <si>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</si>
  <si>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</si>
  <si>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</si>
  <si>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</si>
  <si>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</si>
  <si>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</si>
  <si>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</si>
  <si>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</si>
  <si>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</si>
  <si>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</si>
  <si>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</si>
  <si>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</si>
  <si>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</si>
  <si>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</si>
  <si>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</si>
  <si>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</si>
  <si>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</si>
  <si>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</si>
  <si>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</si>
  <si>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</si>
  <si>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</si>
  <si>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</si>
  <si>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</si>
  <si>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</si>
  <si>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</si>
  <si>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</si>
  <si>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</si>
  <si>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</si>
  <si>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</si>
  <si>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</si>
  <si>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</si>
  <si>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</si>
  <si>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</si>
  <si>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</si>
  <si>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</si>
  <si>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</si>
  <si>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</si>
  <si>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</si>
  <si>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</si>
  <si>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</si>
  <si>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</si>
  <si>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</si>
  <si>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</si>
  <si>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</si>
  <si>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</si>
  <si>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</si>
  <si>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</si>
  <si>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</si>
  <si>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</si>
  <si>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</si>
  <si>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</si>
  <si>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</si>
  <si>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</si>
  <si>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</si>
  <si>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</si>
  <si>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</si>
  <si>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</si>
  <si>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</si>
  <si>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</si>
  <si>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</si>
  <si>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</si>
  <si>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</si>
  <si>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</si>
  <si>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</si>
  <si>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</si>
  <si>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</si>
  <si>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</si>
  <si>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</si>
  <si>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</si>
  <si>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</si>
  <si>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</si>
  <si>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</si>
  <si>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</si>
  <si>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</si>
  <si>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</si>
  <si>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</si>
  <si>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</si>
  <si>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</si>
  <si>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</si>
  <si>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</si>
  <si>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</si>
  <si>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</si>
  <si>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</si>
  <si>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</si>
  <si>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</si>
  <si>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</si>
  <si>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</si>
  <si>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</si>
  <si>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</si>
  <si>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</si>
  <si>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</si>
  <si>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</si>
  <si>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</si>
  <si>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</si>
  <si>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</si>
  <si>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</si>
  <si>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</si>
  <si>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</si>
  <si>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</si>
  <si>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</si>
  <si>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</si>
  <si>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</si>
  <si>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</si>
  <si>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</si>
  <si>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</si>
  <si>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</si>
  <si>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</si>
  <si>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</si>
  <si>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</si>
  <si>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</si>
  <si>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</si>
  <si>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</si>
  <si>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</si>
  <si>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</si>
  <si>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</si>
  <si>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</si>
  <si>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</si>
  <si>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</si>
  <si>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</si>
  <si>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</si>
  <si>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</si>
  <si>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</si>
  <si>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</si>
  <si>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</si>
  <si>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</si>
  <si>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</si>
  <si>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</si>
  <si>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</si>
  <si>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</si>
  <si>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</si>
  <si>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</si>
  <si>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</si>
  <si>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</si>
  <si>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</si>
  <si>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</si>
  <si>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</si>
  <si>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</si>
  <si>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</si>
  <si>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</si>
  <si>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</si>
  <si>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</si>
  <si>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</si>
  <si>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</si>
  <si>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</si>
  <si>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</si>
  <si>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</si>
  <si>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</si>
  <si>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</si>
  <si>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</si>
  <si>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</si>
  <si>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</si>
  <si>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</si>
  <si>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</si>
  <si>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</si>
  <si>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</si>
  <si>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</si>
  <si>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</si>
  <si>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</si>
  <si>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</si>
  <si>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</si>
  <si>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</si>
  <si>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</si>
  <si>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</si>
  <si>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</si>
  <si>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</si>
  <si>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</si>
  <si>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</si>
  <si>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</si>
  <si>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</si>
  <si>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</si>
  <si>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</si>
  <si>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</si>
  <si>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</si>
  <si>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</si>
  <si>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</si>
  <si>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</si>
  <si>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</si>
  <si>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</si>
  <si>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</si>
  <si>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</si>
  <si>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</si>
  <si>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</si>
  <si>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</si>
  <si>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</si>
  <si>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</si>
  <si>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</si>
  <si>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</si>
  <si>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</si>
  <si>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</si>
  <si>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</si>
  <si>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</si>
  <si>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</si>
  <si>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</si>
  <si>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</si>
  <si>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</si>
  <si>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</si>
  <si>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</si>
  <si>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</si>
  <si>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</si>
  <si>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</si>
  <si>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</si>
  <si>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</si>
  <si>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</si>
  <si>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</si>
  <si>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</si>
  <si>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</si>
  <si>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</si>
  <si>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</si>
  <si>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</si>
  <si>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</si>
  <si>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</si>
  <si>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</si>
  <si>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</si>
  <si>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</si>
  <si>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</si>
  <si>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</si>
  <si>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</si>
  <si>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</si>
  <si>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</si>
  <si>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</si>
  <si>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</si>
  <si>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</si>
  <si>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</si>
  <si>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</si>
  <si>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</si>
  <si>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</si>
  <si>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</si>
  <si>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</si>
  <si>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</si>
  <si>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</si>
  <si>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</si>
  <si>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</si>
  <si>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</si>
  <si>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</si>
  <si>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</si>
  <si>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</si>
  <si>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</si>
  <si>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</si>
  <si>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</si>
  <si>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</si>
  <si>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</si>
  <si>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</si>
  <si>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</si>
  <si>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</si>
  <si>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</si>
  <si>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</si>
  <si>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</si>
  <si>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</si>
  <si>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</si>
  <si>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</si>
  <si>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</si>
  <si>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</si>
  <si>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</si>
  <si>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</si>
  <si>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</si>
  <si>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</si>
  <si>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</si>
  <si>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</si>
  <si>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</si>
  <si>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</si>
  <si>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</si>
  <si>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</si>
  <si>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</si>
  <si>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</si>
  <si>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</si>
  <si>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</si>
  <si>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</si>
  <si>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</si>
  <si>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</si>
  <si>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</si>
  <si>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</si>
  <si>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</si>
  <si>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</si>
  <si>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</si>
  <si>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</si>
  <si>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</si>
  <si>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</si>
  <si>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</si>
  <si>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</si>
  <si>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</si>
  <si>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</si>
  <si>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</si>
  <si>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</si>
  <si>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</si>
  <si>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</si>
  <si>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</si>
  <si>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</si>
  <si>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</si>
  <si>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</si>
  <si>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</si>
  <si>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</si>
  <si>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</si>
  <si>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</si>
  <si>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</si>
  <si>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</si>
  <si>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</si>
  <si>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</si>
  <si>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</si>
  <si>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</si>
  <si>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</si>
  <si>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</si>
  <si>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</si>
  <si>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</si>
  <si>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</si>
  <si>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</si>
  <si>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</si>
  <si>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</si>
  <si>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</si>
  <si>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</si>
  <si>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</si>
  <si>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</si>
  <si>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</si>
  <si>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</si>
  <si>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</si>
  <si>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</si>
  <si>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</si>
  <si>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</si>
  <si>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</si>
  <si>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</si>
  <si>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</si>
  <si>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</si>
  <si>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</si>
  <si>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</si>
  <si>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</si>
  <si>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</si>
  <si>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</si>
  <si>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</si>
  <si>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</si>
  <si>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</si>
  <si>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</si>
  <si>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</si>
  <si>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</si>
  <si>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</si>
  <si>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</si>
  <si>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</si>
  <si>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</si>
  <si>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</si>
  <si>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</si>
  <si>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</si>
  <si>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</si>
  <si>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</si>
  <si>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</si>
  <si>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</si>
  <si>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</si>
  <si>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</si>
  <si>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</si>
  <si>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</si>
  <si>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</si>
  <si>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</si>
  <si>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</si>
  <si>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</si>
  <si>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</si>
  <si>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</si>
  <si>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</si>
  <si>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</si>
  <si>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</si>
  <si>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</si>
  <si>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</si>
  <si>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</si>
  <si>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</si>
  <si>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</si>
  <si>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</si>
  <si>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</si>
  <si>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</si>
  <si>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</si>
  <si>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</si>
  <si>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</si>
  <si>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</si>
  <si>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</si>
  <si>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</si>
  <si>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</si>
  <si>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</si>
  <si>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</si>
  <si>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</si>
  <si>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</si>
  <si>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</si>
  <si>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</si>
  <si>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</si>
  <si>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</si>
  <si>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</si>
  <si>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</si>
  <si>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</si>
  <si>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</si>
  <si>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</si>
  <si>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</si>
  <si>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</si>
  <si>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</si>
  <si>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</si>
  <si>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</si>
  <si>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</si>
  <si>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</si>
  <si>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</si>
  <si>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</si>
  <si>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</si>
  <si>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</si>
  <si>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</si>
  <si>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</si>
  <si>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</si>
  <si>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</si>
  <si>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</si>
  <si>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</si>
  <si>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</si>
  <si>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</si>
  <si>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</si>
  <si>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</si>
  <si>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</si>
  <si>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</si>
  <si>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</si>
  <si>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</si>
  <si>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</si>
  <si>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</si>
  <si>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</si>
  <si>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</si>
  <si>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</si>
  <si>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</si>
  <si>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</si>
  <si>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</si>
  <si>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</si>
  <si>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</si>
  <si>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</si>
  <si>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</si>
  <si>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</si>
  <si>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</si>
  <si>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</si>
  <si>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</si>
  <si>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</si>
  <si>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</si>
  <si>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</si>
  <si>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</si>
  <si>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</si>
  <si>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</si>
  <si>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</si>
  <si>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</si>
  <si>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</si>
  <si>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</si>
  <si>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</si>
  <si>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</si>
  <si>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</si>
  <si>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</si>
  <si>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</si>
  <si>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</si>
  <si>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</si>
  <si>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</si>
  <si>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</si>
  <si>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</si>
  <si>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</si>
  <si>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</si>
  <si>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</si>
  <si>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</si>
  <si>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</si>
  <si>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</si>
  <si>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</si>
  <si>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</si>
  <si>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</si>
  <si>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</si>
  <si>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</si>
  <si>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</si>
  <si>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</si>
  <si>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</si>
  <si>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</si>
  <si>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</si>
  <si>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</si>
  <si>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</si>
  <si>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</si>
  <si>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</si>
  <si>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</si>
  <si>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</si>
  <si>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</si>
  <si>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</si>
  <si>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</si>
  <si>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</si>
  <si>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</si>
  <si>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</si>
  <si>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</si>
  <si>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</si>
  <si>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</si>
  <si>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</si>
  <si>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</si>
  <si>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</si>
  <si>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</si>
  <si>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</si>
  <si>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</si>
  <si>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</si>
  <si>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</si>
  <si>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</si>
  <si>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</si>
  <si>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</si>
  <si>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</si>
  <si>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</si>
  <si>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</si>
  <si>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</si>
  <si>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</si>
  <si>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</si>
  <si>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</si>
  <si>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</si>
  <si>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</si>
  <si>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</si>
  <si>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</si>
  <si>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</si>
  <si>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</si>
  <si>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</si>
  <si>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</si>
  <si>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</si>
  <si>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</si>
  <si>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</si>
  <si>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</si>
  <si>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</si>
  <si>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</si>
  <si>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</si>
  <si>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</si>
  <si>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</si>
  <si>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</si>
  <si>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</si>
  <si>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</si>
  <si>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</si>
  <si>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</si>
  <si>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</si>
  <si>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</si>
  <si>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</si>
  <si>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</si>
  <si>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</si>
  <si>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</si>
  <si>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</si>
  <si>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</si>
  <si>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</si>
  <si>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</si>
  <si>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</si>
  <si>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</si>
  <si>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</si>
  <si>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</si>
  <si>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</si>
  <si>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</si>
  <si>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</si>
  <si>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</si>
  <si>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</si>
  <si>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</si>
  <si>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</si>
  <si>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</si>
  <si>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</si>
  <si>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</si>
  <si>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</si>
  <si>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</si>
  <si>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</si>
  <si>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</si>
  <si>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</si>
  <si>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</si>
  <si>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</si>
  <si>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</si>
  <si>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</si>
  <si>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</si>
  <si>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</si>
  <si>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</si>
  <si>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</si>
  <si>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</si>
  <si>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</si>
  <si>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</si>
  <si>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</si>
  <si>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</si>
  <si>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</si>
  <si>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</si>
  <si>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</si>
  <si>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</si>
  <si>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</si>
  <si>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</si>
  <si>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</si>
  <si>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</si>
  <si>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</si>
  <si>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</si>
  <si>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</si>
  <si>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</si>
  <si>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</si>
  <si>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</si>
  <si>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</si>
  <si>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</si>
  <si>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</si>
  <si>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</si>
  <si>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</si>
  <si>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</si>
  <si>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</si>
  <si>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</si>
  <si>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</si>
  <si>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</si>
  <si>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</si>
  <si>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</si>
  <si>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</si>
  <si>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</si>
  <si>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</si>
  <si>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</si>
  <si>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</si>
  <si>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</si>
  <si>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</si>
  <si>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</si>
  <si>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</si>
  <si>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</si>
  <si>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</si>
  <si>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</si>
  <si>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</si>
  <si>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</si>
  <si>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</si>
  <si>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</si>
  <si>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</si>
  <si>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</si>
  <si>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</si>
  <si>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</si>
  <si>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</si>
  <si>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</si>
  <si>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</si>
  <si>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</si>
  <si>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</si>
  <si>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</si>
  <si>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</si>
  <si>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</si>
  <si>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</si>
  <si>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</si>
  <si>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</si>
  <si>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</si>
  <si>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</si>
  <si>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</si>
  <si>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</si>
  <si>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</si>
  <si>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</si>
  <si>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</si>
  <si>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</si>
  <si>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</si>
  <si>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</si>
  <si>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</si>
  <si>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</si>
  <si>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</si>
  <si>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</si>
  <si>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</si>
  <si>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</si>
  <si>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</si>
  <si>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</si>
  <si>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</si>
  <si>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</si>
  <si>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</si>
  <si>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</si>
  <si>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</si>
  <si>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</si>
  <si>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</si>
  <si>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</si>
  <si>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</si>
  <si>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</si>
  <si>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</si>
  <si>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</si>
  <si>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</si>
  <si>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</si>
  <si>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</si>
  <si>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</si>
  <si>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</si>
  <si>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</si>
  <si>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</si>
  <si>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</si>
  <si>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</si>
  <si>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</si>
  <si>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</si>
  <si>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</si>
  <si>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</si>
  <si>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</si>
  <si>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</si>
  <si>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</si>
  <si>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</si>
  <si>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</si>
  <si>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</si>
  <si>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</si>
  <si>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</si>
  <si>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</si>
  <si>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</si>
  <si>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</si>
  <si>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</si>
  <si>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</si>
  <si>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</si>
  <si>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</si>
  <si>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</si>
  <si>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</si>
  <si>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</si>
  <si>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</si>
  <si>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</si>
  <si>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</si>
  <si>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</si>
  <si>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</si>
  <si>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</si>
  <si>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</si>
  <si>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</si>
  <si>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</si>
  <si>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</si>
  <si>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</si>
  <si>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</si>
  <si>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</si>
  <si>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</si>
  <si>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</si>
  <si>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</si>
  <si>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</si>
  <si>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</si>
  <si>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</si>
  <si>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</si>
  <si>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</si>
  <si>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</si>
  <si>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</si>
  <si>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</si>
  <si>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</si>
  <si>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</si>
  <si>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</si>
  <si>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</si>
  <si>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</si>
  <si>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</si>
  <si>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</si>
  <si>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</si>
  <si>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</si>
  <si>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</si>
  <si>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</si>
  <si>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</si>
  <si>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</si>
  <si>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</si>
  <si>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</si>
  <si>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</si>
  <si>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</si>
  <si>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</si>
  <si>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</si>
  <si>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</si>
  <si>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</si>
  <si>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</si>
  <si>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</si>
  <si>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</si>
  <si>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</si>
  <si>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</si>
  <si>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</si>
  <si>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</si>
  <si>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</si>
  <si>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</si>
  <si>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</si>
  <si>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</si>
  <si>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</si>
  <si>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</si>
  <si>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</si>
  <si>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</si>
  <si>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</si>
  <si>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</si>
  <si>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</si>
  <si>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</si>
  <si>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</si>
  <si>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</si>
  <si>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</si>
  <si>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</si>
  <si>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</si>
  <si>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</si>
  <si>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</si>
  <si>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</si>
  <si>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</si>
  <si>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</si>
  <si>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</si>
  <si>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</si>
  <si>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</si>
  <si>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</si>
  <si>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</si>
  <si>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</si>
  <si>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</si>
  <si>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</si>
  <si>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</si>
  <si>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</si>
  <si>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</si>
  <si>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</si>
  <si>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</si>
  <si>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</si>
  <si>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</si>
  <si>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</si>
  <si>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</si>
  <si>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</si>
  <si>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</si>
  <si>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</si>
  <si>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</si>
  <si>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</si>
  <si>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</si>
  <si>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</si>
  <si>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</si>
  <si>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</si>
  <si>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</si>
  <si>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</si>
  <si>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</si>
  <si>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</si>
  <si>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</si>
  <si>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</si>
  <si>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</si>
  <si>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</si>
  <si>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</si>
  <si>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</si>
  <si>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</si>
  <si>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</si>
  <si>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</si>
  <si>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</si>
  <si>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</si>
  <si>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</si>
  <si>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</si>
  <si>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</si>
  <si>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</si>
  <si>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</si>
  <si>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</si>
  <si>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</si>
  <si>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</si>
  <si>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</si>
  <si>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</si>
  <si>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</si>
  <si>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</si>
  <si>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</si>
  <si>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</si>
  <si>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</si>
  <si>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</si>
  <si>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</si>
  <si>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</si>
  <si>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</si>
  <si>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</si>
  <si>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</si>
  <si>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</si>
  <si>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</si>
  <si>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</si>
  <si>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</si>
  <si>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</si>
  <si>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</si>
  <si>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</si>
  <si>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</si>
  <si>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</si>
  <si>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</si>
  <si>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</si>
  <si>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</si>
  <si>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</si>
  <si>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</si>
  <si>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</si>
  <si>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</si>
  <si>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</si>
  <si>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</si>
  <si>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</si>
  <si>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</si>
  <si>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</si>
  <si>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</si>
  <si>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</si>
  <si>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</si>
  <si>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</si>
  <si>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</si>
  <si>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</si>
  <si>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</si>
  <si>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</si>
  <si>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</si>
  <si>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</si>
  <si>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</si>
  <si>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</si>
  <si>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</si>
  <si>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</si>
  <si>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</si>
  <si>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</si>
  <si>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</si>
  <si>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</si>
  <si>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</si>
  <si>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</si>
  <si>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</si>
  <si>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</si>
  <si>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</si>
  <si>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</si>
  <si>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</si>
  <si>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</si>
  <si>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</si>
  <si>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</si>
  <si>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</si>
  <si>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</si>
  <si>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</si>
  <si>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</si>
  <si>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</si>
  <si>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</si>
  <si>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</si>
  <si>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</si>
  <si>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</si>
  <si>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</si>
  <si>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</si>
  <si>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</si>
  <si>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</si>
  <si>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</si>
  <si>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</si>
  <si>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</si>
  <si>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</si>
  <si>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</si>
  <si>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</si>
  <si>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</si>
  <si>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</si>
  <si>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</si>
  <si>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</si>
  <si>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</si>
  <si>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</si>
  <si>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</si>
  <si>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</si>
  <si>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</si>
  <si>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</si>
  <si>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</si>
  <si>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</si>
  <si>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</si>
  <si>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</si>
  <si>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</si>
  <si>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</si>
  <si>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</si>
  <si>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</si>
  <si>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</si>
  <si>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</si>
  <si>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</si>
  <si>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</si>
  <si>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</si>
  <si>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</si>
  <si>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</si>
  <si>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</si>
  <si>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</si>
  <si>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</si>
  <si>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</si>
  <si>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</si>
  <si>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</si>
  <si>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</si>
  <si>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</si>
  <si>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</si>
  <si>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</si>
  <si>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</si>
  <si>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</si>
  <si>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</si>
  <si>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</si>
  <si>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</si>
  <si>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</si>
  <si>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</si>
  <si>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</si>
  <si>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</si>
  <si>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</si>
  <si>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</si>
  <si>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</si>
  <si>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</si>
  <si>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</si>
  <si>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</si>
  <si>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</si>
  <si>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</si>
  <si>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</si>
  <si>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</si>
  <si>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</si>
  <si>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</si>
  <si>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</si>
  <si>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</si>
  <si>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</si>
  <si>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</si>
  <si>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</si>
  <si>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</si>
  <si>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</si>
  <si>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</si>
  <si>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</si>
  <si>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</si>
  <si>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</si>
  <si>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</si>
  <si>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</si>
  <si>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</si>
  <si>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</si>
  <si>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</si>
  <si>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</si>
  <si>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</si>
  <si>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</si>
  <si>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</si>
  <si>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</si>
  <si>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</si>
  <si>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</si>
  <si>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</si>
  <si>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</si>
  <si>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</si>
  <si>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</si>
  <si>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</si>
  <si>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</si>
  <si>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</si>
  <si>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</si>
  <si>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</si>
  <si>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</si>
  <si>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</si>
  <si>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</si>
  <si>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</si>
  <si>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</si>
  <si>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</si>
  <si>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</si>
  <si>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</si>
  <si>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</si>
  <si>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</si>
  <si>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</si>
  <si>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</si>
  <si>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</si>
  <si>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</si>
  <si>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</si>
  <si>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</si>
  <si>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</si>
  <si>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</si>
  <si>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</si>
  <si>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</si>
  <si>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</si>
  <si>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</si>
  <si>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</si>
  <si>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</si>
  <si>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</si>
  <si>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</si>
  <si>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</si>
  <si>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</si>
  <si>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</si>
  <si>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</si>
  <si>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</si>
  <si>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</si>
  <si>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</si>
  <si>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</si>
  <si>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</si>
  <si>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</si>
  <si>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</si>
  <si>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</si>
  <si>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</si>
  <si>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</si>
  <si>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</si>
  <si>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</si>
  <si>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</si>
  <si>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</si>
  <si>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</si>
  <si>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</si>
  <si>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</si>
  <si>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</si>
  <si>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</si>
  <si>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</si>
  <si>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</si>
  <si>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</si>
  <si>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</si>
  <si>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</si>
  <si>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</si>
  <si>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</si>
  <si>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</si>
  <si>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</si>
  <si>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</si>
  <si>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</si>
  <si>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</si>
  <si>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</si>
  <si>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</si>
  <si>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</si>
  <si>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</si>
  <si>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</si>
  <si>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</si>
  <si>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</si>
  <si>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</si>
  <si>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</si>
  <si>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</si>
  <si>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</si>
  <si>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</si>
  <si>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</si>
  <si>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</si>
  <si>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</si>
  <si>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</si>
  <si>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</si>
  <si>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</si>
  <si>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</si>
  <si>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</si>
  <si>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</si>
  <si>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</si>
  <si>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</si>
  <si>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</si>
  <si>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</si>
  <si>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</si>
  <si>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</si>
  <si>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</si>
  <si>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</si>
  <si>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</si>
  <si>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</si>
  <si>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</si>
  <si>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</si>
  <si>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</si>
  <si>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</si>
  <si>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</si>
  <si>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</si>
  <si>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</si>
  <si>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</si>
  <si>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</si>
  <si>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</si>
  <si>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</si>
  <si>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</si>
  <si>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</si>
  <si>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</si>
  <si>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</si>
  <si>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</si>
  <si>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</si>
  <si>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</si>
  <si>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</si>
  <si>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</si>
  <si>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</si>
  <si>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</si>
  <si>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</si>
  <si>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</si>
  <si>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</si>
  <si>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</si>
  <si>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</si>
  <si>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</si>
  <si>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</si>
  <si>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</si>
  <si>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</si>
  <si>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</si>
  <si>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</si>
  <si>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</si>
  <si>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</si>
  <si>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</si>
  <si>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</si>
  <si>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</si>
  <si>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</si>
  <si>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</si>
  <si>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</si>
  <si>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</si>
  <si>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</si>
  <si>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</si>
  <si>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</si>
  <si>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</si>
  <si>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</si>
  <si>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</si>
  <si>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</si>
  <si>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</si>
  <si>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</si>
  <si>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</si>
  <si>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</si>
  <si>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</si>
  <si>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</si>
  <si>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</si>
  <si>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</si>
  <si>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</si>
  <si>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</si>
  <si>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</si>
  <si>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</si>
  <si>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</si>
  <si>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</si>
  <si>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</si>
  <si>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</si>
  <si>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</si>
  <si>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</si>
  <si>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</si>
  <si>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</si>
  <si>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</si>
  <si>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</si>
  <si>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</si>
  <si>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</si>
  <si>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</si>
  <si>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</si>
  <si>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</si>
  <si>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</si>
  <si>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</si>
  <si>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</si>
  <si>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</si>
  <si>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</si>
  <si>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</si>
  <si>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</si>
  <si>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</si>
  <si>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</si>
  <si>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</si>
  <si>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</si>
  <si>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</si>
  <si>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</si>
  <si>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</si>
  <si>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</si>
  <si>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</si>
  <si>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</si>
  <si>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</si>
  <si>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</si>
  <si>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</si>
  <si>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</si>
  <si>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</si>
  <si>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</si>
  <si>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</si>
  <si>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</si>
  <si>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</si>
  <si>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</si>
  <si>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</si>
  <si>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</si>
  <si>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</si>
  <si>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</si>
  <si>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</si>
  <si>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</si>
  <si>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</si>
  <si>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</si>
  <si>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</si>
  <si>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</si>
  <si>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</si>
  <si>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</si>
  <si>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</si>
  <si>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</si>
  <si>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</si>
  <si>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</si>
  <si>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</si>
  <si>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</si>
  <si>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</si>
  <si>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</si>
  <si>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</si>
  <si>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</si>
  <si>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</si>
  <si>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</si>
  <si>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</si>
  <si>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</si>
  <si>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</si>
  <si>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</si>
  <si>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</si>
  <si>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</si>
  <si>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</si>
  <si>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</si>
  <si>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</si>
  <si>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</si>
  <si>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</si>
  <si>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</si>
  <si>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</si>
  <si>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</si>
  <si>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</si>
  <si>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</si>
  <si>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</si>
  <si>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</si>
  <si>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</si>
  <si>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</si>
  <si>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</si>
  <si>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</si>
  <si>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</si>
  <si>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</si>
  <si>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</si>
  <si>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</si>
  <si>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</si>
  <si>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</si>
  <si>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</si>
  <si>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</si>
  <si>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</si>
  <si>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</si>
  <si>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</si>
  <si>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</si>
  <si>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</si>
  <si>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</si>
  <si>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</si>
  <si>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</si>
  <si>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</si>
  <si>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</si>
  <si>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</si>
  <si>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</si>
  <si>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</si>
  <si>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</si>
  <si>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</si>
  <si>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</si>
  <si>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</si>
  <si>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</si>
  <si>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</si>
  <si>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</si>
  <si>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</si>
  <si>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</si>
  <si>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</si>
  <si>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</si>
  <si>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</si>
  <si>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</si>
  <si>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</si>
  <si>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</si>
  <si>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</si>
  <si>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</si>
  <si>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</si>
  <si>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</si>
  <si>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</si>
  <si>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</si>
  <si>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</si>
  <si>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</si>
  <si>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</si>
  <si>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</si>
  <si>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</si>
  <si>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</si>
  <si>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</si>
  <si>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</si>
  <si>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</si>
  <si>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</si>
  <si>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</si>
  <si>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</si>
  <si>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</si>
  <si>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</si>
  <si>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</si>
  <si>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</si>
  <si>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</si>
  <si>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</si>
  <si>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</si>
  <si>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</si>
  <si>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</si>
  <si>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</si>
  <si>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</si>
  <si>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</si>
  <si>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</si>
  <si>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</si>
  <si>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</si>
  <si>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</si>
  <si>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</si>
  <si>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</si>
  <si>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</si>
  <si>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</si>
  <si>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</si>
  <si>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</si>
  <si>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</si>
  <si>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</si>
  <si>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</si>
  <si>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</si>
  <si>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</si>
  <si>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</si>
  <si>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</si>
  <si>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</si>
  <si>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</si>
  <si>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</si>
  <si>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</si>
  <si>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</si>
  <si>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</si>
  <si>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</si>
  <si>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</si>
  <si>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</si>
  <si>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</si>
  <si>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</si>
  <si>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</si>
  <si>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</si>
  <si>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</si>
  <si>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</si>
  <si>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</si>
  <si>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</si>
  <si>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</si>
  <si>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</si>
  <si>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</si>
  <si>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</si>
  <si>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</si>
  <si>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</si>
  <si>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</si>
  <si>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</si>
  <si>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</si>
  <si>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</si>
  <si>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</si>
  <si>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</si>
  <si>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</si>
  <si>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</si>
  <si>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</si>
  <si>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</si>
  <si>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</si>
  <si>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</si>
  <si>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</si>
  <si>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</si>
  <si>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</si>
  <si>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</si>
  <si>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</si>
  <si>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</si>
  <si>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</si>
  <si>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</si>
  <si>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</si>
  <si>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</si>
  <si>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</si>
  <si>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</si>
  <si>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</si>
  <si>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</si>
  <si>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</si>
  <si>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</si>
  <si>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</si>
  <si>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</si>
  <si>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</si>
  <si>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</si>
  <si>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</si>
  <si>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</si>
  <si>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</si>
  <si>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</si>
  <si>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</si>
  <si>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</si>
  <si>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</si>
  <si>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</si>
  <si>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</si>
  <si>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</si>
  <si>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</si>
  <si>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</si>
  <si>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</si>
  <si>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</si>
  <si>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</si>
  <si>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</si>
  <si>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</si>
  <si>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</si>
  <si>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</si>
  <si>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</si>
  <si>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</si>
  <si>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</si>
  <si>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</si>
  <si>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</si>
  <si>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</si>
  <si>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</si>
  <si>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</si>
  <si>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</si>
  <si>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</si>
  <si>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</si>
  <si>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</si>
  <si>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</si>
  <si>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</si>
  <si>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</si>
  <si>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</si>
  <si>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</si>
  <si>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</si>
  <si>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</si>
  <si>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</si>
  <si>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</si>
  <si>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</si>
  <si>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</si>
  <si>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</si>
  <si>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</si>
  <si>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</si>
  <si>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</si>
  <si>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</si>
  <si>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</si>
  <si>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</si>
  <si>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</si>
  <si>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</si>
  <si>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</si>
  <si>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</si>
  <si>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</si>
  <si>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</si>
  <si>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</si>
  <si>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</si>
  <si>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</si>
  <si>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</si>
  <si>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</si>
  <si>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</si>
  <si>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</si>
  <si>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</si>
  <si>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</si>
  <si>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</si>
  <si>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</si>
  <si>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</si>
  <si>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</si>
  <si>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</si>
  <si>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</si>
  <si>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</si>
  <si>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</si>
  <si>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</si>
  <si>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</si>
  <si>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</si>
  <si>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</si>
  <si>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</si>
  <si>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</si>
  <si>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</si>
  <si>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</si>
  <si>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</si>
  <si>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</si>
  <si>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</si>
  <si>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</si>
  <si>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</si>
  <si>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</si>
  <si>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</si>
  <si>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</si>
  <si>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</si>
  <si>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</si>
  <si>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</si>
  <si>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</si>
  <si>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</si>
  <si>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</si>
  <si>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</si>
  <si>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</si>
  <si>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</si>
  <si>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</si>
  <si>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</si>
  <si>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</si>
  <si>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</si>
  <si>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</si>
  <si>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</si>
  <si>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</si>
  <si>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</si>
  <si>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</si>
  <si>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</si>
  <si>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</si>
  <si>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</si>
  <si>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</si>
  <si>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</si>
  <si>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</si>
  <si>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</si>
  <si>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</si>
  <si>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</si>
  <si>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</si>
  <si>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</si>
  <si>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</si>
  <si>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</si>
  <si>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</si>
  <si>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</si>
  <si>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</si>
  <si>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</si>
  <si>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</si>
  <si>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</si>
  <si>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</si>
  <si>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</si>
  <si>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</si>
  <si>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</si>
  <si>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</si>
  <si>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</si>
  <si>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</si>
  <si>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</si>
  <si>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</si>
  <si>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</si>
  <si>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</si>
  <si>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</si>
  <si>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</si>
  <si>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</si>
  <si>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</si>
  <si>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</si>
  <si>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</si>
  <si>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</si>
  <si>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</si>
  <si>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</si>
  <si>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</si>
  <si>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</si>
  <si>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</si>
  <si>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</si>
  <si>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</si>
  <si>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</si>
  <si>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</si>
  <si>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</si>
  <si>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</si>
  <si>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</si>
  <si>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</si>
  <si>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</si>
  <si>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</si>
  <si>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</si>
  <si>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</si>
  <si>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</si>
  <si>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</si>
  <si>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</si>
  <si>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</si>
  <si>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</si>
  <si>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</si>
  <si>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</si>
  <si>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</si>
  <si>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</si>
  <si>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</si>
  <si>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</si>
  <si>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</si>
  <si>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</si>
  <si>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</si>
  <si>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</si>
  <si>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</si>
  <si>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</si>
  <si>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</si>
  <si>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</si>
  <si>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</si>
  <si>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</si>
  <si>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</si>
  <si>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</si>
  <si>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</si>
  <si>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</si>
  <si>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</si>
  <si>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</si>
  <si>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</si>
  <si>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</si>
  <si>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</si>
  <si>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</si>
  <si>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</si>
  <si>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</si>
  <si>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</si>
  <si>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</si>
  <si>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</si>
  <si>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</si>
  <si>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</si>
  <si>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</si>
  <si>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</si>
  <si>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</si>
  <si>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</si>
  <si>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</si>
  <si>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</si>
  <si>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</si>
  <si>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</si>
  <si>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</si>
  <si>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</si>
  <si>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</si>
  <si>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</si>
  <si>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</si>
  <si>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</si>
  <si>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</si>
  <si>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</si>
  <si>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</si>
  <si>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</si>
  <si>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</si>
  <si>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</si>
  <si>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</si>
  <si>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</si>
  <si>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</si>
  <si>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</si>
  <si>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</si>
  <si>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</si>
  <si>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</si>
  <si>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</si>
  <si>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</si>
  <si>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</si>
  <si>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</si>
  <si>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</si>
  <si>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</si>
  <si>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</si>
  <si>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</si>
  <si>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</si>
  <si>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</si>
  <si>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</si>
  <si>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</si>
  <si>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</si>
  <si>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</si>
  <si>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</si>
  <si>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</si>
  <si>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</si>
  <si>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</si>
  <si>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</si>
  <si>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</si>
  <si>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</si>
  <si>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</si>
  <si>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</si>
  <si>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</si>
  <si>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</si>
  <si>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</si>
  <si>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</si>
  <si>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</si>
  <si>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</si>
  <si>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</si>
  <si>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</si>
  <si>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</si>
  <si>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</si>
  <si>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</si>
  <si>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</si>
  <si>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</si>
  <si>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</si>
  <si>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</si>
  <si>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</si>
  <si>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</si>
  <si>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</si>
  <si>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</si>
  <si>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</si>
  <si>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</si>
  <si>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</si>
  <si>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</si>
  <si>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</si>
  <si>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</si>
  <si>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</si>
  <si>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</si>
  <si>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</si>
  <si>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</si>
  <si>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</si>
  <si>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</si>
  <si>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</si>
  <si>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</si>
  <si>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</si>
  <si>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</si>
  <si>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</si>
  <si>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</si>
  <si>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</si>
  <si>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</si>
  <si>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</si>
  <si>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</si>
  <si>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</si>
  <si>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</si>
  <si>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</si>
  <si>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</si>
  <si>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</si>
  <si>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</si>
  <si>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</si>
  <si>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</si>
  <si>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</si>
  <si>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</si>
  <si>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</si>
  <si>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</si>
  <si>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</si>
  <si>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</si>
  <si>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</si>
  <si>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</si>
  <si>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</si>
  <si>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</si>
  <si>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</si>
  <si>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</si>
  <si>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</si>
  <si>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</si>
  <si>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</si>
  <si>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</si>
  <si>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</si>
  <si>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</si>
  <si>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</si>
  <si>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</si>
  <si>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</si>
  <si>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</si>
  <si>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</si>
  <si>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</si>
  <si>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</si>
  <si>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</si>
  <si>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</si>
  <si>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</si>
  <si>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</si>
  <si>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</si>
  <si>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</si>
  <si>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</si>
  <si>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</si>
  <si>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</si>
  <si>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</si>
  <si>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</si>
  <si>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</si>
  <si>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</si>
  <si>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</si>
  <si>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</si>
  <si>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</si>
  <si>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</si>
  <si>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</si>
  <si>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</si>
  <si>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</si>
  <si>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</si>
  <si>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</si>
  <si>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</si>
  <si>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</si>
  <si>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</si>
  <si>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</si>
  <si>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</si>
  <si>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</si>
  <si>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</si>
  <si>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</si>
  <si>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</si>
  <si>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</si>
  <si>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</si>
  <si>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</si>
  <si>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</si>
  <si>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</si>
  <si>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</si>
  <si>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</si>
  <si>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</si>
  <si>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</si>
  <si>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</si>
  <si>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</si>
  <si>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</si>
  <si>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</si>
  <si>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</si>
  <si>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</si>
  <si>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</si>
  <si>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</si>
  <si>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</si>
  <si>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</si>
  <si>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</si>
  <si>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</si>
  <si>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</si>
  <si>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</si>
  <si>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</si>
  <si>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</si>
  <si>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</si>
  <si>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</si>
  <si>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</si>
  <si>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</si>
  <si>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</si>
  <si>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</si>
  <si>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</si>
  <si>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</si>
  <si>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</si>
  <si>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</si>
  <si>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</si>
  <si>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</si>
  <si>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</si>
  <si>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</si>
  <si>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</si>
  <si>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</si>
  <si>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</si>
  <si>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</si>
  <si>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</si>
  <si>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</si>
  <si>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</si>
  <si>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</si>
  <si>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</si>
  <si>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</si>
  <si>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</si>
  <si>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</si>
  <si>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</si>
  <si>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</si>
  <si>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</si>
  <si>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</si>
  <si>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</si>
  <si>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</si>
  <si>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</si>
  <si>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</si>
  <si>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</si>
  <si>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</si>
  <si>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</si>
  <si>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</si>
  <si>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</si>
  <si>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</si>
  <si>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</si>
  <si>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</si>
  <si>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</si>
  <si>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</si>
  <si>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</si>
  <si>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</si>
  <si>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</si>
  <si>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</si>
  <si>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</si>
  <si>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</si>
  <si>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</si>
  <si>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</si>
  <si>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</si>
  <si>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</si>
  <si>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</si>
  <si>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</si>
  <si>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</si>
  <si>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</si>
  <si>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</si>
  <si>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</si>
  <si>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</si>
  <si>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</si>
  <si>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</si>
  <si>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</si>
  <si>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</si>
  <si>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</si>
  <si>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</si>
  <si>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</si>
  <si>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</si>
  <si>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</si>
  <si>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</si>
  <si>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</si>
  <si>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</si>
  <si>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</si>
  <si>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</si>
  <si>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</si>
  <si>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</si>
  <si>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</si>
  <si>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</si>
  <si>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</si>
  <si>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</si>
  <si>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</si>
  <si>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</si>
  <si>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</si>
  <si>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</si>
  <si>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</si>
  <si>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</si>
  <si>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</si>
  <si>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</si>
  <si>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</si>
  <si>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</si>
  <si>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</si>
  <si>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</si>
  <si>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</si>
  <si>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</si>
  <si>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</si>
  <si>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</si>
  <si>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</si>
  <si>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</si>
  <si>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</si>
  <si>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</si>
  <si>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</si>
  <si>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</si>
  <si>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</si>
  <si>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</si>
  <si>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</si>
  <si>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</si>
  <si>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</si>
  <si>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</si>
  <si>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</si>
  <si>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</si>
  <si>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</si>
  <si>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</si>
  <si>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</si>
  <si>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</si>
  <si>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</si>
  <si>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</si>
  <si>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</si>
  <si>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</si>
  <si>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</si>
  <si>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</si>
  <si>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</si>
  <si>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</si>
  <si>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</si>
  <si>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</si>
  <si>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</si>
  <si>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</si>
  <si>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</si>
  <si>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</si>
  <si>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</si>
  <si>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</si>
  <si>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</si>
  <si>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</si>
  <si>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</si>
  <si>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</si>
  <si>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</si>
  <si>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</si>
  <si>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</si>
  <si>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</si>
  <si>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</si>
  <si>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</si>
  <si>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</si>
  <si>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</si>
  <si>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</si>
  <si>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</si>
  <si>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</si>
  <si>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</si>
  <si>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</si>
  <si>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</si>
  <si>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</si>
  <si>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</si>
  <si>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</si>
  <si>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</si>
  <si>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</si>
  <si>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</si>
  <si>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</si>
  <si>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</si>
  <si>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</si>
  <si>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</si>
  <si>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</si>
  <si>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</si>
  <si>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</si>
  <si>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</si>
  <si>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</si>
  <si>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</si>
  <si>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</si>
  <si>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</si>
  <si>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</si>
  <si>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</si>
  <si>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</si>
  <si>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</si>
  <si>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</si>
  <si>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</si>
  <si>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</si>
  <si>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</si>
  <si>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</si>
  <si>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</si>
  <si>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</si>
  <si>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</si>
  <si>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</si>
  <si>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</si>
  <si>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</si>
  <si>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</si>
  <si>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</si>
  <si>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</si>
  <si>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</si>
  <si>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</si>
  <si>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</si>
  <si>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</si>
  <si>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</si>
  <si>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</si>
  <si>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</si>
  <si>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</si>
  <si>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</si>
  <si>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</si>
  <si>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</si>
  <si>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</si>
  <si>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</si>
  <si>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</si>
  <si>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</si>
  <si>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</si>
  <si>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</si>
  <si>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</si>
  <si>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</si>
  <si>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</si>
  <si>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</si>
  <si>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</si>
  <si>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</si>
  <si>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</si>
  <si>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</si>
  <si>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</si>
  <si>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</si>
  <si>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</si>
  <si>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</si>
  <si>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</si>
  <si>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</si>
  <si>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</si>
  <si>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</si>
  <si>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</si>
  <si>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</si>
  <si>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</si>
  <si>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</si>
  <si>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</si>
  <si>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</si>
  <si>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</si>
  <si>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</si>
  <si>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</si>
  <si>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</si>
  <si>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</si>
  <si>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</si>
  <si>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</si>
  <si>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</si>
  <si>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</si>
  <si>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</si>
  <si>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</si>
  <si>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</si>
  <si>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</si>
  <si>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</si>
  <si>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</si>
  <si>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</si>
  <si>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</si>
  <si>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</si>
  <si>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</si>
  <si>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</si>
  <si>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</si>
  <si>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</si>
  <si>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</si>
  <si>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</si>
  <si>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</si>
  <si>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</si>
  <si>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</si>
  <si>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</si>
  <si>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</si>
  <si>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</si>
  <si>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</si>
  <si>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</si>
  <si>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</si>
  <si>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</si>
  <si>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</si>
  <si>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</si>
  <si>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</si>
  <si>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</si>
  <si>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</si>
  <si>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</si>
  <si>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</si>
  <si>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</si>
  <si>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</si>
  <si>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</si>
  <si>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</si>
  <si>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</si>
  <si>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</si>
  <si>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</si>
  <si>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</si>
  <si>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</si>
  <si>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</si>
  <si>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</si>
  <si>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</si>
  <si>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</si>
  <si>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</si>
  <si>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</si>
  <si>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</si>
  <si>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</si>
  <si>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</si>
  <si>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</si>
  <si>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</si>
  <si>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</si>
  <si>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</si>
  <si>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</si>
  <si>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</si>
  <si>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</si>
  <si>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</si>
  <si>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</si>
  <si>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</si>
  <si>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</si>
  <si>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</si>
  <si>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</si>
  <si>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</si>
  <si>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</si>
  <si>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</si>
  <si>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</si>
  <si>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</si>
  <si>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</si>
  <si>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</si>
  <si>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</si>
  <si>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</si>
  <si>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</si>
  <si>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</si>
  <si>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</si>
  <si>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</si>
  <si>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</si>
  <si>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</si>
  <si>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</si>
  <si>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</si>
  <si>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</si>
  <si>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</si>
  <si>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</si>
  <si>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</si>
  <si>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</si>
  <si>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</si>
  <si>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</si>
  <si>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</si>
  <si>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</si>
  <si>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</si>
  <si>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</si>
  <si>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</si>
  <si>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</si>
  <si>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</si>
  <si>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</si>
  <si>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</si>
  <si>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</si>
  <si>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</si>
  <si>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</si>
  <si>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</si>
  <si>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</si>
  <si>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</si>
  <si>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</si>
  <si>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</si>
  <si>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</si>
  <si>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</si>
  <si>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</si>
  <si>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</si>
  <si>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</si>
  <si>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</si>
  <si>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</si>
  <si>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</si>
  <si>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</si>
  <si>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</si>
  <si>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</si>
  <si>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</si>
  <si>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</si>
  <si>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</si>
  <si>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</si>
  <si>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</si>
  <si>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</si>
  <si>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</si>
  <si>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</si>
  <si>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</si>
  <si>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</si>
  <si>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</si>
  <si>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</si>
  <si>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</si>
  <si>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</si>
  <si>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</si>
  <si>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</si>
  <si>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</si>
  <si>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</si>
  <si>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</si>
  <si>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</si>
  <si>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</si>
  <si>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</si>
  <si>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</si>
  <si>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</si>
  <si>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</si>
  <si>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</si>
  <si>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</si>
  <si>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</si>
  <si>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</si>
  <si>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</si>
  <si>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</si>
  <si>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</si>
  <si>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</si>
  <si>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</si>
  <si>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</si>
  <si>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</si>
  <si>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</si>
  <si>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</si>
  <si>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</si>
  <si>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</si>
  <si>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</si>
  <si>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</si>
  <si>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</si>
  <si>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</si>
  <si>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</si>
  <si>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</si>
  <si>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</si>
  <si>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</si>
  <si>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</si>
  <si>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</si>
  <si>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</si>
  <si>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</si>
  <si>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</si>
  <si>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</si>
  <si>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</si>
  <si>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</si>
  <si>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</si>
  <si>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</si>
  <si>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</si>
  <si>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</si>
  <si>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</si>
  <si>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</si>
  <si>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</si>
  <si>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</si>
  <si>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</si>
  <si>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</si>
  <si>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</si>
  <si>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</si>
  <si>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</si>
  <si>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</si>
  <si>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</si>
  <si>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</si>
  <si>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</si>
  <si>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</si>
  <si>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</si>
  <si>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</si>
  <si>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</si>
  <si>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</si>
  <si>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</si>
  <si>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</si>
  <si>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</si>
  <si>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</si>
  <si>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</si>
  <si>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</si>
  <si>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</si>
  <si>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</si>
  <si>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</si>
  <si>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</si>
  <si>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</si>
  <si>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</si>
  <si>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</si>
  <si>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</si>
  <si>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</si>
  <si>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</si>
  <si>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</si>
  <si>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</si>
  <si>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</si>
  <si>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</si>
  <si>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</si>
  <si>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</si>
  <si>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</si>
  <si>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</si>
  <si>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</si>
  <si>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</si>
  <si>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</si>
  <si>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</si>
  <si>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</si>
  <si>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</si>
  <si>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</si>
  <si>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</si>
  <si>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</si>
  <si>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</si>
  <si>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</si>
  <si>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</si>
  <si>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</si>
  <si>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</si>
  <si>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</si>
  <si>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</si>
  <si>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</si>
  <si>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</si>
  <si>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</si>
  <si>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</si>
  <si>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</si>
  <si>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</si>
  <si>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</si>
  <si>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</si>
  <si>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</si>
  <si>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</si>
  <si>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</si>
  <si>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</si>
  <si>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</si>
  <si>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</si>
  <si>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</si>
  <si>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</si>
  <si>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</si>
  <si>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</si>
  <si>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</si>
  <si>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</si>
  <si>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</si>
  <si>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</si>
  <si>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</si>
  <si>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</si>
  <si>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</si>
  <si>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</si>
  <si>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</si>
  <si>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</si>
  <si>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</si>
  <si>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</si>
  <si>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</si>
  <si>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</si>
  <si>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</si>
  <si>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</si>
  <si>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</si>
  <si>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</si>
  <si>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</si>
  <si>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</si>
  <si>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</si>
  <si>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</si>
  <si>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</si>
  <si>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</si>
  <si>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</si>
  <si>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</si>
  <si>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</si>
  <si>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</si>
  <si>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</si>
  <si>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</si>
  <si>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</si>
  <si>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</si>
  <si>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</si>
  <si>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</si>
  <si>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</si>
  <si>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</si>
  <si>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</si>
  <si>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</si>
  <si>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</si>
  <si>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</si>
  <si>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</si>
  <si>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</si>
  <si>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</si>
  <si>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</si>
  <si>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</si>
  <si>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</si>
  <si>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</si>
  <si>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</si>
  <si>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</si>
  <si>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</si>
  <si>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</si>
  <si>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</si>
  <si>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</si>
  <si>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</si>
  <si>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</si>
  <si>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</si>
  <si>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</si>
  <si>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</si>
  <si>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</si>
  <si>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</si>
  <si>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</si>
  <si>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</si>
  <si>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</si>
  <si>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</si>
  <si>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</si>
  <si>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</si>
  <si>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</si>
  <si>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</si>
  <si>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</si>
  <si>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</si>
  <si>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</si>
  <si>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</si>
  <si>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</si>
  <si>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</si>
  <si>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</si>
  <si>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</si>
  <si>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</si>
  <si>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</si>
  <si>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</si>
  <si>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</si>
  <si>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</si>
  <si>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</si>
  <si>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</si>
  <si>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</si>
  <si>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</si>
  <si>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</si>
  <si>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</si>
  <si>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</si>
  <si>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</si>
  <si>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</si>
  <si>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</si>
  <si>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</si>
  <si>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</si>
  <si>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</si>
  <si>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</si>
  <si>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</si>
  <si>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</si>
  <si>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</si>
  <si>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</si>
  <si>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</si>
  <si>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</si>
  <si>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</si>
  <si>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</si>
  <si>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</si>
  <si>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</si>
  <si>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</si>
  <si>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</si>
  <si>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</si>
  <si>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</si>
  <si>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</si>
  <si>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</si>
  <si>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</si>
  <si>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</si>
  <si>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</si>
  <si>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</si>
  <si>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</si>
  <si>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</si>
  <si>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</si>
  <si>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</si>
  <si>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</si>
  <si>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</si>
  <si>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</si>
  <si>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</si>
  <si>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</si>
  <si>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</si>
  <si>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</si>
  <si>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</si>
  <si>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</si>
  <si>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</si>
  <si>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</si>
  <si>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</si>
  <si>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</si>
  <si>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</si>
  <si>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</si>
  <si>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</si>
  <si>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</si>
  <si>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</si>
  <si>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</si>
  <si>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</si>
  <si>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</si>
  <si>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</si>
  <si>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</si>
  <si>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</si>
  <si>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</si>
  <si>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</si>
  <si>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</si>
  <si>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</si>
  <si>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</si>
  <si>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</si>
  <si>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</si>
  <si>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</si>
  <si>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</si>
  <si>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</si>
  <si>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</si>
  <si>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</si>
  <si>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</si>
  <si>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</si>
  <si>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</si>
  <si>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</si>
  <si>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</si>
  <si>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</si>
  <si>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</si>
  <si>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</si>
  <si>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</si>
  <si>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</si>
  <si>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</si>
  <si>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</si>
  <si>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</si>
  <si>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</si>
  <si>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</si>
  <si>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</si>
  <si>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</si>
  <si>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</si>
  <si>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</si>
  <si>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</si>
  <si>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</si>
  <si>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</si>
  <si>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</si>
  <si>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</si>
  <si>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</si>
  <si>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</si>
  <si>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</si>
  <si>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</si>
  <si>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</si>
  <si>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</si>
  <si>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</si>
  <si>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</si>
  <si>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</si>
  <si>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</si>
  <si>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</si>
  <si>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</si>
  <si>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</si>
  <si>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</si>
  <si>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</si>
  <si>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</si>
  <si>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</si>
  <si>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</si>
  <si>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</si>
  <si>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</si>
  <si>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</si>
  <si>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</si>
  <si>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</si>
  <si>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</si>
  <si>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</si>
  <si>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</si>
  <si>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</si>
  <si>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</si>
  <si>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</si>
  <si>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</si>
  <si>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</si>
  <si>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</si>
  <si>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</si>
  <si>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</si>
  <si>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</si>
  <si>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</si>
  <si>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</si>
  <si>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</si>
  <si>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</si>
  <si>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</si>
  <si>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</si>
  <si>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</si>
  <si>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</si>
  <si>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</si>
  <si>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</si>
  <si>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</si>
  <si>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</si>
  <si>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</si>
  <si>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</si>
  <si>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</si>
  <si>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</si>
  <si>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</si>
  <si>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</si>
  <si>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</si>
  <si>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</si>
  <si>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</si>
  <si>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</si>
  <si>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</si>
  <si>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</si>
  <si>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</si>
  <si>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</si>
  <si>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</si>
  <si>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</si>
  <si>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</si>
  <si>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</si>
  <si>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</si>
  <si>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</si>
  <si>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</si>
  <si>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</si>
  <si>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</si>
  <si>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</si>
  <si>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</si>
  <si>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</si>
  <si>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</si>
  <si>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</si>
  <si>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</si>
  <si>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</si>
  <si>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</si>
  <si>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</si>
  <si>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</si>
  <si>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</si>
  <si>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</si>
  <si>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</si>
  <si>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</si>
  <si>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</si>
  <si>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</si>
  <si>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</si>
  <si>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</si>
  <si>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</si>
  <si>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</si>
  <si>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</si>
  <si>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</si>
  <si>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</si>
  <si>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</si>
  <si>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</si>
  <si>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</si>
  <si>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</si>
  <si>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</si>
  <si>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</si>
  <si>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</si>
  <si>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</si>
  <si>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</si>
  <si>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</si>
  <si>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</si>
  <si>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</si>
  <si>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</si>
  <si>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</si>
  <si>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</si>
  <si>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</si>
  <si>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</si>
  <si>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</si>
  <si>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</si>
  <si>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</si>
  <si>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</si>
  <si>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</si>
  <si>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</si>
  <si>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</si>
  <si>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</si>
  <si>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</si>
  <si>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</si>
  <si>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</si>
  <si>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</si>
  <si>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</si>
  <si>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</si>
  <si>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</si>
  <si>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</si>
  <si>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</si>
  <si>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</si>
  <si>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</si>
  <si>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</si>
  <si>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</si>
  <si>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</si>
  <si>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</si>
  <si>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</si>
  <si>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</si>
  <si>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</si>
  <si>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</si>
  <si>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</si>
  <si>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</si>
  <si>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</si>
  <si>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</si>
  <si>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</si>
  <si>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</si>
  <si>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</si>
  <si>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</si>
  <si>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</si>
  <si>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</si>
  <si>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</si>
  <si>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</si>
  <si>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</si>
  <si>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</si>
  <si>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</si>
  <si>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</si>
  <si>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</si>
  <si>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</si>
  <si>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</si>
  <si>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</si>
  <si>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</si>
  <si>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</si>
  <si>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</si>
  <si>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</si>
  <si>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</si>
  <si>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</si>
  <si>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</si>
  <si>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</si>
  <si>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</si>
  <si>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</si>
  <si>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</si>
  <si>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</si>
  <si>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</si>
  <si>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</si>
  <si>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</si>
  <si>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</si>
  <si>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</si>
  <si>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</si>
  <si>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</si>
  <si>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</si>
  <si>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</si>
  <si>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</si>
  <si>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</si>
  <si>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</si>
  <si>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</si>
  <si>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</si>
  <si>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</si>
  <si>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</si>
  <si>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</si>
  <si>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</si>
  <si>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</si>
  <si>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</si>
  <si>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</si>
  <si>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</si>
  <si>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</si>
  <si>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</si>
  <si>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</si>
  <si>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</si>
  <si>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</si>
  <si>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</si>
  <si>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</si>
  <si>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</si>
  <si>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</si>
  <si>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</si>
  <si>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</si>
  <si>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</si>
  <si>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</si>
  <si>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</si>
  <si>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</si>
  <si>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</si>
  <si>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</si>
  <si>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</si>
  <si>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</si>
  <si>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</si>
  <si>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</si>
  <si>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</si>
  <si>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</si>
  <si>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</si>
  <si>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</si>
  <si>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</si>
  <si>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</si>
  <si>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</si>
  <si>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</si>
  <si>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</si>
  <si>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</si>
  <si>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</si>
  <si>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</si>
  <si>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</si>
  <si>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</si>
  <si>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</si>
  <si>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</si>
  <si>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</si>
  <si>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</si>
  <si>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</si>
  <si>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</si>
  <si>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</si>
  <si>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</si>
  <si>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</si>
  <si>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</si>
  <si>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</si>
  <si>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</si>
  <si>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</si>
  <si>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</si>
  <si>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</si>
  <si>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</si>
  <si>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</si>
  <si>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</si>
  <si>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</si>
  <si>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</si>
  <si>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</si>
  <si>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</si>
  <si>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</si>
  <si>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</si>
  <si>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</si>
  <si>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</si>
  <si>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</si>
  <si>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</si>
  <si>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</si>
  <si>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</si>
  <si>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</si>
  <si>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</si>
  <si>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</si>
  <si>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</si>
  <si>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</si>
  <si>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</si>
  <si>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</si>
  <si>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</si>
  <si>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</si>
  <si>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</si>
  <si>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</si>
  <si>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</si>
  <si>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</si>
  <si>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</si>
  <si>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</si>
  <si>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</si>
  <si>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</si>
  <si>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</si>
  <si>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</si>
  <si>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</si>
  <si>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</si>
  <si>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</si>
  <si>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</si>
  <si>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</si>
  <si>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</si>
  <si>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</si>
  <si>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</si>
  <si>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</si>
  <si>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</si>
  <si>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</si>
  <si>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</si>
  <si>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</si>
  <si>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</si>
  <si>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</si>
  <si>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</si>
  <si>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</si>
  <si>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</si>
  <si>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</si>
  <si>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</si>
  <si>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</si>
  <si>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</si>
  <si>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</si>
  <si>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</si>
  <si>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</si>
  <si>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</si>
  <si>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</si>
  <si>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</si>
  <si>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</si>
  <si>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</si>
  <si>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</si>
  <si>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</si>
  <si>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</si>
  <si>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</si>
  <si>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</si>
  <si>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</si>
  <si>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</si>
  <si>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</si>
  <si>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</si>
  <si>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</si>
  <si>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</si>
  <si>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</si>
  <si>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</si>
  <si>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</si>
  <si>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</si>
  <si>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</si>
  <si>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</si>
  <si>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</si>
  <si>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</si>
  <si>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</si>
  <si>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</si>
  <si>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</si>
  <si>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</si>
  <si>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</si>
  <si>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</si>
  <si>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</si>
  <si>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</si>
  <si>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</si>
  <si>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</si>
  <si>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</si>
  <si>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</si>
  <si>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</si>
  <si>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</si>
  <si>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</si>
  <si>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</si>
  <si>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</si>
  <si>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</si>
  <si>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</si>
  <si>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</si>
  <si>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</si>
  <si>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</si>
  <si>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</si>
  <si>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</si>
  <si>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</si>
  <si>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</si>
  <si>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</si>
  <si>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</si>
  <si>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</si>
  <si>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</si>
  <si>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</si>
  <si>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</si>
  <si>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</si>
  <si>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</si>
  <si>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</si>
  <si>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</si>
  <si>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</si>
  <si>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</si>
  <si>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</si>
  <si>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</si>
  <si>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</si>
  <si>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</si>
  <si>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</si>
  <si>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</si>
  <si>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</si>
  <si>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</si>
  <si>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</si>
  <si>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</si>
  <si>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</si>
  <si>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</si>
  <si>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</si>
  <si>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</si>
  <si>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</si>
  <si>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</si>
  <si>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</si>
  <si>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</si>
  <si>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</si>
  <si>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</si>
  <si>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</si>
  <si>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</si>
  <si>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</si>
  <si>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</si>
  <si>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</si>
  <si>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</si>
  <si>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</si>
  <si>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</si>
  <si>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</si>
  <si>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</si>
  <si>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</si>
  <si>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</si>
  <si>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</si>
  <si>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</si>
  <si>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</si>
  <si>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</si>
  <si>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</si>
  <si>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</si>
  <si>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</si>
  <si>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</si>
  <si>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</si>
  <si>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</si>
  <si>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</si>
  <si>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</si>
  <si>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</si>
  <si>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</si>
  <si>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</si>
  <si>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</si>
  <si>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</si>
  <si>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</si>
  <si>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</si>
  <si>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</si>
  <si>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</si>
  <si>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</si>
  <si>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</si>
  <si>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</si>
  <si>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</si>
  <si>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</si>
  <si>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</si>
  <si>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</si>
  <si>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</si>
  <si>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</si>
  <si>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</si>
  <si>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</si>
  <si>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</si>
  <si>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</si>
  <si>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</si>
  <si>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</si>
  <si>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</si>
  <si>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</si>
  <si>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</si>
  <si>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</si>
  <si>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</si>
  <si>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</si>
  <si>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</si>
  <si>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</si>
  <si>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</si>
  <si>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</si>
  <si>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</si>
  <si>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</si>
  <si>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</si>
  <si>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</si>
  <si>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</si>
  <si>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</si>
  <si>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</si>
  <si>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</si>
  <si>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</si>
  <si>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</si>
  <si>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</si>
  <si>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</si>
  <si>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</si>
  <si>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</si>
  <si>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</si>
  <si>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</si>
  <si>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</si>
  <si>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</si>
  <si>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</si>
  <si>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</si>
  <si>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</si>
  <si>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</si>
  <si>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</si>
  <si>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</si>
  <si>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</si>
  <si>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</si>
  <si>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</si>
  <si>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</si>
  <si>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</si>
  <si>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</si>
  <si>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</si>
  <si>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</si>
  <si>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</si>
  <si>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</si>
  <si>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</si>
  <si>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</si>
  <si>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</si>
  <si>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</si>
  <si>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</si>
  <si>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</si>
  <si>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</si>
  <si>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</si>
  <si>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</si>
  <si>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</si>
  <si>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</si>
  <si>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</si>
  <si>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</si>
  <si>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</si>
  <si>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</si>
  <si>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</si>
  <si>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</si>
  <si>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</si>
  <si>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</si>
  <si>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</si>
  <si>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</si>
  <si>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其他：</t>
  </si>
  <si>
    <t>企业</t>
  </si>
  <si>
    <t>出让</t>
  </si>
  <si>
    <t>商业现房部分</t>
    <phoneticPr fontId="143" type="noConversion"/>
  </si>
  <si>
    <t>房产证</t>
    <phoneticPr fontId="143" type="noConversion"/>
  </si>
  <si>
    <t>土地证</t>
    <phoneticPr fontId="143" type="noConversion"/>
  </si>
  <si>
    <t>房产证号</t>
    <phoneticPr fontId="143" type="noConversion"/>
  </si>
  <si>
    <t>土地证号</t>
    <phoneticPr fontId="143" type="noConversion"/>
  </si>
  <si>
    <t>永国用（2015）第001号</t>
    <phoneticPr fontId="143" type="noConversion"/>
  </si>
  <si>
    <t>房屋所有权人</t>
    <phoneticPr fontId="143" type="noConversion"/>
  </si>
  <si>
    <t>廊坊国盛房地产开发有限公司</t>
    <phoneticPr fontId="143" type="noConversion"/>
  </si>
  <si>
    <t>土地使用权人</t>
    <phoneticPr fontId="143" type="noConversion"/>
  </si>
  <si>
    <t>房屋坐落</t>
    <phoneticPr fontId="143" type="noConversion"/>
  </si>
  <si>
    <t>永清县韩村镇国瑞商业街1号楼</t>
    <phoneticPr fontId="143" type="noConversion"/>
  </si>
  <si>
    <t>坐落</t>
    <phoneticPr fontId="143" type="noConversion"/>
  </si>
  <si>
    <t>永清县韩村镇廊霸路南侧</t>
    <phoneticPr fontId="143" type="noConversion"/>
  </si>
  <si>
    <t>登记时间</t>
    <phoneticPr fontId="143" type="noConversion"/>
  </si>
  <si>
    <t>地号</t>
    <phoneticPr fontId="143" type="noConversion"/>
  </si>
  <si>
    <t>004023GB00007</t>
    <phoneticPr fontId="143" type="noConversion"/>
  </si>
  <si>
    <t>规划用途</t>
    <phoneticPr fontId="143" type="noConversion"/>
  </si>
  <si>
    <t>商业</t>
    <phoneticPr fontId="143" type="noConversion"/>
  </si>
  <si>
    <t>地类（用途）</t>
    <phoneticPr fontId="143" type="noConversion"/>
  </si>
  <si>
    <t>商务金融用地</t>
    <phoneticPr fontId="143" type="noConversion"/>
  </si>
  <si>
    <t>总楼层</t>
    <phoneticPr fontId="143" type="noConversion"/>
  </si>
  <si>
    <t>使用权类型</t>
    <phoneticPr fontId="143" type="noConversion"/>
  </si>
  <si>
    <t>出让</t>
    <phoneticPr fontId="143" type="noConversion"/>
  </si>
  <si>
    <t>建筑面积</t>
    <phoneticPr fontId="143" type="noConversion"/>
  </si>
  <si>
    <t>终止日期</t>
    <phoneticPr fontId="143" type="noConversion"/>
  </si>
  <si>
    <t>地号</t>
    <phoneticPr fontId="143" type="noConversion"/>
  </si>
  <si>
    <t>004023GB00007</t>
    <phoneticPr fontId="143" type="noConversion"/>
  </si>
  <si>
    <t>使用权面积</t>
    <phoneticPr fontId="143" type="noConversion"/>
  </si>
  <si>
    <t>土地使用年限</t>
    <phoneticPr fontId="143" type="noConversion"/>
  </si>
  <si>
    <t>2015-1-20至2050-12-29</t>
    <phoneticPr fontId="143" type="noConversion"/>
  </si>
  <si>
    <t>地上</t>
  </si>
  <si>
    <t>是</t>
  </si>
  <si>
    <t>独立商业</t>
  </si>
  <si>
    <t>商业</t>
    <phoneticPr fontId="7" type="noConversion"/>
  </si>
  <si>
    <t>成新度</t>
  </si>
  <si>
    <t>收益法 (元)</t>
  </si>
  <si>
    <t>押一</t>
  </si>
  <si>
    <t>按租金收入计税</t>
  </si>
  <si>
    <t>钢混</t>
  </si>
  <si>
    <t>非生产用房</t>
  </si>
  <si>
    <t>否</t>
  </si>
  <si>
    <t>现房</t>
  </si>
  <si>
    <t>典型户型修正</t>
    <phoneticPr fontId="16" type="noConversion"/>
  </si>
  <si>
    <t>售价</t>
  </si>
  <si>
    <t>正常</t>
  </si>
  <si>
    <t>商业</t>
    <phoneticPr fontId="31" type="noConversion"/>
  </si>
  <si>
    <t>30-40（含）</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</si>
  <si>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</si>
  <si>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</si>
  <si>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</si>
  <si>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</si>
  <si>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r>
      <t>1-3</t>
    </r>
    <r>
      <rPr>
        <sz val="11"/>
        <color indexed="8"/>
        <rFont val="宋体"/>
        <family val="3"/>
        <charset val="134"/>
      </rPr>
      <t>层</t>
    </r>
    <phoneticPr fontId="31" type="noConversion"/>
  </si>
  <si>
    <t>1-2层</t>
  </si>
  <si>
    <t>1-3层</t>
  </si>
  <si>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</si>
  <si>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</si>
  <si>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</si>
  <si>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</si>
  <si>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</si>
  <si>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</si>
  <si>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</si>
  <si>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</si>
  <si>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</si>
  <si>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</si>
  <si>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</si>
  <si>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</si>
  <si>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</si>
  <si>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</si>
  <si>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</si>
  <si>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</si>
  <si>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</si>
  <si>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</si>
  <si>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</si>
  <si>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t>较好</t>
  </si>
  <si>
    <t>比较法-商业</t>
  </si>
  <si>
    <t>超高层高</t>
  </si>
  <si>
    <t>一般</t>
  </si>
  <si>
    <t>七通</t>
  </si>
  <si>
    <t>较差</t>
  </si>
  <si>
    <t>永房权证直字第2016-1052号</t>
    <phoneticPr fontId="143" type="noConversion"/>
  </si>
  <si>
    <t>收益比率</t>
  </si>
  <si>
    <t>1层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</si>
</sst>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54" fillId="17" borderId="0" xfId="0" applyFont="1" applyFill="1" applyAlignment="1">
      <alignment horizontal="left" vertical="center"/>
    </xf>
    <xf numFmtId="0" fontId="254" fillId="0" borderId="0" xfId="0" applyFont="1" applyAlignment="1">
      <alignment horizontal="left" vertical="center"/>
    </xf>
    <xf numFmtId="14" fontId="254" fillId="0" borderId="0" xfId="0" applyNumberFormat="1" applyFont="1" applyAlignment="1">
      <alignment horizontal="lef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50" fillId="18" borderId="5"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0" fillId="17"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68580</xdr:colOff>
      <xdr:row>3</xdr:row>
      <xdr:rowOff>91440</xdr:rowOff>
    </xdr:from>
    <xdr:to>
      <xdr:col>10</xdr:col>
      <xdr:colOff>434477</xdr:colOff>
      <xdr:row>6</xdr:row>
      <xdr:rowOff>114355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5158740" y="662940"/>
          <a:ext cx="1585097" cy="640135"/>
        </a:xfrm>
        <a:prstGeom prst="rect">
          <a:avLst/>
        </a:prstGeom>
      </xdr:spPr>
    </xdr:pic>
    <xdr:clientData/>
  </xdr:twoCellAnchor>
  <xdr:twoCellAnchor editAs="oneCell">
    <xdr:from>
      <xdr:col>0</xdr:col>
      <xdr:colOff>350520</xdr:colOff>
      <xdr:row>15</xdr:row>
      <xdr:rowOff>60960</xdr:rowOff>
    </xdr:from>
    <xdr:to>
      <xdr:col>9</xdr:col>
      <xdr:colOff>183388</xdr:colOff>
      <xdr:row>39</xdr:row>
      <xdr:rowOff>15616</xdr:rowOff>
    </xdr:to>
    <xdr:pic>
      <xdr:nvPicPr>
        <xdr:cNvPr id="3" name="图片 2"/>
        <xdr:cNvPicPr>
          <a:picLocks noChangeAspect="1"/>
        </xdr:cNvPicPr>
      </xdr:nvPicPr>
      <xdr:blipFill>
        <a:blip xmlns:r="http://schemas.openxmlformats.org/officeDocument/2006/relationships" r:embed="rId2"/>
        <a:stretch>
          <a:fillRect/>
        </a:stretch>
      </xdr:blipFill>
      <xdr:spPr>
        <a:xfrm>
          <a:off x="350520" y="3055620"/>
          <a:ext cx="5867908" cy="4343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14</xdr:col>
      <xdr:colOff>435012</xdr:colOff>
      <xdr:row>8</xdr:row>
      <xdr:rowOff>83922</xdr:rowOff>
    </xdr:to>
    <xdr:pic>
      <xdr:nvPicPr>
        <xdr:cNvPr id="2" name="图片 1"/>
        <xdr:cNvPicPr>
          <a:picLocks noChangeAspect="1"/>
        </xdr:cNvPicPr>
      </xdr:nvPicPr>
      <xdr:blipFill>
        <a:blip xmlns:r="http://schemas.openxmlformats.org/officeDocument/2006/relationships" r:embed="rId1"/>
        <a:stretch>
          <a:fillRect/>
        </a:stretch>
      </xdr:blipFill>
      <xdr:spPr>
        <a:xfrm>
          <a:off x="1219200" y="365760"/>
          <a:ext cx="7750212" cy="1181202"/>
        </a:xfrm>
        <a:prstGeom prst="rect">
          <a:avLst/>
        </a:prstGeom>
      </xdr:spPr>
    </xdr:pic>
    <xdr:clientData/>
  </xdr:twoCellAnchor>
  <xdr:twoCellAnchor editAs="oneCell">
    <xdr:from>
      <xdr:col>2</xdr:col>
      <xdr:colOff>0</xdr:colOff>
      <xdr:row>11</xdr:row>
      <xdr:rowOff>0</xdr:rowOff>
    </xdr:from>
    <xdr:to>
      <xdr:col>14</xdr:col>
      <xdr:colOff>259736</xdr:colOff>
      <xdr:row>17</xdr:row>
      <xdr:rowOff>30578</xdr:rowOff>
    </xdr:to>
    <xdr:pic>
      <xdr:nvPicPr>
        <xdr:cNvPr id="3" name="图片 2"/>
        <xdr:cNvPicPr>
          <a:picLocks noChangeAspect="1"/>
        </xdr:cNvPicPr>
      </xdr:nvPicPr>
      <xdr:blipFill>
        <a:blip xmlns:r="http://schemas.openxmlformats.org/officeDocument/2006/relationships" r:embed="rId2"/>
        <a:stretch>
          <a:fillRect/>
        </a:stretch>
      </xdr:blipFill>
      <xdr:spPr>
        <a:xfrm>
          <a:off x="1219200" y="2011680"/>
          <a:ext cx="7574936" cy="1127858"/>
        </a:xfrm>
        <a:prstGeom prst="rect">
          <a:avLst/>
        </a:prstGeom>
      </xdr:spPr>
    </xdr:pic>
    <xdr:clientData/>
  </xdr:twoCellAnchor>
  <xdr:twoCellAnchor editAs="oneCell">
    <xdr:from>
      <xdr:col>2</xdr:col>
      <xdr:colOff>0</xdr:colOff>
      <xdr:row>19</xdr:row>
      <xdr:rowOff>0</xdr:rowOff>
    </xdr:from>
    <xdr:to>
      <xdr:col>14</xdr:col>
      <xdr:colOff>366426</xdr:colOff>
      <xdr:row>25</xdr:row>
      <xdr:rowOff>95</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3474720"/>
          <a:ext cx="7681626" cy="1097375"/>
        </a:xfrm>
        <a:prstGeom prst="rect">
          <a:avLst/>
        </a:prstGeom>
      </xdr:spPr>
    </xdr:pic>
    <xdr:clientData/>
  </xdr:twoCellAnchor>
  <xdr:twoCellAnchor editAs="oneCell">
    <xdr:from>
      <xdr:col>2</xdr:col>
      <xdr:colOff>0</xdr:colOff>
      <xdr:row>28</xdr:row>
      <xdr:rowOff>0</xdr:rowOff>
    </xdr:from>
    <xdr:to>
      <xdr:col>14</xdr:col>
      <xdr:colOff>305460</xdr:colOff>
      <xdr:row>35</xdr:row>
      <xdr:rowOff>111</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0" y="5120640"/>
          <a:ext cx="7620660" cy="1280271"/>
        </a:xfrm>
        <a:prstGeom prst="rect">
          <a:avLst/>
        </a:prstGeom>
      </xdr:spPr>
    </xdr:pic>
    <xdr:clientData/>
  </xdr:twoCellAnchor>
  <xdr:twoCellAnchor editAs="oneCell">
    <xdr:from>
      <xdr:col>1</xdr:col>
      <xdr:colOff>352425</xdr:colOff>
      <xdr:row>37</xdr:row>
      <xdr:rowOff>47625</xdr:rowOff>
    </xdr:from>
    <xdr:to>
      <xdr:col>15</xdr:col>
      <xdr:colOff>227416</xdr:colOff>
      <xdr:row>46</xdr:row>
      <xdr:rowOff>95051</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5" y="6391275"/>
          <a:ext cx="9476191" cy="1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14</xdr:col>
      <xdr:colOff>381667</xdr:colOff>
      <xdr:row>9</xdr:row>
      <xdr:rowOff>7732</xdr:rowOff>
    </xdr:to>
    <xdr:pic>
      <xdr:nvPicPr>
        <xdr:cNvPr id="2" name="图片 1"/>
        <xdr:cNvPicPr>
          <a:picLocks noChangeAspect="1"/>
        </xdr:cNvPicPr>
      </xdr:nvPicPr>
      <xdr:blipFill>
        <a:blip xmlns:r="http://schemas.openxmlformats.org/officeDocument/2006/relationships" r:embed="rId1"/>
        <a:stretch>
          <a:fillRect/>
        </a:stretch>
      </xdr:blipFill>
      <xdr:spPr>
        <a:xfrm>
          <a:off x="1219200" y="365760"/>
          <a:ext cx="7696867" cy="1287892"/>
        </a:xfrm>
        <a:prstGeom prst="rect">
          <a:avLst/>
        </a:prstGeom>
      </xdr:spPr>
    </xdr:pic>
    <xdr:clientData/>
  </xdr:twoCellAnchor>
  <xdr:twoCellAnchor editAs="oneCell">
    <xdr:from>
      <xdr:col>2</xdr:col>
      <xdr:colOff>0</xdr:colOff>
      <xdr:row>12</xdr:row>
      <xdr:rowOff>0</xdr:rowOff>
    </xdr:from>
    <xdr:to>
      <xdr:col>14</xdr:col>
      <xdr:colOff>435012</xdr:colOff>
      <xdr:row>19</xdr:row>
      <xdr:rowOff>53456</xdr:rowOff>
    </xdr:to>
    <xdr:pic>
      <xdr:nvPicPr>
        <xdr:cNvPr id="3" name="图片 2"/>
        <xdr:cNvPicPr>
          <a:picLocks noChangeAspect="1"/>
        </xdr:cNvPicPr>
      </xdr:nvPicPr>
      <xdr:blipFill>
        <a:blip xmlns:r="http://schemas.openxmlformats.org/officeDocument/2006/relationships" r:embed="rId2"/>
        <a:stretch>
          <a:fillRect/>
        </a:stretch>
      </xdr:blipFill>
      <xdr:spPr>
        <a:xfrm>
          <a:off x="1219200" y="2194560"/>
          <a:ext cx="7750212" cy="1333616"/>
        </a:xfrm>
        <a:prstGeom prst="rect">
          <a:avLst/>
        </a:prstGeom>
      </xdr:spPr>
    </xdr:pic>
    <xdr:clientData/>
  </xdr:twoCellAnchor>
  <xdr:twoCellAnchor editAs="oneCell">
    <xdr:from>
      <xdr:col>2</xdr:col>
      <xdr:colOff>0</xdr:colOff>
      <xdr:row>22</xdr:row>
      <xdr:rowOff>0</xdr:rowOff>
    </xdr:from>
    <xdr:to>
      <xdr:col>14</xdr:col>
      <xdr:colOff>396908</xdr:colOff>
      <xdr:row>29</xdr:row>
      <xdr:rowOff>53456</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4023360"/>
          <a:ext cx="7712108" cy="1333616"/>
        </a:xfrm>
        <a:prstGeom prst="rect">
          <a:avLst/>
        </a:prstGeom>
      </xdr:spPr>
    </xdr:pic>
    <xdr:clientData/>
  </xdr:twoCellAnchor>
  <xdr:twoCellAnchor editAs="oneCell">
    <xdr:from>
      <xdr:col>2</xdr:col>
      <xdr:colOff>0</xdr:colOff>
      <xdr:row>32</xdr:row>
      <xdr:rowOff>0</xdr:rowOff>
    </xdr:from>
    <xdr:to>
      <xdr:col>14</xdr:col>
      <xdr:colOff>404529</xdr:colOff>
      <xdr:row>38</xdr:row>
      <xdr:rowOff>167750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0" y="5852160"/>
          <a:ext cx="7719729" cy="1265030"/>
        </a:xfrm>
        <a:prstGeom prst="rect">
          <a:avLst/>
        </a:prstGeom>
      </xdr:spPr>
    </xdr:pic>
    <xdr:clientData/>
  </xdr:twoCellAnchor>
  <xdr:twoCellAnchor editAs="oneCell">
    <xdr:from>
      <xdr:col>2</xdr:col>
      <xdr:colOff>0</xdr:colOff>
      <xdr:row>42</xdr:row>
      <xdr:rowOff>0</xdr:rowOff>
    </xdr:from>
    <xdr:to>
      <xdr:col>14</xdr:col>
      <xdr:colOff>457874</xdr:colOff>
      <xdr:row>56</xdr:row>
      <xdr:rowOff>23084</xdr:rowOff>
    </xdr:to>
    <xdr:pic>
      <xdr:nvPicPr>
        <xdr:cNvPr id="6" name="图片 5"/>
        <xdr:cNvPicPr>
          <a:picLocks noChangeAspect="1"/>
        </xdr:cNvPicPr>
      </xdr:nvPicPr>
      <xdr:blipFill>
        <a:blip xmlns:r="http://schemas.openxmlformats.org/officeDocument/2006/relationships" r:embed="rId5"/>
        <a:stretch>
          <a:fillRect/>
        </a:stretch>
      </xdr:blipFill>
      <xdr:spPr>
        <a:xfrm>
          <a:off x="1219200" y="7680960"/>
          <a:ext cx="7773074" cy="258340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受贵公司委托，我公司对房地产抵押价值进行了预评估。</v>
      </c>
    </row>
    <row r="7" spans="1:2" s="1592" customFormat="1">
      <c r="A7" s="1590" t="s">
        <v>1259</v>
      </c>
      <c r="B7" s="1591" t="str">
        <f>'预评函-1'!A7</f>
        <v>估价对象为房地产，为所有。根据《国有土地使用证》[]，估价对象（分摊）出让国有建设用地使用权面积为1983.64平方米，建筑面积为3967.28平方米。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估价对象为房地产,属开发建设的，该项目尚在开发建设中。根据《国有土地使用证》[]，估价对象（分摊）出让国有建设用地使用权面积为1983.64平方米，规划建筑面积为3967.28平方米。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2020年5月18日</v>
      </c>
    </row>
    <row r="13" spans="1:2" s="1592" customFormat="1">
      <c r="A13" s="1590" t="s">
        <v>1222</v>
      </c>
      <c r="B13" s="1591" t="str">
        <f>'预评函-1'!A18</f>
        <v>本次估价的“房地产价值”是指在正常市场情况下，在价值时点2020年5月18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4983</v>
      </c>
    </row>
    <row r="21" spans="1:2" s="1592" customFormat="1">
      <c r="A21" s="1590" t="s">
        <v>1230</v>
      </c>
      <c r="B21" s="1591">
        <f ca="1">'预评函-2'!D7</f>
        <v>12560</v>
      </c>
    </row>
    <row r="22" spans="1:2" s="1592" customFormat="1">
      <c r="A22" s="1590" t="s">
        <v>1231</v>
      </c>
      <c r="B22" s="1591" t="str">
        <f ca="1">'预评函-2'!D6</f>
        <v>肆仟玖佰捌拾叁万元整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4983</v>
      </c>
    </row>
    <row r="31" spans="1:2" s="1592" customFormat="1">
      <c r="A31" s="1590" t="s">
        <v>1269</v>
      </c>
      <c r="B31" s="1591">
        <f ca="1">'预评函-2'!D15</f>
        <v>12560</v>
      </c>
    </row>
    <row r="32" spans="1:2" s="1592" customFormat="1">
      <c r="A32" s="1590" t="s">
        <v>1236</v>
      </c>
      <c r="B32" s="1591" t="str">
        <f ca="1">'预评函-2'!D14</f>
        <v>肆仟玖佰捌拾叁万元整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房地产</v>
      </c>
    </row>
    <row r="42" spans="1:2" s="1592" customFormat="1">
      <c r="A42" s="1590" t="s">
        <v>1283</v>
      </c>
      <c r="B42" s="1591" t="str">
        <f>'预评函-3'!B2</f>
        <v>建筑面积</v>
      </c>
    </row>
    <row r="43" spans="1:2" s="1592" customFormat="1">
      <c r="A43" s="1590" t="s">
        <v>1284</v>
      </c>
      <c r="B43" s="1591">
        <f>'预评函-3'!B4</f>
        <v>3967.28</v>
      </c>
    </row>
    <row r="44" spans="1:2" s="1592" customFormat="1">
      <c r="A44" s="1590" t="s">
        <v>1268</v>
      </c>
      <c r="B44" s="1591" t="str">
        <f>'预评函-3'!C2</f>
        <v>(分摊)土地面积</v>
      </c>
    </row>
    <row r="45" spans="1:2" s="1592" customFormat="1">
      <c r="A45" s="1590" t="s">
        <v>1240</v>
      </c>
      <c r="B45" s="1591">
        <f>'预评函-3'!C4</f>
        <v>1983.64</v>
      </c>
    </row>
    <row r="46" spans="1:2" s="1592" customFormat="1">
      <c r="A46" s="1590" t="s">
        <v>1266</v>
      </c>
      <c r="B46" s="1591" t="str">
        <f>'预评函-3'!D2</f>
        <v>出让国有建设用地使用权价值</v>
      </c>
    </row>
    <row r="47" spans="1:2" s="1592" customFormat="1">
      <c r="A47" s="1590" t="s">
        <v>1241</v>
      </c>
      <c r="B47" s="1591">
        <f ca="1">'预评函-3'!D4</f>
        <v>1116</v>
      </c>
    </row>
    <row r="48" spans="1:2" s="1592" customFormat="1">
      <c r="A48" s="1590" t="s">
        <v>1242</v>
      </c>
      <c r="B48" s="1591">
        <f ca="1">'预评函-3'!E4</f>
        <v>2813</v>
      </c>
    </row>
    <row r="49" spans="1:2" s="1592" customFormat="1">
      <c r="A49" s="1590" t="s">
        <v>1243</v>
      </c>
      <c r="B49" s="1591" t="str">
        <f ca="1">'预评函-3'!D5</f>
        <v>壹仟壹佰壹拾陆万元整</v>
      </c>
    </row>
    <row r="50" spans="1:2" s="1592" customFormat="1">
      <c r="A50" s="1590" t="s">
        <v>1267</v>
      </c>
      <c r="B50" s="1591" t="str">
        <f>'预评函-3'!F2</f>
        <v>在建建筑物价值</v>
      </c>
    </row>
    <row r="51" spans="1:2" s="1592" customFormat="1">
      <c r="A51" s="1590" t="s">
        <v>1244</v>
      </c>
      <c r="B51" s="1591">
        <f ca="1">'预评函-3'!F4</f>
        <v>3867</v>
      </c>
    </row>
    <row r="52" spans="1:2" s="1592" customFormat="1">
      <c r="A52" s="1590" t="s">
        <v>1245</v>
      </c>
      <c r="B52" s="1591">
        <f ca="1">'预评函-3'!G4</f>
        <v>9747</v>
      </c>
    </row>
    <row r="53" spans="1:2" s="1592" customFormat="1">
      <c r="A53" s="1590" t="s">
        <v>1273</v>
      </c>
      <c r="B53" s="1591" t="str">
        <f ca="1">'预评函-3'!F5</f>
        <v>叁仟捌佰陆拾柒万元整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3105</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0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0" t="s">
        <v>860</v>
      </c>
      <c r="C54" s="2017" t="s">
        <v>1276</v>
      </c>
    </row>
    <row r="55" spans="1:4">
      <c r="A55" s="3008"/>
      <c r="B55" s="2020" t="s">
        <v>861</v>
      </c>
      <c r="C55" s="2017" t="s">
        <v>1277</v>
      </c>
    </row>
    <row r="56" spans="1:4">
      <c r="A56" s="3008"/>
      <c r="B56" s="2020" t="s">
        <v>862</v>
      </c>
      <c r="C56" s="2017" t="s">
        <v>1281</v>
      </c>
    </row>
    <row r="57" spans="1:4">
      <c r="A57" s="300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0" sqref="K1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09" t="str">
        <f>IF(B10="北京市","北京市",C10)&amp;F10&amp;IF(结果表!G1="在建","出让国有建设用地使用权及在建建筑物",IF(结果表!G1="土地","出让国有建设用地使用权",))&amp;B9&amp;"预评估"</f>
        <v>房地产抵押价值预评估</v>
      </c>
      <c r="C1" s="3010"/>
      <c r="D1" s="3010"/>
      <c r="E1" s="3010"/>
      <c r="F1" s="3010"/>
      <c r="G1" s="3010"/>
      <c r="H1" s="3010"/>
      <c r="I1" s="301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1772</v>
      </c>
      <c r="B3" s="2034"/>
      <c r="C3" s="2035" t="s">
        <v>1773</v>
      </c>
      <c r="D3" s="2034">
        <v>43969</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3058</v>
      </c>
      <c r="C8" s="2054"/>
      <c r="D8" s="3012" t="s">
        <v>1779</v>
      </c>
      <c r="E8" s="2055" t="s">
        <v>3059</v>
      </c>
      <c r="F8" s="2056"/>
      <c r="G8" s="2024"/>
      <c r="H8" s="2024"/>
      <c r="I8" s="2024"/>
      <c r="J8" s="2040"/>
      <c r="K8" s="2041"/>
      <c r="L8" s="2026"/>
      <c r="M8" s="2026"/>
      <c r="N8" s="2027"/>
      <c r="O8" s="2028"/>
      <c r="P8" s="2027"/>
      <c r="Q8" s="2027"/>
      <c r="R8" s="2027"/>
    </row>
    <row r="9" spans="1:19" ht="18" customHeight="1" thickBot="1">
      <c r="A9" s="2038" t="s">
        <v>1780</v>
      </c>
      <c r="B9" s="2057" t="s">
        <v>3059</v>
      </c>
      <c r="C9" s="2058"/>
      <c r="D9" s="3013"/>
      <c r="E9" s="2057"/>
      <c r="F9" s="2059"/>
      <c r="G9" s="2060"/>
      <c r="H9" s="2060"/>
      <c r="I9" s="2060"/>
      <c r="J9" s="2040"/>
      <c r="K9" s="2052"/>
      <c r="L9" s="2026"/>
      <c r="M9" s="2026"/>
      <c r="N9" s="2027"/>
      <c r="O9" s="2028"/>
      <c r="P9" s="2027"/>
      <c r="Q9" s="2027"/>
      <c r="R9" s="2027"/>
    </row>
    <row r="10" spans="1:19" ht="18" customHeight="1" thickTop="1">
      <c r="A10" s="2061" t="s">
        <v>1781</v>
      </c>
      <c r="B10" s="2062" t="s">
        <v>3060</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3061</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3062</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55151</v>
      </c>
      <c r="F13" s="2078"/>
      <c r="G13" s="2078"/>
      <c r="H13" s="2078"/>
      <c r="I13" s="1046"/>
      <c r="J13" s="2040"/>
      <c r="K13" s="2052"/>
      <c r="L13" s="2026"/>
      <c r="M13" s="2026"/>
      <c r="N13" s="2027"/>
      <c r="O13" s="2028"/>
      <c r="P13" s="2027"/>
      <c r="Q13" s="2027"/>
      <c r="R13" s="2027"/>
    </row>
    <row r="14" spans="1:19" ht="18" customHeight="1">
      <c r="A14" s="2075"/>
      <c r="B14" s="2076"/>
      <c r="C14" s="2077" t="s">
        <v>1793</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1794</v>
      </c>
      <c r="D15" s="1048" t="str">
        <f>IF(B12="出让",IF(D13="","",ROUNDDOWN(MIN((D13-$D$3)/365,D14),2)),D14)</f>
        <v/>
      </c>
      <c r="E15" s="1048">
        <f>IF(B12="出让",IF(E13="","",ROUNDDOWN(MIN((E13-$D$3)/365,E14),2)),E14)</f>
        <v>30.63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1795</v>
      </c>
      <c r="B16" s="3019"/>
      <c r="C16" s="3020"/>
      <c r="D16" s="3021"/>
      <c r="E16" s="2084" t="s">
        <v>1796</v>
      </c>
      <c r="F16" s="3022"/>
      <c r="G16" s="3023"/>
      <c r="H16" s="3023"/>
      <c r="I16" s="3024"/>
      <c r="J16" s="2027"/>
      <c r="K16" s="2081"/>
      <c r="L16" s="2082"/>
      <c r="M16" s="2082"/>
      <c r="N16" s="2083"/>
      <c r="O16" s="2082"/>
      <c r="P16" s="2083"/>
      <c r="Q16" s="2027"/>
      <c r="R16" s="2027"/>
    </row>
    <row r="17" spans="1:22" ht="18" customHeight="1">
      <c r="A17" s="2085" t="s">
        <v>1797</v>
      </c>
      <c r="B17" s="2033" t="s">
        <v>1798</v>
      </c>
      <c r="C17" s="1053">
        <f>'数据-汇总表'!E3</f>
        <v>3967.28</v>
      </c>
      <c r="D17" s="2086" t="s">
        <v>1799</v>
      </c>
      <c r="E17" s="3025" t="s">
        <v>1800</v>
      </c>
      <c r="F17" s="3026"/>
      <c r="G17" s="3026"/>
      <c r="H17" s="3026"/>
      <c r="I17" s="3027"/>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1983.64</v>
      </c>
      <c r="D18" s="2089" t="s">
        <v>1799</v>
      </c>
      <c r="E18" s="3028" t="s">
        <v>1803</v>
      </c>
      <c r="F18" s="3029"/>
      <c r="G18" s="3029"/>
      <c r="H18" s="3029"/>
      <c r="I18" s="3030"/>
      <c r="J18" s="2027"/>
      <c r="K18" s="2087"/>
      <c r="L18" s="2082"/>
      <c r="M18" s="2082"/>
      <c r="N18" s="2083"/>
      <c r="O18" s="2082"/>
      <c r="P18" s="2083"/>
      <c r="Q18" s="2027"/>
      <c r="R18" s="2027"/>
      <c r="S18" s="2027"/>
      <c r="T18" s="2027"/>
      <c r="U18" s="2027"/>
      <c r="V18" s="2027"/>
    </row>
    <row r="19" spans="1:22" ht="37.5" customHeight="1" thickTop="1" thickBot="1">
      <c r="A19" s="372" t="s">
        <v>1804</v>
      </c>
      <c r="B19" s="351"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15" t="s">
        <v>1808</v>
      </c>
      <c r="C20" s="3016"/>
      <c r="D20" s="3017" t="s">
        <v>1809</v>
      </c>
      <c r="E20" s="3018"/>
      <c r="F20" s="2096" t="s">
        <v>1810</v>
      </c>
      <c r="G20" s="2040"/>
      <c r="H20" s="2040"/>
      <c r="I20" s="2040"/>
      <c r="J20" s="2040"/>
      <c r="K20" s="301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2" t="s">
        <v>1818</v>
      </c>
      <c r="C23" s="2105"/>
      <c r="D23" s="2106" t="s">
        <v>1818</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2" t="s">
        <v>1819</v>
      </c>
      <c r="C24" s="2110"/>
      <c r="D24" s="2104" t="s">
        <v>1819</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2"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2"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2"/>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2"/>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3"/>
      <c r="B30" s="2033" t="s">
        <v>1827</v>
      </c>
      <c r="C30" s="3034"/>
      <c r="D30" s="303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6"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31" t="s">
        <v>1837</v>
      </c>
      <c r="T34" s="2133" t="str">
        <f>NUMBERSTRING(7-K34,1)&amp;"通"</f>
        <v>七通</v>
      </c>
      <c r="U34" s="2027"/>
      <c r="V34" s="2027"/>
    </row>
    <row r="35" spans="1:22" ht="18" customHeight="1">
      <c r="A35" s="2134"/>
      <c r="B35" s="3038" t="s">
        <v>1838</v>
      </c>
      <c r="C35" s="3038"/>
      <c r="D35" s="3038"/>
      <c r="E35" s="3038"/>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31"/>
      <c r="T35" s="47"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5"/>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7" tint="-0.249977111117893"/>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3" sqref="C3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3294">
        <f>I13/2</f>
        <v>1983.64</v>
      </c>
      <c r="B3" s="13">
        <f>IF(C3="否",G5-AT5,G5)</f>
        <v>3967.28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1874</v>
      </c>
      <c r="B5" s="1802"/>
      <c r="C5" s="1802"/>
      <c r="D5" s="1805"/>
      <c r="E5" s="15" t="s">
        <v>1</v>
      </c>
      <c r="F5" s="15">
        <f>SUM(F13:F587)</f>
        <v>0</v>
      </c>
      <c r="G5" s="15">
        <f>SUM(G13:G587)</f>
        <v>3967.28</v>
      </c>
      <c r="H5" s="15">
        <f t="shared" ref="H5:AT5" si="0">SUM(H13:H656)</f>
        <v>3967.28</v>
      </c>
      <c r="I5" s="15">
        <f t="shared" si="0"/>
        <v>3967.28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1874</v>
      </c>
      <c r="AW5" s="1802"/>
      <c r="AX5" s="1802"/>
      <c r="AY5" s="16" t="s">
        <v>3</v>
      </c>
      <c r="AZ5" s="17">
        <f t="shared" ref="AZ5:BT5" si="1">SUM(AZ13:AZ656)</f>
        <v>3967.28</v>
      </c>
      <c r="BA5" s="17">
        <f t="shared" si="1"/>
        <v>3967.28</v>
      </c>
      <c r="BB5" s="17">
        <f t="shared" si="1"/>
        <v>3967.28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1875</v>
      </c>
      <c r="B6" s="2173"/>
      <c r="C6" s="2173"/>
      <c r="D6" s="2174"/>
      <c r="E6" s="15">
        <f>H6+AC6+AT6</f>
        <v>1983.64</v>
      </c>
      <c r="F6" s="15" t="s">
        <v>1</v>
      </c>
      <c r="G6" s="15" t="s">
        <v>2</v>
      </c>
      <c r="H6" s="19">
        <f>SUMIF(I$12:AB$12,"总值",I6:AB6)</f>
        <v>1983.64</v>
      </c>
      <c r="I6" s="15">
        <f t="shared" ref="I6:AB6" si="2">ROUND($A$3*I5/$B$3,2)</f>
        <v>1983.64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1875</v>
      </c>
      <c r="AW6" s="2173"/>
      <c r="AX6" s="2173"/>
      <c r="AY6" s="20">
        <f>IF(AY3&gt;0,AY3,ROUND($A$3*AZ5/$B$3,2))</f>
        <v>1983.64</v>
      </c>
      <c r="AZ6" s="15" t="s">
        <v>3</v>
      </c>
      <c r="BA6" s="15">
        <f>ROUND($AY$6*BA5/$AZ$5,2)</f>
        <v>1983.64</v>
      </c>
      <c r="BB6" s="15">
        <f>ROUND($AY$6*BB5/$AZ$5,2)</f>
        <v>1983.64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2" t="s">
        <v>1884</v>
      </c>
      <c r="AW7" s="2165" t="s">
        <v>1885</v>
      </c>
      <c r="AX7" s="22"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0"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8" customFormat="1" ht="12.75">
      <c r="A9" s="2181"/>
      <c r="B9" s="2181"/>
      <c r="C9" s="2181"/>
      <c r="D9" s="2181"/>
      <c r="E9" s="2181"/>
      <c r="F9" s="2181"/>
      <c r="G9" s="1291"/>
      <c r="H9" s="2189" t="s">
        <v>1894</v>
      </c>
      <c r="I9" s="2190" t="s">
        <v>3093</v>
      </c>
      <c r="J9" s="980"/>
      <c r="K9" s="2190"/>
      <c r="L9" s="980"/>
      <c r="M9" s="2190"/>
      <c r="N9" s="980"/>
      <c r="O9" s="2190"/>
      <c r="P9" s="980"/>
      <c r="Q9" s="2190"/>
      <c r="R9" s="980"/>
      <c r="S9" s="2190"/>
      <c r="T9" s="980"/>
      <c r="U9" s="2190"/>
      <c r="V9" s="980"/>
      <c r="W9" s="2190"/>
      <c r="X9" s="2191"/>
      <c r="Y9" s="2190"/>
      <c r="Z9" s="980"/>
      <c r="AA9" s="2190"/>
      <c r="AB9" s="980"/>
      <c r="AC9" s="2182" t="s">
        <v>1894</v>
      </c>
      <c r="AD9" s="14" t="s">
        <v>1895</v>
      </c>
      <c r="AE9" s="1297"/>
      <c r="AF9" s="14" t="s">
        <v>1896</v>
      </c>
      <c r="AG9" s="1297"/>
      <c r="AH9" s="14" t="s">
        <v>1895</v>
      </c>
      <c r="AI9" s="1297"/>
      <c r="AJ9" s="14" t="s">
        <v>1896</v>
      </c>
      <c r="AK9" s="1297"/>
      <c r="AL9" s="14" t="s">
        <v>1895</v>
      </c>
      <c r="AM9" s="1297"/>
      <c r="AN9" s="14" t="s">
        <v>1896</v>
      </c>
      <c r="AO9" s="1297"/>
      <c r="AP9" s="14" t="s">
        <v>1895</v>
      </c>
      <c r="AQ9" s="1297"/>
      <c r="AR9" s="14" t="s">
        <v>1896</v>
      </c>
      <c r="AS9" s="2192"/>
      <c r="AT9" s="2181"/>
      <c r="AU9" s="2181" t="s">
        <v>1897</v>
      </c>
      <c r="AV9" s="1291"/>
      <c r="AW9" s="2164"/>
      <c r="AX9" s="1291"/>
      <c r="AY9" s="27"/>
      <c r="AZ9" s="27" t="s">
        <v>1887</v>
      </c>
      <c r="BA9" s="2193" t="s">
        <v>1898</v>
      </c>
      <c r="BB9" s="2194"/>
      <c r="BC9" s="1337"/>
      <c r="BD9" s="1337"/>
      <c r="BE9" s="1337"/>
      <c r="BF9" s="1337"/>
      <c r="BG9" s="1337"/>
      <c r="BH9" s="1337"/>
      <c r="BI9" s="1337"/>
      <c r="BJ9" s="1337"/>
      <c r="BK9" s="2195"/>
      <c r="BL9" s="14" t="s">
        <v>1899</v>
      </c>
      <c r="BM9" s="1817"/>
      <c r="BN9" s="2184"/>
      <c r="BO9" s="1817"/>
      <c r="BP9" s="1817"/>
      <c r="BQ9" s="1817"/>
      <c r="BR9" s="1817"/>
      <c r="BS9" s="1817"/>
      <c r="BT9" s="25"/>
    </row>
    <row r="10" spans="1:72" s="2188" customFormat="1" ht="12.75">
      <c r="A10" s="2181"/>
      <c r="B10" s="2181"/>
      <c r="C10" s="2181"/>
      <c r="D10" s="2181"/>
      <c r="E10" s="2181"/>
      <c r="F10" s="2181"/>
      <c r="G10" s="1291"/>
      <c r="H10" s="27"/>
      <c r="I10" s="2190" t="s">
        <v>1372</v>
      </c>
      <c r="J10" s="980"/>
      <c r="K10" s="2196"/>
      <c r="L10" s="980"/>
      <c r="M10" s="2196"/>
      <c r="N10" s="980"/>
      <c r="O10" s="2196"/>
      <c r="P10" s="980"/>
      <c r="Q10" s="2196"/>
      <c r="R10" s="980"/>
      <c r="S10" s="2196"/>
      <c r="T10" s="980"/>
      <c r="U10" s="2196"/>
      <c r="V10" s="980"/>
      <c r="W10" s="2196"/>
      <c r="X10" s="980"/>
      <c r="Y10" s="2196"/>
      <c r="Z10" s="980"/>
      <c r="AA10" s="2196"/>
      <c r="AB10" s="980"/>
      <c r="AC10" s="1291"/>
      <c r="AD10" s="14" t="s">
        <v>1900</v>
      </c>
      <c r="AE10" s="2197"/>
      <c r="AF10" s="14" t="s">
        <v>1900</v>
      </c>
      <c r="AG10" s="2197"/>
      <c r="AH10" s="14" t="s">
        <v>1901</v>
      </c>
      <c r="AI10" s="2197"/>
      <c r="AJ10" s="14" t="s">
        <v>1901</v>
      </c>
      <c r="AK10" s="2197"/>
      <c r="AL10" s="14" t="s">
        <v>1902</v>
      </c>
      <c r="AM10" s="1297"/>
      <c r="AN10" s="14" t="s">
        <v>1902</v>
      </c>
      <c r="AO10" s="1297"/>
      <c r="AP10" s="14" t="s">
        <v>1903</v>
      </c>
      <c r="AQ10" s="1297"/>
      <c r="AR10" s="14" t="s">
        <v>1903</v>
      </c>
      <c r="AS10" s="1297"/>
      <c r="AT10" s="2181"/>
      <c r="AU10" s="2181"/>
      <c r="AV10" s="1291"/>
      <c r="AW10" s="2164"/>
      <c r="AX10" s="1291"/>
      <c r="AY10" s="27"/>
      <c r="AZ10" s="27"/>
      <c r="BA10" s="2198" t="s">
        <v>1894</v>
      </c>
      <c r="BB10" s="2199" t="str">
        <f>I9</f>
        <v>地上</v>
      </c>
      <c r="BC10" s="28">
        <f>K9</f>
        <v>0</v>
      </c>
      <c r="BD10" s="28">
        <f>M9</f>
        <v>0</v>
      </c>
      <c r="BE10" s="28">
        <f>O9</f>
        <v>0</v>
      </c>
      <c r="BF10" s="28">
        <f>Q9</f>
        <v>0</v>
      </c>
      <c r="BG10" s="28">
        <f>S9</f>
        <v>0</v>
      </c>
      <c r="BH10" s="28">
        <f>U9</f>
        <v>0</v>
      </c>
      <c r="BI10" s="28">
        <f>W9</f>
        <v>0</v>
      </c>
      <c r="BJ10" s="28">
        <f>Y9</f>
        <v>0</v>
      </c>
      <c r="BK10" s="28">
        <f>AA9</f>
        <v>0</v>
      </c>
      <c r="BL10" s="24" t="s">
        <v>1894</v>
      </c>
      <c r="BM10" s="1816" t="str">
        <f>AD9</f>
        <v>地上</v>
      </c>
      <c r="BN10" s="28" t="str">
        <f>AF9</f>
        <v>地下</v>
      </c>
      <c r="BO10" s="1816" t="str">
        <f>AH9</f>
        <v>地上</v>
      </c>
      <c r="BP10" s="28" t="str">
        <f>AJ9</f>
        <v>地下</v>
      </c>
      <c r="BQ10" s="1816" t="str">
        <f>AL9</f>
        <v>地上</v>
      </c>
      <c r="BR10" s="28" t="str">
        <f>AN9</f>
        <v>地下</v>
      </c>
      <c r="BS10" s="1816" t="str">
        <f>AP9</f>
        <v>地上</v>
      </c>
      <c r="BT10" s="2200" t="str">
        <f>AR9</f>
        <v>地下</v>
      </c>
    </row>
    <row r="11" spans="1:72" s="2188" customFormat="1" ht="12.75">
      <c r="A11" s="2181"/>
      <c r="B11" s="2181"/>
      <c r="C11" s="2181"/>
      <c r="D11" s="2181"/>
      <c r="E11" s="2181"/>
      <c r="F11" s="2181"/>
      <c r="G11" s="1291"/>
      <c r="H11" s="2198"/>
      <c r="I11" s="2201" t="s">
        <v>3095</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7"/>
      <c r="AZ11" s="27"/>
      <c r="BA11" s="27"/>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6" t="s">
        <v>1907</v>
      </c>
      <c r="AT12" s="2209"/>
      <c r="AU12" s="2206"/>
      <c r="AV12" s="30"/>
      <c r="AW12" s="2165"/>
      <c r="AX12" s="30"/>
      <c r="AY12" s="2210"/>
      <c r="AZ12" s="27"/>
      <c r="BA12" s="2198"/>
      <c r="BB12" s="23" t="str">
        <f>I11</f>
        <v>独立商业</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5">
        <f>AR11</f>
        <v>0</v>
      </c>
    </row>
    <row r="13" spans="1:72" s="2166" customFormat="1" ht="12.75">
      <c r="A13" s="1271"/>
      <c r="B13" s="1271"/>
      <c r="C13" s="1271"/>
      <c r="D13" s="2212" t="s">
        <v>3094</v>
      </c>
      <c r="E13" s="15">
        <f>IF($C$3="是",ROUND($A$3*G13/$B$3,2),ROUND($A$3*(G13-AT13)/$B$3,2))</f>
        <v>1983.64</v>
      </c>
      <c r="F13" s="31"/>
      <c r="G13" s="32">
        <f>H13+AC13+AT13</f>
        <v>3967.28</v>
      </c>
      <c r="H13" s="19">
        <f>SUMIF(I$12:AB$12,"总值",I13:AB13)</f>
        <v>3967.28</v>
      </c>
      <c r="I13" s="2213">
        <f>Sheet1!B11</f>
        <v>3967.28</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5">
        <f>ROUND($AY$6*AZ13/$AZ$5,2)</f>
        <v>1983.64</v>
      </c>
      <c r="AZ13" s="15">
        <f>BA13+BL13</f>
        <v>3967.28</v>
      </c>
      <c r="BA13" s="15">
        <f>SUM(BB13:BK13)</f>
        <v>3967.28</v>
      </c>
      <c r="BB13" s="15">
        <f>IF($D13="是",I13-J13,0)</f>
        <v>3967.28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1"/>
      <c r="B14" s="1271"/>
      <c r="C14" s="2152"/>
      <c r="D14" s="2212"/>
      <c r="E14" s="15">
        <f>IF($C$3="是",ROUND($A$3*G14/$B$3,2),ROUND($A$3*(G14-AT14)/$B$3,2))</f>
        <v>0</v>
      </c>
      <c r="F14" s="31"/>
      <c r="G14" s="32">
        <f>H14+AC14+AT14</f>
        <v>0</v>
      </c>
      <c r="H14" s="19">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1"/>
      <c r="B15" s="1271"/>
      <c r="C15" s="2152"/>
      <c r="D15" s="2212"/>
      <c r="E15" s="15">
        <f>IF($C$3="是",ROUND($A$3*G15/$B$3,2),ROUND($A$3*(G15-AT15)/$B$3,2))</f>
        <v>0</v>
      </c>
      <c r="F15" s="31"/>
      <c r="G15" s="32">
        <f>H15+AC15+AT15</f>
        <v>0</v>
      </c>
      <c r="H15" s="19">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1"/>
      <c r="B16" s="1271"/>
      <c r="C16" s="2152"/>
      <c r="D16" s="2212"/>
      <c r="E16" s="15">
        <f>IF($C$3="是",ROUND($A$3*G16/$B$3,2),ROUND($A$3*(G16-AT16)/$B$3,2))</f>
        <v>0</v>
      </c>
      <c r="F16" s="31"/>
      <c r="G16" s="32">
        <f>H16+AC16+AT16</f>
        <v>0</v>
      </c>
      <c r="H16" s="19">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1"/>
      <c r="B17" s="1271"/>
      <c r="C17" s="2152"/>
      <c r="D17" s="2212"/>
      <c r="E17" s="15">
        <f>IF($C$3="是",ROUND($A$3*G17/$B$3,2),ROUND($A$3*(G17-AT17)/$B$3,2))</f>
        <v>0</v>
      </c>
      <c r="F17" s="31"/>
      <c r="G17" s="32">
        <f>H17+AC17+AT17</f>
        <v>0</v>
      </c>
      <c r="H17" s="19">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3"/>
  <sheetViews>
    <sheetView workbookViewId="0">
      <selection activeCell="B5" sqref="B5"/>
    </sheetView>
  </sheetViews>
  <sheetFormatPr defaultRowHeight="13.5"/>
  <cols>
    <col min="1" max="1" width="13.75" customWidth="1"/>
    <col min="6" max="6" width="12" customWidth="1"/>
  </cols>
  <sheetData>
    <row r="3" spans="1:6" s="2955" customFormat="1" ht="15.75">
      <c r="A3" s="2954" t="s">
        <v>3063</v>
      </c>
    </row>
    <row r="4" spans="1:6" s="2955" customFormat="1" ht="15.75">
      <c r="A4" s="2955" t="s">
        <v>3064</v>
      </c>
      <c r="E4" s="2955" t="s">
        <v>3065</v>
      </c>
    </row>
    <row r="5" spans="1:6" s="2955" customFormat="1" ht="15.75">
      <c r="A5" s="2955" t="s">
        <v>3066</v>
      </c>
      <c r="B5" s="2955" t="s">
        <v>3142</v>
      </c>
      <c r="E5" s="2955" t="s">
        <v>3067</v>
      </c>
      <c r="F5" s="2955" t="s">
        <v>3068</v>
      </c>
    </row>
    <row r="6" spans="1:6" s="2955" customFormat="1" ht="15.75">
      <c r="A6" s="2955" t="s">
        <v>3069</v>
      </c>
      <c r="B6" s="2955" t="s">
        <v>3070</v>
      </c>
      <c r="E6" s="2955" t="s">
        <v>3071</v>
      </c>
      <c r="F6" s="2955" t="s">
        <v>3070</v>
      </c>
    </row>
    <row r="7" spans="1:6" s="2955" customFormat="1" ht="15.75">
      <c r="A7" s="2955" t="s">
        <v>3072</v>
      </c>
      <c r="B7" s="2955" t="s">
        <v>3073</v>
      </c>
      <c r="E7" s="2955" t="s">
        <v>3074</v>
      </c>
      <c r="F7" s="2955" t="s">
        <v>3075</v>
      </c>
    </row>
    <row r="8" spans="1:6" s="2955" customFormat="1" ht="15.75">
      <c r="A8" s="2955" t="s">
        <v>3076</v>
      </c>
      <c r="B8" s="2956">
        <v>42502</v>
      </c>
      <c r="E8" s="2955" t="s">
        <v>3077</v>
      </c>
      <c r="F8" s="2955" t="s">
        <v>3078</v>
      </c>
    </row>
    <row r="9" spans="1:6" s="2955" customFormat="1" ht="15.75">
      <c r="A9" s="2955" t="s">
        <v>3079</v>
      </c>
      <c r="B9" s="2955" t="s">
        <v>3080</v>
      </c>
      <c r="E9" s="2955" t="s">
        <v>3081</v>
      </c>
      <c r="F9" s="2955" t="s">
        <v>3082</v>
      </c>
    </row>
    <row r="10" spans="1:6" s="2955" customFormat="1" ht="15.75">
      <c r="A10" s="2955" t="s">
        <v>3083</v>
      </c>
      <c r="B10" s="2955">
        <v>2</v>
      </c>
      <c r="E10" s="2955" t="s">
        <v>3084</v>
      </c>
      <c r="F10" s="2955" t="s">
        <v>3085</v>
      </c>
    </row>
    <row r="11" spans="1:6" s="2955" customFormat="1" ht="15.75">
      <c r="A11" s="2955" t="s">
        <v>3086</v>
      </c>
      <c r="B11" s="2955">
        <v>3967.28</v>
      </c>
      <c r="E11" s="2955" t="s">
        <v>3087</v>
      </c>
      <c r="F11" s="2956">
        <v>55151</v>
      </c>
    </row>
    <row r="12" spans="1:6" s="2955" customFormat="1" ht="15.75">
      <c r="A12" s="2955" t="s">
        <v>3088</v>
      </c>
      <c r="B12" s="2955" t="s">
        <v>3089</v>
      </c>
      <c r="E12" s="2955" t="s">
        <v>3090</v>
      </c>
      <c r="F12" s="2955">
        <v>33000</v>
      </c>
    </row>
    <row r="13" spans="1:6" s="2955" customFormat="1" ht="15.75">
      <c r="A13" s="2955" t="s">
        <v>3091</v>
      </c>
      <c r="B13" s="2955" t="s">
        <v>3092</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050" t="s">
        <v>1934</v>
      </c>
      <c r="B2" s="3050"/>
      <c r="C2" s="3050"/>
      <c r="D2" s="966" t="s">
        <v>1910</v>
      </c>
      <c r="E2" s="2226" t="s">
        <v>1911</v>
      </c>
      <c r="F2" s="1391"/>
      <c r="G2" s="2227"/>
      <c r="H2" s="2228"/>
      <c r="I2" s="2229" t="s">
        <v>1935</v>
      </c>
      <c r="J2" s="1391"/>
      <c r="K2" s="1391"/>
      <c r="L2" s="1391"/>
      <c r="M2" s="1391"/>
      <c r="N2" s="1426"/>
      <c r="O2" s="1391"/>
      <c r="P2" s="1391"/>
    </row>
    <row r="3" spans="1:16" ht="15.75" thickBot="1">
      <c r="A3" s="3051" t="s">
        <v>1908</v>
      </c>
      <c r="B3" s="3051"/>
      <c r="C3" s="3051"/>
      <c r="D3" s="45">
        <f>'数据-基础表'!AY6</f>
        <v>1983.64</v>
      </c>
      <c r="E3" s="45">
        <f>'数据-基础表'!AZ5</f>
        <v>3967.28</v>
      </c>
      <c r="F3" s="1391"/>
      <c r="G3" s="1398"/>
      <c r="H3" s="1246" t="s">
        <v>1909</v>
      </c>
      <c r="I3" s="54">
        <f>ROUND('数据-基础表'!B3/'数据-基础表'!A3,2)</f>
        <v>2</v>
      </c>
      <c r="J3" s="1391"/>
      <c r="K3" s="1391"/>
      <c r="L3" s="1391"/>
      <c r="M3" s="1391"/>
      <c r="N3" s="1426"/>
      <c r="O3" s="1391"/>
      <c r="P3" s="1391"/>
    </row>
    <row r="4" spans="1:16" ht="15">
      <c r="A4" s="3052"/>
      <c r="B4" s="3053"/>
      <c r="C4" s="3054"/>
      <c r="D4" s="2230" t="s">
        <v>1910</v>
      </c>
      <c r="E4" s="2231" t="s">
        <v>1911</v>
      </c>
      <c r="F4" s="1391"/>
      <c r="G4" s="2232" t="s">
        <v>1936</v>
      </c>
      <c r="H4" s="1246" t="s">
        <v>1916</v>
      </c>
      <c r="I4" s="54">
        <f>ROUND(SUMIF('数据-基础表'!I9:AS9,"地上",'数据-基础表'!I5:AS5)/'数据-基础表'!A3,2)</f>
        <v>2</v>
      </c>
      <c r="J4" s="1391"/>
      <c r="K4" s="1391"/>
      <c r="L4" s="1391"/>
      <c r="M4" s="1391"/>
      <c r="N4" s="1426"/>
      <c r="O4" s="1391"/>
      <c r="P4" s="1391"/>
    </row>
    <row r="5" spans="1:16">
      <c r="A5" s="46" t="s">
        <v>1912</v>
      </c>
      <c r="B5" s="3055" t="s">
        <v>1913</v>
      </c>
      <c r="C5" s="3055"/>
      <c r="D5" s="47">
        <f>ROUND($D$3*E5/$E$3,2)</f>
        <v>0</v>
      </c>
      <c r="E5" s="48">
        <f>SUMIF('数据-基础表'!$11:$11,"住宅",'数据-基础表'!$5:$5)</f>
        <v>0</v>
      </c>
      <c r="F5" s="1391"/>
      <c r="G5" s="1398"/>
      <c r="H5" s="1246" t="s">
        <v>1909</v>
      </c>
      <c r="I5" s="54">
        <f>ROUND(E31/D31,2)</f>
        <v>2</v>
      </c>
      <c r="J5" s="1391"/>
      <c r="K5" s="1391"/>
      <c r="L5" s="1391"/>
      <c r="M5" s="1391"/>
      <c r="N5" s="1391"/>
      <c r="O5" s="1391"/>
      <c r="P5" s="1391"/>
    </row>
    <row r="6" spans="1:16" ht="15" thickBot="1">
      <c r="A6" s="2233"/>
      <c r="B6" s="3055" t="s">
        <v>1914</v>
      </c>
      <c r="C6" s="3055"/>
      <c r="D6" s="47">
        <f>ROUND($D$3*E6/$E$3,2)</f>
        <v>1983.64</v>
      </c>
      <c r="E6" s="48">
        <f>E3-E5</f>
        <v>3967.28</v>
      </c>
      <c r="F6" s="1391"/>
      <c r="G6" s="2234" t="s">
        <v>1915</v>
      </c>
      <c r="H6" s="1398" t="s">
        <v>1916</v>
      </c>
      <c r="I6" s="938">
        <f>ROUND(F31/D31,2)</f>
        <v>2</v>
      </c>
      <c r="J6" s="1391"/>
      <c r="K6" s="1391"/>
      <c r="L6" s="1391"/>
      <c r="M6" s="1391"/>
      <c r="N6" s="1391"/>
      <c r="O6" s="1391"/>
      <c r="P6" s="1391"/>
    </row>
    <row r="7" spans="1:16" ht="15">
      <c r="A7" s="3047"/>
      <c r="B7" s="3048"/>
      <c r="C7" s="3049"/>
      <c r="D7" s="2230" t="s">
        <v>1910</v>
      </c>
      <c r="E7" s="2235" t="s">
        <v>1917</v>
      </c>
      <c r="F7" s="1391"/>
      <c r="G7" s="2227" t="s">
        <v>1918</v>
      </c>
      <c r="H7" s="63"/>
      <c r="I7" s="419"/>
      <c r="J7" s="1391"/>
      <c r="K7" s="1391"/>
      <c r="L7" s="1391"/>
      <c r="M7" s="1391"/>
      <c r="N7" s="1391"/>
      <c r="O7" s="1391"/>
      <c r="P7" s="1391"/>
    </row>
    <row r="8" spans="1:16">
      <c r="A8" s="46" t="s">
        <v>1919</v>
      </c>
      <c r="B8" s="49" t="s">
        <v>1920</v>
      </c>
      <c r="C8" s="47" t="s">
        <v>1921</v>
      </c>
      <c r="D8" s="47">
        <f t="shared" ref="D8:D15" si="0">ROUND($D$3*E8/$E$3,2)</f>
        <v>1983.64</v>
      </c>
      <c r="E8" s="50">
        <f>SUMIF('数据-基础表'!BB10:BK10,"地上",'数据-基础表'!BB5:BK5)</f>
        <v>3967.28</v>
      </c>
      <c r="F8" s="1391"/>
      <c r="G8" s="2236"/>
      <c r="H8" s="2236"/>
      <c r="I8" s="1391"/>
      <c r="J8" s="1391"/>
      <c r="K8" s="1391"/>
      <c r="L8" s="1391"/>
      <c r="M8" s="1391"/>
      <c r="N8" s="1391"/>
      <c r="O8" s="1391"/>
      <c r="P8" s="1391"/>
    </row>
    <row r="9" spans="1:16">
      <c r="A9" s="2237"/>
      <c r="B9" s="2238"/>
      <c r="C9" s="47" t="s">
        <v>1922</v>
      </c>
      <c r="D9" s="47">
        <f t="shared" si="0"/>
        <v>0</v>
      </c>
      <c r="E9" s="51">
        <v>0</v>
      </c>
      <c r="F9" s="1391"/>
      <c r="G9" s="2236"/>
      <c r="H9" s="2236"/>
      <c r="I9" s="1391"/>
      <c r="J9" s="1391"/>
      <c r="K9" s="1391"/>
      <c r="L9" s="1391"/>
      <c r="M9" s="1391"/>
      <c r="N9" s="1391"/>
      <c r="O9" s="1391"/>
      <c r="P9" s="1391"/>
    </row>
    <row r="10" spans="1:16">
      <c r="A10" s="2237"/>
      <c r="B10" s="2238"/>
      <c r="C10" s="47" t="s">
        <v>1931</v>
      </c>
      <c r="D10" s="47">
        <f t="shared" si="0"/>
        <v>0</v>
      </c>
      <c r="E10" s="50">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7" t="s">
        <v>1923</v>
      </c>
      <c r="D11" s="47">
        <f t="shared" si="0"/>
        <v>0</v>
      </c>
      <c r="E11" s="50">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7" t="s">
        <v>1924</v>
      </c>
      <c r="D12" s="47">
        <f t="shared" si="0"/>
        <v>0</v>
      </c>
      <c r="E12" s="50">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7" t="s">
        <v>1925</v>
      </c>
      <c r="D13" s="47">
        <f t="shared" si="0"/>
        <v>0</v>
      </c>
      <c r="E13" s="50">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7" t="s">
        <v>1937</v>
      </c>
      <c r="D14" s="47">
        <f t="shared" si="0"/>
        <v>0</v>
      </c>
      <c r="E14" s="50">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7" t="s">
        <v>1932</v>
      </c>
      <c r="D15" s="47">
        <f t="shared" si="0"/>
        <v>0</v>
      </c>
      <c r="E15" s="50">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49" t="s">
        <v>1926</v>
      </c>
      <c r="D16" s="49">
        <f>SUM(D8:D15)</f>
        <v>1983.64</v>
      </c>
      <c r="E16" s="52">
        <f>SUM(E8:E15)</f>
        <v>3967.28</v>
      </c>
      <c r="F16" s="1391"/>
      <c r="G16" s="2236"/>
      <c r="H16" s="2239" t="s">
        <v>1938</v>
      </c>
      <c r="I16" s="2240"/>
      <c r="J16" s="1391"/>
      <c r="K16" s="3044" t="s">
        <v>1938</v>
      </c>
      <c r="L16" s="3045"/>
      <c r="M16" s="3045"/>
      <c r="N16" s="3045"/>
      <c r="O16" s="3045"/>
      <c r="P16" s="3046"/>
    </row>
    <row r="17" spans="1:19" ht="15">
      <c r="A17" s="2241" t="s">
        <v>1939</v>
      </c>
      <c r="B17" s="2242" t="s">
        <v>1940</v>
      </c>
      <c r="C17" s="2243" t="s">
        <v>1941</v>
      </c>
      <c r="D17" s="2244" t="s">
        <v>1929</v>
      </c>
      <c r="E17" s="2245" t="s">
        <v>1930</v>
      </c>
      <c r="F17" s="2246"/>
      <c r="G17" s="2247"/>
      <c r="H17" s="2248" t="s">
        <v>1942</v>
      </c>
      <c r="I17" s="2249" t="s">
        <v>1927</v>
      </c>
      <c r="J17" s="1391"/>
      <c r="K17" s="3041" t="s">
        <v>1943</v>
      </c>
      <c r="L17" s="3042"/>
      <c r="M17" s="3043"/>
      <c r="N17" s="3041" t="s">
        <v>1944</v>
      </c>
      <c r="O17" s="3042"/>
      <c r="P17" s="3043"/>
      <c r="R17" s="2227" t="s">
        <v>1945</v>
      </c>
      <c r="S17" s="63"/>
    </row>
    <row r="18" spans="1:19" ht="15">
      <c r="A18" s="2237"/>
      <c r="B18" s="2250"/>
      <c r="C18" s="2251"/>
      <c r="D18" s="2252"/>
      <c r="E18" s="2253" t="s">
        <v>1946</v>
      </c>
      <c r="F18" s="2254" t="s">
        <v>1947</v>
      </c>
      <c r="G18" s="2255" t="s">
        <v>1948</v>
      </c>
      <c r="H18" s="1261" t="s">
        <v>1949</v>
      </c>
      <c r="I18" s="2256" t="s">
        <v>1950</v>
      </c>
      <c r="J18" s="1391"/>
      <c r="K18" s="1261" t="s">
        <v>1951</v>
      </c>
      <c r="L18" s="2257" t="s">
        <v>1952</v>
      </c>
      <c r="M18" s="1045" t="s">
        <v>1953</v>
      </c>
      <c r="N18" s="1261" t="s">
        <v>1951</v>
      </c>
      <c r="O18" s="2257" t="s">
        <v>1952</v>
      </c>
      <c r="P18" s="1045" t="s">
        <v>1953</v>
      </c>
      <c r="R18" s="1246" t="s">
        <v>1954</v>
      </c>
      <c r="S18" s="1246" t="s">
        <v>1955</v>
      </c>
    </row>
    <row r="19" spans="1:19">
      <c r="A19" s="2258"/>
      <c r="B19" s="49" t="s">
        <v>1928</v>
      </c>
      <c r="C19" s="2957" t="s">
        <v>3096</v>
      </c>
      <c r="D19" s="47">
        <f>ROUND($D$3*E19/$E$3,2)</f>
        <v>1983.64</v>
      </c>
      <c r="E19" s="55">
        <f t="shared" ref="E19:E26" si="1">SUM(F19:G19)</f>
        <v>3967.28</v>
      </c>
      <c r="F19" s="56">
        <f>'数据-基础表'!I13</f>
        <v>3967.28</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1983.64</v>
      </c>
      <c r="S19" s="1247">
        <f t="shared" si="5"/>
        <v>3967.28</v>
      </c>
    </row>
    <row r="20" spans="1:19">
      <c r="A20" s="2262"/>
      <c r="B20" s="49" t="s">
        <v>1956</v>
      </c>
      <c r="C20" s="2259"/>
      <c r="D20" s="47">
        <f t="shared" ref="D20:D26" si="6">ROUND($D$3*E20/$E$3,2)</f>
        <v>0</v>
      </c>
      <c r="E20" s="55">
        <f t="shared" si="1"/>
        <v>0</v>
      </c>
      <c r="F20" s="56"/>
      <c r="G20" s="57"/>
      <c r="H20" s="722">
        <f t="shared" ref="H20:H26" si="7">ROUND($D$3*I20/$E$3,2)</f>
        <v>0</v>
      </c>
      <c r="I20" s="50">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49" t="s">
        <v>1956</v>
      </c>
      <c r="C21" s="2259"/>
      <c r="D21" s="47">
        <f t="shared" si="6"/>
        <v>0</v>
      </c>
      <c r="E21" s="55">
        <f t="shared" si="1"/>
        <v>0</v>
      </c>
      <c r="F21" s="56"/>
      <c r="G21" s="57"/>
      <c r="H21" s="722">
        <f t="shared" si="7"/>
        <v>0</v>
      </c>
      <c r="I21" s="50">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49" t="s">
        <v>1956</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49" t="s">
        <v>1956</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49" t="s">
        <v>1956</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49" t="s">
        <v>1956</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49" t="s">
        <v>1956</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3"/>
      <c r="O26" s="2264"/>
      <c r="P26" s="66">
        <f t="shared" si="9"/>
        <v>0</v>
      </c>
      <c r="R26" s="1246">
        <f t="shared" si="5"/>
        <v>0</v>
      </c>
      <c r="S26" s="1247">
        <f t="shared" si="5"/>
        <v>0</v>
      </c>
    </row>
    <row r="27" spans="1:19" ht="15.75" thickBot="1">
      <c r="A27" s="2262"/>
      <c r="B27" s="47"/>
      <c r="C27" s="2265" t="s">
        <v>1957</v>
      </c>
      <c r="D27" s="1392">
        <f>SUM(D19:D26)</f>
        <v>1983.64</v>
      </c>
      <c r="E27" s="1393">
        <f>IF(SUM(E19:E26)='数据-基础表'!BA5,SUM(E19:E26),IF(F27="地上面积有误","面积有误","地下面积有误"))</f>
        <v>3967.28</v>
      </c>
      <c r="F27" s="1392">
        <f>IF(SUM(F19:F26)=E8,SUM(F19:F26),"地上面积有误")</f>
        <v>3967.28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1983.64</v>
      </c>
      <c r="S27" s="1246">
        <f>IF(SUM(S19:S26)=$E$3,SUM(S19:S26),SUM(S19:S26)&amp;"误差"&amp;ROUND(SUM(S19:S26)-E3,2))</f>
        <v>3967.28</v>
      </c>
    </row>
    <row r="28" spans="1:19">
      <c r="A28" s="2262"/>
      <c r="B28" s="49" t="s">
        <v>1958</v>
      </c>
      <c r="C28" s="1258" t="s">
        <v>1959</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2"/>
      <c r="B29" s="49" t="s">
        <v>1958</v>
      </c>
      <c r="C29" s="2266" t="s">
        <v>1960</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2"/>
      <c r="B30" s="49"/>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1961</v>
      </c>
      <c r="D31" s="728">
        <f>D27+D30</f>
        <v>1983.64</v>
      </c>
      <c r="E31" s="728">
        <f>E27+E30</f>
        <v>3967.28</v>
      </c>
      <c r="F31" s="729">
        <f>F27+F30</f>
        <v>3967.28</v>
      </c>
      <c r="G31" s="730">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7" sqref="K3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0"/>
      <c r="D1" s="2272"/>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43969</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7"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3097</v>
      </c>
      <c r="O5" s="2295" t="s">
        <v>1984</v>
      </c>
      <c r="P5" s="2298" t="s">
        <v>1985</v>
      </c>
      <c r="Q5" s="68" t="s">
        <v>1986</v>
      </c>
      <c r="R5" s="2299" t="s">
        <v>1987</v>
      </c>
      <c r="S5" s="2300" t="s">
        <v>1988</v>
      </c>
      <c r="T5" s="2301" t="s">
        <v>1989</v>
      </c>
      <c r="U5" s="1266" t="s">
        <v>1990</v>
      </c>
      <c r="V5" s="1267" t="s">
        <v>1991</v>
      </c>
      <c r="W5" s="1267" t="s">
        <v>1992</v>
      </c>
      <c r="X5" s="70"/>
      <c r="Y5" s="69" t="s">
        <v>1993</v>
      </c>
      <c r="Z5" s="2302" t="s">
        <v>1990</v>
      </c>
      <c r="AA5" s="1267" t="s">
        <v>1991</v>
      </c>
      <c r="AB5" s="1267" t="s">
        <v>1992</v>
      </c>
      <c r="AC5" s="70"/>
      <c r="AD5" s="70" t="s">
        <v>1993</v>
      </c>
      <c r="AE5" s="1266" t="s">
        <v>1994</v>
      </c>
      <c r="AF5" s="1267" t="s">
        <v>1995</v>
      </c>
      <c r="AG5" s="69" t="s">
        <v>1996</v>
      </c>
      <c r="AH5" s="1266" t="s">
        <v>1997</v>
      </c>
      <c r="AI5" s="2302" t="s">
        <v>1998</v>
      </c>
      <c r="AJ5" s="2302" t="s">
        <v>1999</v>
      </c>
      <c r="AK5" s="1267" t="s">
        <v>2000</v>
      </c>
      <c r="AL5" s="1267" t="s">
        <v>2001</v>
      </c>
      <c r="AM5" s="69"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1372</v>
      </c>
      <c r="D6" s="1050">
        <f>SUMIF(项目基本情况!D$12:I$12,C6,项目基本情况!D$14:I$14)</f>
        <v>40</v>
      </c>
      <c r="E6" s="1047">
        <f>IF(B6="","",SUMIF(项目基本情况!D$12:I$12,C6,项目基本情况!D$13:I$13))</f>
        <v>55151</v>
      </c>
      <c r="F6" s="71">
        <f>SUMIF(项目基本情况!D$12:I$12,C6,项目基本情况!D$15:I$15)</f>
        <v>30.63</v>
      </c>
      <c r="G6" s="72">
        <f>IF(ISERROR(ROUND(POWER(1+H6,D6-F6)*(POWER(1+H6,F6)-1)/(POWER(1+H6,D6)-1),3)),0,ROUND(POWER(1+H6,D6-F6)*(POWER(1+H6,F6)-1)/(POWER(1+H6,D6)-1),3))</f>
        <v>0.90400000000000003</v>
      </c>
      <c r="H6" s="801">
        <v>0.05</v>
      </c>
      <c r="I6" s="801">
        <v>5.5E-2</v>
      </c>
      <c r="J6" s="73">
        <v>0.08</v>
      </c>
      <c r="K6" s="1250">
        <f>SUMIF('数据-汇总表'!C$19:C$33,A6,'数据-汇总表'!E$19:E$33)</f>
        <v>3967.28</v>
      </c>
      <c r="L6" s="2963">
        <v>3000</v>
      </c>
      <c r="M6" s="74">
        <f t="shared" ref="M6:M14" si="0">ROUND(K6*L6/10000,0)</f>
        <v>1190</v>
      </c>
      <c r="N6" s="800">
        <f>ROUND(1-(2020-N19)/60,2)</f>
        <v>0.93</v>
      </c>
      <c r="O6" s="74" t="str">
        <f>IF($N$5="成新度","——",ROUND(M6*N6,0))</f>
        <v>——</v>
      </c>
      <c r="P6" s="75" t="str">
        <f>IF($N$5="成新度","——",M6-O6)</f>
        <v>——</v>
      </c>
      <c r="Q6" s="2962">
        <v>0.1</v>
      </c>
      <c r="R6" s="76">
        <f ca="1">SUMIF('数据-汇总表'!C$19:C$33,A6,'数据-汇总表'!R$19:R$27)</f>
        <v>1983.64</v>
      </c>
      <c r="S6" s="53">
        <f>IF('数据-汇总表'!$I$17="按面积比例",SUMIF('数据-汇总表'!C$19:C$33,A6,'数据-汇总表'!K$19:K$33),SUMIF('数据-汇总表'!C$19:C$33,A6,'数据-汇总表'!N$19:N$33))</f>
        <v>0</v>
      </c>
      <c r="T6" s="1442">
        <f>ROUND($L$14*S6/10000,0)</f>
        <v>0</v>
      </c>
      <c r="U6" s="2964">
        <v>1.8</v>
      </c>
      <c r="V6" s="78">
        <v>2.5000000000000001E-2</v>
      </c>
      <c r="W6" s="78">
        <v>0.15</v>
      </c>
      <c r="X6" s="1260"/>
      <c r="Y6" s="79">
        <f>N6</f>
        <v>0.93</v>
      </c>
      <c r="Z6" s="80"/>
      <c r="AA6" s="73"/>
      <c r="AB6" s="73"/>
      <c r="AC6" s="1260"/>
      <c r="AD6" s="81"/>
      <c r="AE6" s="1261">
        <f ca="1">IF(AN6="",0,SUMIF(INDIRECT("'"&amp;AN6&amp;"'"&amp;"!E:E"),$AE$5,INDIRECT("'"&amp;AN6&amp;"'"&amp;"!F:F")))</f>
        <v>30.63</v>
      </c>
      <c r="AF6" s="1803"/>
      <c r="AG6" s="146">
        <f>IF(AF6="",0,AE6-AF6)</f>
        <v>0</v>
      </c>
      <c r="AH6" s="82"/>
      <c r="AI6" s="84">
        <v>365</v>
      </c>
      <c r="AJ6" s="85"/>
      <c r="AK6" s="86">
        <v>1.4999999999999999E-2</v>
      </c>
      <c r="AL6" s="87">
        <v>1.5E-3</v>
      </c>
      <c r="AM6" s="88">
        <v>1.4999999999999999E-2</v>
      </c>
      <c r="AN6" s="2308" t="s">
        <v>3098</v>
      </c>
      <c r="AO6" s="54">
        <f ca="1">SUMIF(INDIRECT("'"&amp;AN6&amp;"'"&amp;"!A:A"),"总价",INDIRECT("'"&amp;AN6&amp;"'"&amp;"!B:B"))</f>
        <v>3079</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0">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8"/>
      <c r="AO7" s="54" t="e">
        <f t="shared" ref="AO7:AO13" ca="1" si="8">SUMIF(INDIRECT("'"&amp;AN7&amp;"'"&amp;"!A:A"),"总价",INDIRECT("'"&amp;AN7&amp;"'"&amp;"!B:B"))</f>
        <v>#REF!</v>
      </c>
      <c r="AP7" s="2309">
        <f t="shared" ref="AP7:AP13" si="9">IF(C7="住宅",K7*L7,0)</f>
        <v>0</v>
      </c>
      <c r="AQ7" s="54">
        <f t="shared" ref="AQ7:AQ13" si="10">ROUND($L$14*$N$14*S7/10000,0)</f>
        <v>0</v>
      </c>
      <c r="AR7" s="54">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8"/>
      <c r="AO8" s="54" t="e">
        <f t="shared" ca="1" si="8"/>
        <v>#REF!</v>
      </c>
      <c r="AP8" s="2309">
        <f t="shared" si="9"/>
        <v>0</v>
      </c>
      <c r="AQ8" s="54">
        <f t="shared" si="10"/>
        <v>0</v>
      </c>
      <c r="AR8" s="54">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8"/>
      <c r="AO9" s="54" t="e">
        <f t="shared" ca="1" si="8"/>
        <v>#REF!</v>
      </c>
      <c r="AP9" s="2309">
        <f t="shared" si="9"/>
        <v>0</v>
      </c>
      <c r="AQ9" s="54">
        <f t="shared" si="10"/>
        <v>0</v>
      </c>
      <c r="AR9" s="54">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8"/>
      <c r="AO10" s="54" t="e">
        <f t="shared" ca="1" si="8"/>
        <v>#REF!</v>
      </c>
      <c r="AP10" s="2309">
        <f t="shared" si="9"/>
        <v>0</v>
      </c>
      <c r="AQ10" s="54">
        <f t="shared" si="10"/>
        <v>0</v>
      </c>
      <c r="AR10" s="54">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8"/>
      <c r="AO11" s="54" t="e">
        <f t="shared" ca="1" si="8"/>
        <v>#REF!</v>
      </c>
      <c r="AP11" s="2309">
        <f t="shared" si="9"/>
        <v>0</v>
      </c>
      <c r="AQ11" s="54">
        <f t="shared" si="10"/>
        <v>0</v>
      </c>
      <c r="AR11" s="54">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8"/>
      <c r="AO12" s="54" t="e">
        <f t="shared" ca="1" si="8"/>
        <v>#REF!</v>
      </c>
      <c r="AP12" s="2309">
        <f t="shared" si="9"/>
        <v>0</v>
      </c>
      <c r="AQ12" s="54">
        <f t="shared" si="10"/>
        <v>0</v>
      </c>
      <c r="AR12" s="54">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8"/>
      <c r="AO13" s="54" t="e">
        <f t="shared" ca="1" si="8"/>
        <v>#REF!</v>
      </c>
      <c r="AP13" s="2309">
        <f t="shared" si="9"/>
        <v>0</v>
      </c>
      <c r="AQ13" s="54">
        <f t="shared" si="10"/>
        <v>0</v>
      </c>
      <c r="AR13" s="54">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6"/>
      <c r="C16" s="1004"/>
      <c r="D16" s="2313"/>
      <c r="E16" s="96"/>
      <c r="F16" s="96"/>
      <c r="G16" s="97">
        <f>ROUND(SUMPRODUCT(G6:G13,K6:K13)/SUMPRODUCT((G6:G13&gt;0)*(K6:K13)),3)</f>
        <v>0.90400000000000003</v>
      </c>
      <c r="H16" s="98">
        <f>ROUND(SUMPRODUCT(H6:H13,K6:K13)/SUMPRODUCT((H6:H13&gt;0)*(K6:K13)),3)</f>
        <v>0.05</v>
      </c>
      <c r="I16" s="99"/>
      <c r="J16" s="99"/>
      <c r="K16" s="100">
        <f>SUM(K6:K15)</f>
        <v>3967.28</v>
      </c>
      <c r="L16" s="101">
        <f>ROUND(M16*10000/SUM(K6:K14),0)</f>
        <v>3000</v>
      </c>
      <c r="M16" s="101">
        <f>SUM(M6:M14)</f>
        <v>1190</v>
      </c>
      <c r="N16" s="102">
        <f>ROUND(SUMPRODUCT(M6:M14,N6:N14)/M16,3)</f>
        <v>0.93</v>
      </c>
      <c r="O16" s="101">
        <f>SUM(O6:O14)</f>
        <v>0</v>
      </c>
      <c r="P16" s="101">
        <f>SUM(P6:P14)</f>
        <v>0</v>
      </c>
      <c r="Q16" s="103">
        <f>ROUND(SUMPRODUCT(Q6:Q13,K6:K13)/SUMPRODUCT((Q6:Q13&gt;0)*(K6:K13)),2)</f>
        <v>0.1</v>
      </c>
      <c r="R16" s="1254">
        <f ca="1">SUM(R6:R13)</f>
        <v>1983.64</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2013</v>
      </c>
      <c r="B18" s="2279"/>
      <c r="C18" s="2276"/>
      <c r="D18" s="2277"/>
      <c r="E18" s="2276"/>
      <c r="F18" s="2276"/>
      <c r="G18" s="2276"/>
      <c r="H18" s="2276"/>
      <c r="I18" s="2276"/>
      <c r="J18" s="2276"/>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1">
        <v>0</v>
      </c>
      <c r="C19" s="2276" t="s">
        <v>2015</v>
      </c>
      <c r="D19" s="2277"/>
      <c r="E19" s="2276"/>
      <c r="F19" s="2276"/>
      <c r="G19" s="2276"/>
      <c r="H19" s="2276"/>
      <c r="I19" s="2276"/>
      <c r="J19" s="2276"/>
      <c r="K19" s="167"/>
      <c r="L19" s="167"/>
      <c r="M19" s="1580"/>
      <c r="N19" s="1580">
        <v>2016</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2">
        <v>1</v>
      </c>
      <c r="C20" s="2276" t="s">
        <v>2017</v>
      </c>
      <c r="D20" s="2277"/>
      <c r="E20" s="2276"/>
      <c r="F20" s="2276"/>
      <c r="G20" s="2276"/>
      <c r="H20" s="2276"/>
      <c r="I20" s="2276"/>
      <c r="J20" s="2276"/>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2">
        <v>1</v>
      </c>
      <c r="C21" s="2276"/>
      <c r="D21" s="2277"/>
      <c r="E21" s="2276"/>
      <c r="F21" s="2276"/>
      <c r="G21" s="2276"/>
      <c r="H21" s="2276"/>
      <c r="I21" s="2276"/>
      <c r="J21" s="2276"/>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3">
        <f>B19+B20</f>
        <v>1</v>
      </c>
      <c r="C22" s="2276"/>
      <c r="D22" s="2277"/>
      <c r="E22" s="2276"/>
      <c r="F22" s="2276"/>
      <c r="G22" s="2276"/>
      <c r="H22" s="2276"/>
      <c r="I22" s="2276"/>
      <c r="J22" s="2276"/>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3">
        <f>B19+B21</f>
        <v>1</v>
      </c>
      <c r="C23" s="2276"/>
      <c r="D23" s="2277"/>
      <c r="E23" s="2276"/>
      <c r="F23" s="2276"/>
      <c r="G23" s="2276"/>
      <c r="H23" s="2276"/>
      <c r="I23" s="2276"/>
      <c r="J23" s="2276"/>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4">
        <f>B20-B21</f>
        <v>0</v>
      </c>
      <c r="C24" s="2276"/>
      <c r="D24" s="2277"/>
      <c r="E24" s="2276"/>
      <c r="F24" s="2276"/>
      <c r="G24" s="2276"/>
      <c r="H24" s="2276"/>
      <c r="I24" s="2276"/>
      <c r="J24" s="2276"/>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5">
        <v>33.200000000000003</v>
      </c>
      <c r="C27" s="1763" t="s">
        <v>2026</v>
      </c>
      <c r="D27" s="2322"/>
      <c r="E27" s="1426"/>
      <c r="F27" s="1426"/>
      <c r="G27" s="2276"/>
      <c r="H27" s="2276"/>
      <c r="I27" s="2276"/>
      <c r="J27" s="2276"/>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2027</v>
      </c>
      <c r="B28" s="118">
        <v>21.6</v>
      </c>
      <c r="C28" s="2325"/>
      <c r="D28" s="2322"/>
      <c r="E28" s="1426"/>
      <c r="F28" s="1426"/>
      <c r="G28" s="2276"/>
      <c r="H28" s="2276"/>
      <c r="I28" s="2276"/>
      <c r="J28" s="2276"/>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2028</v>
      </c>
      <c r="B29" s="120"/>
      <c r="C29" s="1763" t="s">
        <v>2029</v>
      </c>
      <c r="D29" s="2322"/>
      <c r="E29" s="1426"/>
      <c r="F29" s="1426"/>
      <c r="G29" s="2276"/>
      <c r="H29" s="2276"/>
      <c r="I29" s="2276"/>
      <c r="J29" s="2276"/>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2030</v>
      </c>
      <c r="B30" s="723">
        <v>150</v>
      </c>
      <c r="C30" s="2325"/>
      <c r="D30" s="2322"/>
      <c r="E30" s="1426"/>
      <c r="F30" s="1426"/>
      <c r="G30" s="2276"/>
      <c r="H30" s="2276"/>
      <c r="I30" s="2276"/>
      <c r="J30" s="2276"/>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2031</v>
      </c>
      <c r="B31" s="119">
        <f>B30-B32</f>
        <v>150</v>
      </c>
      <c r="C31" s="1763"/>
      <c r="D31" s="2322"/>
      <c r="E31" s="1426"/>
      <c r="F31" s="1426"/>
      <c r="G31" s="2276"/>
      <c r="H31" s="2276"/>
      <c r="I31" s="2276"/>
      <c r="J31" s="2276"/>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2032</v>
      </c>
      <c r="B32" s="724">
        <v>0</v>
      </c>
      <c r="C32" s="2325"/>
      <c r="D32" s="2277"/>
      <c r="E32" s="2276"/>
      <c r="F32" s="2276"/>
      <c r="G32" s="2276"/>
      <c r="H32" s="2276"/>
      <c r="I32" s="2276"/>
      <c r="J32" s="2276"/>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2033</v>
      </c>
      <c r="B33" s="725">
        <v>0.03</v>
      </c>
      <c r="C33" s="1762" t="s">
        <v>2034</v>
      </c>
      <c r="D33" s="2277"/>
      <c r="E33" s="2276"/>
      <c r="F33" s="2276"/>
      <c r="G33" s="2276"/>
      <c r="H33" s="2276"/>
      <c r="I33" s="2276"/>
      <c r="J33" s="2276"/>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2035</v>
      </c>
      <c r="B34" s="121">
        <v>0</v>
      </c>
      <c r="C34" s="1762" t="s">
        <v>2036</v>
      </c>
      <c r="D34" s="2277" t="s">
        <v>2037</v>
      </c>
      <c r="E34" s="731"/>
      <c r="F34" s="2276"/>
      <c r="G34" s="2276"/>
      <c r="H34" s="2276"/>
      <c r="I34" s="2276"/>
      <c r="J34" s="2276"/>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2038</v>
      </c>
      <c r="B35" s="118">
        <v>150</v>
      </c>
      <c r="C35" s="1762" t="s">
        <v>2039</v>
      </c>
      <c r="D35" s="2322"/>
      <c r="E35" s="1426"/>
      <c r="F35" s="1426"/>
      <c r="G35" s="2276"/>
      <c r="H35" s="2276"/>
      <c r="I35" s="2276"/>
      <c r="J35" s="2276"/>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2040</v>
      </c>
      <c r="B36" s="122">
        <v>1.4999999999999999E-2</v>
      </c>
      <c r="C36" s="1762" t="s">
        <v>2041</v>
      </c>
      <c r="D36" s="2277"/>
      <c r="E36" s="2276"/>
      <c r="F36" s="2276"/>
      <c r="G36" s="2276"/>
      <c r="H36" s="2276"/>
      <c r="I36" s="2276"/>
      <c r="J36" s="2276"/>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3">
        <v>0.02</v>
      </c>
      <c r="C37" s="1762" t="s">
        <v>2043</v>
      </c>
      <c r="D37" s="2277"/>
      <c r="E37" s="2276"/>
      <c r="F37" s="2276"/>
      <c r="G37" s="2276"/>
      <c r="H37" s="2276"/>
      <c r="I37" s="2276"/>
      <c r="J37" s="2276"/>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1">
        <v>0.02</v>
      </c>
      <c r="C38" s="1762" t="s">
        <v>2043</v>
      </c>
      <c r="D38" s="2277"/>
      <c r="E38" s="2276"/>
      <c r="F38" s="2276"/>
      <c r="G38" s="2276"/>
      <c r="H38" s="2276"/>
      <c r="I38" s="2276"/>
      <c r="J38" s="2276"/>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1">
        <f ca="1">存贷款利率!I1</f>
        <v>1.4999999999999999E-2</v>
      </c>
      <c r="C39" s="1762"/>
      <c r="D39" s="2277"/>
      <c r="E39" s="2276"/>
      <c r="F39" s="2276"/>
      <c r="G39" s="2276"/>
      <c r="H39" s="2276"/>
      <c r="I39" s="2276"/>
      <c r="J39" s="2276"/>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4.3499999999999997E-2</v>
      </c>
      <c r="C40" s="1762" t="s">
        <v>2047</v>
      </c>
      <c r="D40" s="1580"/>
      <c r="E40" s="2277"/>
      <c r="F40" s="2276"/>
      <c r="G40" s="2276"/>
      <c r="H40" s="2276"/>
      <c r="I40" s="2276"/>
      <c r="J40" s="2276"/>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4">
        <f>B42+B43</f>
        <v>5.5000000000000007E-2</v>
      </c>
      <c r="C41" s="1763"/>
      <c r="D41" s="1580"/>
      <c r="E41" s="2277"/>
      <c r="F41" s="2276"/>
      <c r="G41" s="2276"/>
      <c r="H41" s="2276"/>
      <c r="I41" s="2276"/>
      <c r="J41" s="2276"/>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5">
        <v>0.05</v>
      </c>
      <c r="C42" s="2330">
        <f>IF(B2&lt;DATE(2016,5,1),0,B42)</f>
        <v>0.05</v>
      </c>
      <c r="D42" s="2277"/>
      <c r="E42" s="2276"/>
      <c r="F42" s="2276"/>
      <c r="G42" s="2276"/>
      <c r="H42" s="2276"/>
      <c r="I42" s="2276"/>
      <c r="J42" s="2276"/>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6">
        <f>B42*(B44+B45+B46)+B47</f>
        <v>5.000000000000001E-3</v>
      </c>
      <c r="C43" s="1763"/>
      <c r="D43" s="2277"/>
      <c r="E43" s="2276"/>
      <c r="F43" s="2276"/>
      <c r="G43" s="2276"/>
      <c r="H43" s="2276"/>
      <c r="I43" s="2276"/>
      <c r="J43" s="2276"/>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127">
        <v>0.05</v>
      </c>
      <c r="C44" s="1762" t="s">
        <v>2052</v>
      </c>
      <c r="D44" s="2277"/>
      <c r="E44" s="2276"/>
      <c r="F44" s="2276"/>
      <c r="G44" s="2276"/>
      <c r="H44" s="2276"/>
      <c r="I44" s="2276"/>
      <c r="J44" s="2276"/>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5">
        <v>0.03</v>
      </c>
      <c r="C45" s="1763" t="s">
        <v>2054</v>
      </c>
      <c r="D45" s="2277"/>
      <c r="E45" s="2276"/>
      <c r="F45" s="2276"/>
      <c r="G45" s="2276"/>
      <c r="H45" s="2276"/>
      <c r="I45" s="2276"/>
      <c r="J45" s="2276"/>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5">
        <v>0.02</v>
      </c>
      <c r="C46" s="1763" t="s">
        <v>2056</v>
      </c>
      <c r="D46" s="2277"/>
      <c r="E46" s="2276"/>
      <c r="F46" s="2276"/>
      <c r="G46" s="2276"/>
      <c r="H46" s="2276"/>
      <c r="I46" s="2276"/>
      <c r="J46" s="2276"/>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8"/>
      <c r="C47" s="1763" t="s">
        <v>2058</v>
      </c>
      <c r="D47" s="2277"/>
      <c r="E47" s="2276"/>
      <c r="F47" s="2276"/>
      <c r="G47" s="2276"/>
      <c r="H47" s="2276"/>
      <c r="I47" s="2276"/>
      <c r="J47" s="2276"/>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29">
        <v>0.04</v>
      </c>
      <c r="C48" s="1770" t="s">
        <v>2060</v>
      </c>
      <c r="D48" s="2277"/>
      <c r="E48" s="2276"/>
      <c r="F48" s="2276"/>
      <c r="G48" s="2276"/>
      <c r="H48" s="2276"/>
      <c r="I48" s="2276"/>
      <c r="J48" s="2276"/>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5">
        <v>5.0000000000000001E-4</v>
      </c>
      <c r="C49" s="1770" t="s">
        <v>2062</v>
      </c>
      <c r="D49" s="2277"/>
      <c r="E49" s="2276"/>
      <c r="F49" s="2276"/>
      <c r="G49" s="2276"/>
      <c r="H49" s="2276"/>
      <c r="I49" s="2276"/>
      <c r="J49" s="2276"/>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0">
        <v>1.2E-2</v>
      </c>
      <c r="C50" s="1426"/>
      <c r="D50" s="2277"/>
      <c r="E50" s="2276"/>
      <c r="F50" s="2276"/>
      <c r="G50" s="2276"/>
      <c r="H50" s="2276"/>
      <c r="I50" s="2276"/>
      <c r="J50" s="2276"/>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1">
        <v>0.12</v>
      </c>
      <c r="C51" s="1426"/>
      <c r="D51" s="2277"/>
      <c r="E51" s="2276"/>
      <c r="F51" s="2276"/>
      <c r="G51" s="2276"/>
      <c r="H51" s="2276"/>
      <c r="I51" s="2276"/>
      <c r="J51" s="2276"/>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2">
        <f>SUMIF(A54:A63,B53,B54:B63)</f>
        <v>3</v>
      </c>
      <c r="C52" s="1426"/>
      <c r="D52" s="2277"/>
      <c r="E52" s="2276"/>
      <c r="F52" s="2276"/>
      <c r="G52" s="2276"/>
      <c r="H52" s="2276"/>
      <c r="I52" s="2276"/>
      <c r="J52" s="2276"/>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t="s">
        <v>523</v>
      </c>
      <c r="C53" s="1426" t="s">
        <v>2067</v>
      </c>
      <c r="D53" s="2336" t="s">
        <v>2068</v>
      </c>
      <c r="E53" s="2276"/>
      <c r="F53" s="2276"/>
      <c r="G53" s="2276"/>
      <c r="H53" s="2276"/>
      <c r="I53" s="2276"/>
      <c r="J53" s="2276"/>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3"/>
      <c r="C54" s="1426">
        <v>30</v>
      </c>
      <c r="D54" s="2277"/>
      <c r="E54" s="2276"/>
      <c r="F54" s="2276"/>
      <c r="G54" s="2276"/>
      <c r="H54" s="2276"/>
      <c r="I54" s="2276"/>
      <c r="J54" s="2276"/>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3"/>
      <c r="C55" s="1426">
        <v>24</v>
      </c>
      <c r="D55" s="2277"/>
      <c r="E55" s="2276"/>
      <c r="F55" s="2276"/>
      <c r="G55" s="2276"/>
      <c r="H55" s="2276"/>
      <c r="I55" s="2338"/>
      <c r="J55" s="2276"/>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3"/>
      <c r="C56" s="1426">
        <v>18</v>
      </c>
      <c r="D56" s="2277"/>
      <c r="E56" s="2276"/>
      <c r="F56" s="2276"/>
      <c r="G56" s="2276"/>
      <c r="H56" s="2276"/>
      <c r="I56" s="2276"/>
      <c r="J56" s="2276"/>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3"/>
      <c r="C57" s="1426">
        <v>12</v>
      </c>
      <c r="D57" s="2277"/>
      <c r="E57" s="2276"/>
      <c r="F57" s="2276"/>
      <c r="G57" s="2276"/>
      <c r="H57" s="2276"/>
      <c r="I57" s="2276"/>
      <c r="J57" s="2276"/>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3">
        <v>3</v>
      </c>
      <c r="C58" s="1426">
        <v>3</v>
      </c>
      <c r="D58" s="2277"/>
      <c r="E58" s="2276"/>
      <c r="F58" s="2276"/>
      <c r="G58" s="2276"/>
      <c r="H58" s="2276"/>
      <c r="I58" s="2276"/>
      <c r="J58" s="2276"/>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3"/>
      <c r="C59" s="1426">
        <v>1.5</v>
      </c>
      <c r="D59" s="2277"/>
      <c r="E59" s="2276"/>
      <c r="F59" s="2276"/>
      <c r="G59" s="2276"/>
      <c r="H59" s="2276"/>
      <c r="I59" s="2276"/>
      <c r="J59" s="2276"/>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3"/>
      <c r="C60" s="2276"/>
      <c r="D60" s="2277"/>
      <c r="E60" s="2276"/>
      <c r="F60" s="2276"/>
      <c r="G60" s="2276"/>
      <c r="H60" s="2276"/>
      <c r="I60" s="2276"/>
      <c r="J60" s="2276"/>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3"/>
      <c r="C61" s="2276"/>
      <c r="D61" s="2277"/>
      <c r="E61" s="2276"/>
      <c r="F61" s="2276"/>
      <c r="G61" s="2276"/>
      <c r="H61" s="2276"/>
      <c r="I61" s="2276"/>
      <c r="J61" s="2276"/>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3"/>
      <c r="C62" s="2276"/>
      <c r="D62" s="2277"/>
      <c r="E62" s="2276"/>
      <c r="F62" s="2276"/>
      <c r="G62" s="2276"/>
      <c r="H62" s="2276"/>
      <c r="I62" s="2276"/>
      <c r="J62" s="2276"/>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3"/>
      <c r="C63" s="2276"/>
      <c r="D63" s="2277"/>
      <c r="E63" s="2276"/>
      <c r="F63" s="2276"/>
      <c r="G63" s="2276"/>
      <c r="H63" s="2276"/>
      <c r="I63" s="2276"/>
      <c r="J63" s="2276"/>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6" t="s">
        <v>2079</v>
      </c>
      <c r="B1" s="3057"/>
      <c r="C1" s="3057"/>
      <c r="D1" s="3057"/>
      <c r="E1" s="3057"/>
      <c r="F1" s="3057"/>
      <c r="G1" s="305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4" t="s">
        <v>2082</v>
      </c>
      <c r="B3" s="1267" t="s">
        <v>2083</v>
      </c>
      <c r="C3" s="2368" t="s">
        <v>2084</v>
      </c>
      <c r="D3" s="2369"/>
      <c r="E3" s="430" t="s">
        <v>2082</v>
      </c>
      <c r="F3" s="2370" t="s">
        <v>2085</v>
      </c>
      <c r="G3" s="2371" t="s">
        <v>2086</v>
      </c>
      <c r="H3" s="2366"/>
      <c r="I3" s="2366"/>
      <c r="J3" s="2366"/>
      <c r="K3" s="2366"/>
      <c r="L3" s="2366"/>
      <c r="M3" s="2366"/>
      <c r="N3" s="2366"/>
      <c r="O3" s="2366"/>
      <c r="P3" s="2366"/>
      <c r="Q3" s="2366"/>
      <c r="R3" s="2366"/>
    </row>
    <row r="4" spans="1:29" ht="41.25">
      <c r="A4" s="430"/>
      <c r="B4" s="1794" t="s">
        <v>2087</v>
      </c>
      <c r="C4" s="2372" t="s">
        <v>2088</v>
      </c>
      <c r="D4" s="2369"/>
      <c r="E4" s="2373"/>
      <c r="F4" s="41" t="s">
        <v>2089</v>
      </c>
      <c r="G4" s="2374" t="s">
        <v>2090</v>
      </c>
      <c r="H4" s="2366"/>
      <c r="I4" s="2366"/>
      <c r="J4" s="2366"/>
      <c r="K4" s="2366"/>
      <c r="L4" s="2366"/>
      <c r="M4" s="2366"/>
      <c r="N4" s="2366"/>
      <c r="O4" s="2366"/>
      <c r="P4" s="2366"/>
      <c r="Q4" s="2366"/>
      <c r="R4" s="2366"/>
    </row>
    <row r="5" spans="1:29" ht="41.25">
      <c r="A5" s="430"/>
      <c r="B5" s="1794" t="s">
        <v>2091</v>
      </c>
      <c r="C5" s="2372" t="s">
        <v>2092</v>
      </c>
      <c r="D5" s="2369"/>
      <c r="E5" s="2373"/>
      <c r="F5" s="1794" t="s">
        <v>2093</v>
      </c>
      <c r="G5" s="2374" t="s">
        <v>2094</v>
      </c>
      <c r="H5" s="2366"/>
      <c r="I5" s="2366"/>
      <c r="J5" s="2366"/>
      <c r="K5" s="2366"/>
      <c r="L5" s="2366"/>
      <c r="M5" s="2366"/>
      <c r="N5" s="2366"/>
      <c r="O5" s="2366"/>
      <c r="P5" s="2366"/>
      <c r="Q5" s="2366"/>
      <c r="R5" s="2366"/>
    </row>
    <row r="6" spans="1:29" ht="54">
      <c r="A6" s="430"/>
      <c r="B6" s="1794" t="s">
        <v>2095</v>
      </c>
      <c r="C6" s="2374" t="s">
        <v>2090</v>
      </c>
      <c r="D6" s="2369"/>
      <c r="E6" s="2373"/>
      <c r="F6" s="1794" t="s">
        <v>2096</v>
      </c>
      <c r="G6" s="2374" t="s">
        <v>2097</v>
      </c>
      <c r="H6" s="2366"/>
      <c r="I6" s="2366"/>
      <c r="J6" s="2366"/>
      <c r="K6" s="2366"/>
      <c r="L6" s="2366"/>
      <c r="M6" s="2366"/>
      <c r="N6" s="2366"/>
      <c r="O6" s="2366"/>
      <c r="P6" s="2366"/>
      <c r="Q6" s="2366"/>
      <c r="R6" s="2366"/>
    </row>
    <row r="7" spans="1:29" ht="41.25" thickBot="1">
      <c r="A7" s="430"/>
      <c r="B7" s="1794" t="s">
        <v>2093</v>
      </c>
      <c r="C7" s="2374" t="s">
        <v>2094</v>
      </c>
      <c r="D7" s="2375"/>
      <c r="E7" s="2376"/>
      <c r="F7" s="2377" t="s">
        <v>2098</v>
      </c>
      <c r="G7" s="2378" t="s">
        <v>2099</v>
      </c>
      <c r="H7" s="2366"/>
      <c r="I7" s="2366"/>
      <c r="J7" s="2366"/>
      <c r="K7" s="2366"/>
      <c r="L7" s="2366"/>
      <c r="M7" s="2366"/>
      <c r="N7" s="2366"/>
      <c r="O7" s="2366"/>
      <c r="P7" s="2366"/>
      <c r="Q7" s="2366"/>
      <c r="R7" s="2366"/>
    </row>
    <row r="8" spans="1:29" ht="27">
      <c r="A8" s="430"/>
      <c r="B8" s="1794" t="s">
        <v>2096</v>
      </c>
      <c r="C8" s="2374" t="s">
        <v>2097</v>
      </c>
      <c r="D8" s="2375"/>
      <c r="E8" s="2375"/>
      <c r="F8" s="1132"/>
      <c r="G8" s="1132"/>
      <c r="H8" s="2366"/>
      <c r="I8" s="2366"/>
      <c r="J8" s="2366"/>
      <c r="K8" s="2366"/>
      <c r="L8" s="2366"/>
      <c r="M8" s="2366"/>
      <c r="N8" s="2366"/>
      <c r="O8" s="2366"/>
      <c r="P8" s="2366"/>
      <c r="Q8" s="2366"/>
      <c r="R8" s="2366"/>
    </row>
    <row r="9" spans="1:29" ht="27">
      <c r="A9" s="430"/>
      <c r="B9" s="1794" t="s">
        <v>2100</v>
      </c>
      <c r="C9" s="2372" t="s">
        <v>2101</v>
      </c>
      <c r="D9" s="2369"/>
      <c r="E9" s="2375"/>
      <c r="F9" s="1132"/>
      <c r="G9" s="1132"/>
      <c r="H9" s="2366"/>
      <c r="I9" s="2366"/>
      <c r="J9" s="2366"/>
      <c r="K9" s="2366"/>
      <c r="L9" s="2366"/>
      <c r="M9" s="2366"/>
      <c r="N9" s="2366"/>
      <c r="O9" s="2366"/>
      <c r="P9" s="2366"/>
      <c r="Q9" s="2366"/>
      <c r="R9" s="2366"/>
    </row>
    <row r="10" spans="1:29" s="116" customFormat="1" ht="15.75" thickBot="1">
      <c r="A10" s="2379"/>
      <c r="B10" s="2380" t="s">
        <v>2102</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7" t="s">
        <v>2106</v>
      </c>
      <c r="B15" s="1266" t="s">
        <v>2083</v>
      </c>
      <c r="C15" s="2401" t="str">
        <f>C3</f>
        <v>估价对象周边居住用地比例、居住小区规模和社区发展完善程度，综合评价居住社区成熟度一般</v>
      </c>
      <c r="D15" s="2369"/>
      <c r="E15" s="2402" t="s">
        <v>2107</v>
      </c>
      <c r="F15" s="1266" t="s">
        <v>2108</v>
      </c>
      <c r="G15" s="134" t="str">
        <f>G3</f>
        <v>估价对象位于XX开发区，园区建设成熟度XX，产业集聚程度XX</v>
      </c>
    </row>
    <row r="16" spans="1:29" ht="42.75">
      <c r="A16" s="644"/>
      <c r="B16" s="2403" t="s">
        <v>2087</v>
      </c>
      <c r="C16" s="2404" t="str">
        <f>C4</f>
        <v>估价对象位于XX商圈，周边商业氛围成熟，人流量大，商业繁华度好</v>
      </c>
      <c r="D16" s="2369"/>
      <c r="E16" s="2405"/>
      <c r="F16" s="2406" t="s">
        <v>2089</v>
      </c>
      <c r="G16" s="135" t="str">
        <f>G4</f>
        <v>估价对象周边道路状况、公共交通通达情况、停车便捷程度，综合评价交通便捷度较好</v>
      </c>
    </row>
    <row r="17" spans="1:18" ht="42.75">
      <c r="A17" s="644"/>
      <c r="B17" s="2403" t="s">
        <v>2091</v>
      </c>
      <c r="C17" s="2404" t="str">
        <f>C5</f>
        <v>估价对象位于XX商圈，周边办公楼项目较多，入驻率高，办公集聚程度较好</v>
      </c>
      <c r="D17" s="2375"/>
      <c r="E17" s="2405"/>
      <c r="F17" s="2406" t="s">
        <v>2109</v>
      </c>
      <c r="G17" s="1568"/>
    </row>
    <row r="18" spans="1:18" ht="57">
      <c r="A18" s="644"/>
      <c r="B18" s="2406" t="s">
        <v>2095</v>
      </c>
      <c r="C18" s="135" t="str">
        <f>C6</f>
        <v>估价对象周边道路状况、公共交通通达情况、停车便捷程度，综合评价交通便捷度较好</v>
      </c>
      <c r="D18" s="2375"/>
      <c r="E18" s="2405"/>
      <c r="F18" s="2406" t="s">
        <v>2098</v>
      </c>
      <c r="G18" s="135" t="str">
        <f>G7</f>
        <v>该园区内是否有污染型企业，绿化情况，卫生条件，整体环境状况判断</v>
      </c>
    </row>
    <row r="19" spans="1:18" ht="28.5">
      <c r="A19" s="644"/>
      <c r="B19" s="2406" t="s">
        <v>2110</v>
      </c>
      <c r="C19" s="1568"/>
      <c r="D19" s="2369"/>
      <c r="E19" s="2405"/>
      <c r="F19" s="1794" t="s">
        <v>2093</v>
      </c>
      <c r="G19" s="135" t="str">
        <f>G5</f>
        <v>估价对象所在区域公共配套设施齐备情况</v>
      </c>
    </row>
    <row r="20" spans="1:18" ht="28.5">
      <c r="A20" s="644"/>
      <c r="B20" s="2406" t="s">
        <v>2111</v>
      </c>
      <c r="C20" s="2404" t="str">
        <f>C9</f>
        <v>区域自然环境：；人文环境；综合评价环境状况一般</v>
      </c>
      <c r="D20" s="2375"/>
      <c r="E20" s="2405"/>
      <c r="F20" s="1794" t="s">
        <v>2112</v>
      </c>
      <c r="G20" s="135" t="str">
        <f>G6</f>
        <v>估价对象所在区域基础设施水平</v>
      </c>
    </row>
    <row r="21" spans="1:18" ht="28.5">
      <c r="A21" s="644"/>
      <c r="B21" s="1794" t="s">
        <v>2093</v>
      </c>
      <c r="C21" s="135" t="str">
        <f>C7</f>
        <v>估价对象所在区域公共配套设施齐备情况</v>
      </c>
      <c r="D21" s="2369"/>
      <c r="E21" s="2405"/>
      <c r="F21" s="2406" t="s">
        <v>2113</v>
      </c>
      <c r="G21" s="2407"/>
    </row>
    <row r="22" spans="1:18" ht="13.5" customHeight="1">
      <c r="A22" s="644"/>
      <c r="B22" s="1794" t="s">
        <v>2096</v>
      </c>
      <c r="C22" s="135" t="str">
        <f>C8</f>
        <v>估价对象所在区域基础设施水平</v>
      </c>
      <c r="D22" s="2369"/>
      <c r="E22" s="2405"/>
      <c r="F22" s="2406" t="s">
        <v>2102</v>
      </c>
      <c r="G22" s="1568"/>
    </row>
    <row r="23" spans="1:18" s="2366" customFormat="1" ht="15.75" thickBot="1">
      <c r="A23" s="644"/>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3967.28</v>
      </c>
      <c r="C1" s="1741"/>
      <c r="D1" s="1741"/>
      <c r="E1" s="1741"/>
      <c r="F1" s="1741"/>
      <c r="G1" s="1739"/>
    </row>
    <row r="2" spans="1:10" ht="16.5">
      <c r="A2" s="1742" t="s">
        <v>1348</v>
      </c>
      <c r="B2" s="1742">
        <f>SUM(C14:C23)</f>
        <v>1983.64</v>
      </c>
      <c r="C2" s="1741"/>
      <c r="D2" s="1741"/>
      <c r="E2" s="1741"/>
      <c r="F2" s="1741"/>
      <c r="G2" s="1739"/>
    </row>
    <row r="3" spans="1:10" ht="16.5">
      <c r="A3" s="1742" t="s">
        <v>1357</v>
      </c>
      <c r="B3" s="1743">
        <f>项目基本情况!D3</f>
        <v>43969</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4983</v>
      </c>
      <c r="C5" s="1742">
        <f ca="1">ROUND(B5*10000/$B$1,0)</f>
        <v>12560</v>
      </c>
      <c r="D5" s="1742">
        <f ca="1">ROUND(B5*10000/$B$2,0)</f>
        <v>25120</v>
      </c>
      <c r="E5" s="1741"/>
      <c r="F5" s="1739"/>
      <c r="G5" s="1739"/>
    </row>
    <row r="6" spans="1:10" ht="16.5">
      <c r="A6" s="1742" t="s">
        <v>1351</v>
      </c>
      <c r="B6" s="1742">
        <f ca="1">SUM(G14:G23)</f>
        <v>4983</v>
      </c>
      <c r="C6" s="1742">
        <f ca="1">ROUND(B6*10000/$B$1,0)</f>
        <v>12560</v>
      </c>
      <c r="D6" s="1742">
        <f ca="1">ROUND(B6*10000/$B$2,0)</f>
        <v>25120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3967.28</v>
      </c>
      <c r="C14" s="1740">
        <f>结果表!C118</f>
        <v>1983.64</v>
      </c>
      <c r="D14" s="1740">
        <f ca="1">结果表!H118</f>
        <v>4983</v>
      </c>
      <c r="E14" s="1740">
        <f ca="1">ROUND(D14*10000/B14,0)</f>
        <v>12560</v>
      </c>
      <c r="F14" s="1740">
        <f ca="1">ROUND(D14*10000/C14,0)</f>
        <v>25120</v>
      </c>
      <c r="G14" s="1740">
        <f ca="1">结果表!D122</f>
        <v>4983</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2116</v>
      </c>
      <c r="B1" s="2417"/>
      <c r="C1" s="2418"/>
      <c r="D1" s="2417"/>
      <c r="E1" s="2417"/>
      <c r="F1" s="2419" t="s">
        <v>2117</v>
      </c>
      <c r="G1" s="2069" t="s">
        <v>3104</v>
      </c>
      <c r="H1" s="2420" t="str">
        <f>IF(G1="现房","——","估价对象范围")</f>
        <v>——</v>
      </c>
      <c r="I1" s="2421"/>
    </row>
    <row r="2" spans="1:12" ht="21.75" customHeight="1" thickBot="1">
      <c r="A2" s="3130" t="str">
        <f>项目基本情况!S2</f>
        <v>房地产</v>
      </c>
      <c r="B2" s="3131"/>
      <c r="C2" s="3131"/>
      <c r="D2" s="3131"/>
      <c r="E2" s="3131"/>
      <c r="F2" s="3131"/>
      <c r="G2" s="3131"/>
      <c r="H2" s="3131"/>
      <c r="I2" s="3132"/>
    </row>
    <row r="3" spans="1:12" ht="12.75">
      <c r="A3" s="3133" t="s">
        <v>2118</v>
      </c>
      <c r="B3" s="3134"/>
      <c r="C3" s="3134"/>
      <c r="D3" s="3134"/>
      <c r="E3" s="3134"/>
      <c r="F3" s="3134"/>
      <c r="G3" s="3134"/>
      <c r="H3" s="3134"/>
      <c r="I3" s="3134"/>
    </row>
    <row r="4" spans="1:12" ht="14.25">
      <c r="A4" s="2424" t="s">
        <v>2119</v>
      </c>
      <c r="B4" s="2425" t="s">
        <v>2120</v>
      </c>
      <c r="C4" s="2426" t="s">
        <v>3098</v>
      </c>
      <c r="D4" s="2426" t="s">
        <v>3137</v>
      </c>
      <c r="E4" s="3114" t="s">
        <v>2121</v>
      </c>
      <c r="F4" s="3127"/>
      <c r="G4" s="3127"/>
      <c r="H4" s="3127"/>
      <c r="I4" s="3115"/>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105" t="s">
        <v>2122</v>
      </c>
      <c r="B5" s="3031">
        <v>25</v>
      </c>
      <c r="C5" s="3135"/>
      <c r="D5" s="3123"/>
      <c r="E5" s="139" t="s">
        <v>2123</v>
      </c>
      <c r="F5" s="2428"/>
      <c r="G5" s="2428"/>
      <c r="H5" s="2428"/>
      <c r="I5" s="1830"/>
    </row>
    <row r="6" spans="1:12" ht="12.75">
      <c r="A6" s="3105"/>
      <c r="B6" s="3031"/>
      <c r="C6" s="3137"/>
      <c r="D6" s="3123"/>
      <c r="E6" s="139" t="s">
        <v>2124</v>
      </c>
      <c r="F6" s="2428"/>
      <c r="G6" s="2428"/>
      <c r="H6" s="2428"/>
      <c r="I6" s="1830"/>
    </row>
    <row r="7" spans="1:12" ht="12.75">
      <c r="A7" s="3105"/>
      <c r="B7" s="3031"/>
      <c r="C7" s="3136"/>
      <c r="D7" s="3123"/>
      <c r="E7" s="139" t="s">
        <v>2125</v>
      </c>
      <c r="F7" s="2428"/>
      <c r="G7" s="2428"/>
      <c r="H7" s="2428"/>
      <c r="I7" s="1830"/>
    </row>
    <row r="8" spans="1:12" ht="12.75">
      <c r="A8" s="3105" t="s">
        <v>2126</v>
      </c>
      <c r="B8" s="3031">
        <v>15</v>
      </c>
      <c r="C8" s="3135"/>
      <c r="D8" s="3123"/>
      <c r="E8" s="139" t="s">
        <v>2127</v>
      </c>
      <c r="F8" s="2428"/>
      <c r="G8" s="2428"/>
      <c r="H8" s="2428"/>
      <c r="I8" s="1830"/>
    </row>
    <row r="9" spans="1:12" ht="12.75">
      <c r="A9" s="3105"/>
      <c r="B9" s="3031"/>
      <c r="C9" s="3136"/>
      <c r="D9" s="3123"/>
      <c r="E9" s="139" t="s">
        <v>2128</v>
      </c>
      <c r="F9" s="2428"/>
      <c r="G9" s="2428"/>
      <c r="H9" s="2428"/>
      <c r="I9" s="1830"/>
    </row>
    <row r="10" spans="1:12" ht="12.75">
      <c r="A10" s="3105" t="s">
        <v>2129</v>
      </c>
      <c r="B10" s="3031">
        <v>15</v>
      </c>
      <c r="C10" s="3135"/>
      <c r="D10" s="3123"/>
      <c r="E10" s="139" t="s">
        <v>2130</v>
      </c>
      <c r="F10" s="2428"/>
      <c r="G10" s="2428"/>
      <c r="H10" s="2428"/>
      <c r="I10" s="1830"/>
    </row>
    <row r="11" spans="1:12" ht="12.75">
      <c r="A11" s="3105"/>
      <c r="B11" s="3031"/>
      <c r="C11" s="3136"/>
      <c r="D11" s="3123"/>
      <c r="E11" s="139" t="s">
        <v>2131</v>
      </c>
      <c r="F11" s="2428"/>
      <c r="G11" s="2428"/>
      <c r="H11" s="2428"/>
      <c r="I11" s="1830"/>
    </row>
    <row r="12" spans="1:12" ht="12.75">
      <c r="A12" s="3105" t="s">
        <v>2132</v>
      </c>
      <c r="B12" s="3031">
        <v>15</v>
      </c>
      <c r="C12" s="3135"/>
      <c r="D12" s="3123"/>
      <c r="E12" s="139" t="s">
        <v>2133</v>
      </c>
      <c r="F12" s="2428"/>
      <c r="G12" s="2428"/>
      <c r="H12" s="2428"/>
      <c r="I12" s="1830"/>
    </row>
    <row r="13" spans="1:12" ht="12.75">
      <c r="A13" s="3105"/>
      <c r="B13" s="3031"/>
      <c r="C13" s="3136"/>
      <c r="D13" s="3123"/>
      <c r="E13" s="139" t="s">
        <v>2134</v>
      </c>
      <c r="F13" s="2428"/>
      <c r="G13" s="2428"/>
      <c r="H13" s="2428"/>
      <c r="I13" s="1830"/>
    </row>
    <row r="14" spans="1:12" ht="12.75">
      <c r="A14" s="3105" t="s">
        <v>2135</v>
      </c>
      <c r="B14" s="3031">
        <v>30</v>
      </c>
      <c r="C14" s="3135">
        <v>4</v>
      </c>
      <c r="D14" s="3123">
        <v>6</v>
      </c>
      <c r="E14" s="139" t="s">
        <v>2136</v>
      </c>
      <c r="F14" s="2428"/>
      <c r="G14" s="2428"/>
      <c r="H14" s="2428"/>
      <c r="I14" s="1830"/>
    </row>
    <row r="15" spans="1:12" ht="12.75">
      <c r="A15" s="3105"/>
      <c r="B15" s="3031"/>
      <c r="C15" s="3137"/>
      <c r="D15" s="3123"/>
      <c r="E15" s="139" t="s">
        <v>2137</v>
      </c>
      <c r="F15" s="2428"/>
      <c r="G15" s="2428"/>
      <c r="H15" s="2428"/>
      <c r="I15" s="1830"/>
    </row>
    <row r="16" spans="1:12" ht="12.75">
      <c r="A16" s="3105"/>
      <c r="B16" s="3031"/>
      <c r="C16" s="3136"/>
      <c r="D16" s="3123"/>
      <c r="E16" s="139" t="s">
        <v>2138</v>
      </c>
      <c r="F16" s="2428"/>
      <c r="G16" s="2428"/>
      <c r="H16" s="2428"/>
      <c r="I16" s="1830"/>
    </row>
    <row r="17" spans="1:35" ht="15">
      <c r="A17" s="2429" t="s">
        <v>2139</v>
      </c>
      <c r="B17" s="63"/>
      <c r="C17" s="140">
        <f>SUM(C5:C16)</f>
        <v>4</v>
      </c>
      <c r="D17" s="140">
        <f>SUM(D5:D16)</f>
        <v>6</v>
      </c>
      <c r="E17" s="137"/>
      <c r="F17" s="137"/>
      <c r="G17" s="137"/>
      <c r="H17" s="137"/>
      <c r="I17" s="137"/>
      <c r="K17" s="2427"/>
      <c r="L17" s="2430" t="s">
        <v>2140</v>
      </c>
      <c r="M17" s="2430" t="s">
        <v>2141</v>
      </c>
    </row>
    <row r="18" spans="1:35" ht="15.75" thickBot="1">
      <c r="A18" s="2431" t="s">
        <v>2142</v>
      </c>
      <c r="B18" s="2432"/>
      <c r="C18" s="141">
        <f>ROUND(C17/SUM(C17:D17),2)</f>
        <v>0.4</v>
      </c>
      <c r="D18" s="141">
        <f>1-C18</f>
        <v>0.6</v>
      </c>
      <c r="E18" s="137"/>
      <c r="F18" s="137"/>
      <c r="G18" s="137"/>
      <c r="H18" s="137"/>
      <c r="I18" s="137"/>
      <c r="K18" s="2427" t="s">
        <v>2143</v>
      </c>
      <c r="L18" s="2427">
        <f>IF(C1="",'数据-汇总表'!E3,SUMIF(项目类型,C1,'数据-汇总表'!E17:E26)+SUMIF(项目类型,C1,'数据-汇总表'!I17:I26))</f>
        <v>3967.28</v>
      </c>
      <c r="M18" s="2427">
        <f>IF(C1="",'数据-汇总表'!E3,SUMIF(项目类型,C1,'数据-汇总表'!E17:E26))</f>
        <v>3967.28</v>
      </c>
    </row>
    <row r="19" spans="1:35" ht="15">
      <c r="A19" s="2433" t="s">
        <v>2144</v>
      </c>
      <c r="B19" s="2434" t="s">
        <v>2145</v>
      </c>
      <c r="C19" s="142">
        <f ca="1">SUMIF(INDIRECT("'"&amp;C4&amp;"'"&amp;"!A:A"),结果表!B19,INDIRECT("'"&amp;C4&amp;"'"&amp;"!B:B"))</f>
        <v>3079</v>
      </c>
      <c r="D19" s="143">
        <f ca="1">SUMIF(INDIRECT("'"&amp;D4&amp;"'"&amp;"!A:A"),结果表!B19,INDIRECT("'"&amp;D4&amp;"'"&amp;"!B:B"))</f>
        <v>6252</v>
      </c>
      <c r="E19" s="2433" t="s">
        <v>2146</v>
      </c>
      <c r="F19" s="2434" t="s">
        <v>2145</v>
      </c>
      <c r="G19" s="144">
        <f ca="1">ROUND(C19*$C$18+D19*$D$18,0)</f>
        <v>4983</v>
      </c>
      <c r="H19" s="2435" t="s">
        <v>2147</v>
      </c>
      <c r="I19" s="137"/>
      <c r="K19" s="2427" t="s">
        <v>2148</v>
      </c>
      <c r="L19" s="2427">
        <f>IF(C1="",'数据-汇总表'!D3,SUMIF(项目类型,C1,'数据-汇总表'!D17:D26)+SUMIF(项目类型,C1,'数据-汇总表'!H17:H27))</f>
        <v>1983.64</v>
      </c>
      <c r="M19" s="2427">
        <f>IF(C1="",'数据-汇总表'!D3,SUMIF(项目类型,C1,'数据-汇总表'!D17:D26))</f>
        <v>1983.64</v>
      </c>
    </row>
    <row r="20" spans="1:35" ht="15">
      <c r="A20" s="2436"/>
      <c r="B20" s="1246" t="s">
        <v>2149</v>
      </c>
      <c r="C20" s="145">
        <f ca="1">SUMIF(INDIRECT("'"&amp;C4&amp;"'"&amp;"!A:A"),结果表!B20,INDIRECT("'"&amp;C4&amp;"'"&amp;"!B:B"))</f>
        <v>7760</v>
      </c>
      <c r="D20" s="146">
        <f ca="1">SUMIF(INDIRECT("'"&amp;D4&amp;"'"&amp;"!A:A"),结果表!B20,INDIRECT("'"&amp;D4&amp;"'"&amp;"!B:B"))</f>
        <v>15758</v>
      </c>
      <c r="E20" s="2436"/>
      <c r="F20" s="1246" t="s">
        <v>2149</v>
      </c>
      <c r="G20" s="147">
        <f ca="1">ROUND(C20*$C$18+D20*$D$18,0)</f>
        <v>12559</v>
      </c>
      <c r="H20" s="979" t="s">
        <v>2150</v>
      </c>
      <c r="I20" s="137"/>
    </row>
    <row r="21" spans="1:35" ht="15" customHeight="1" thickBot="1">
      <c r="A21" s="999"/>
      <c r="B21" s="2437" t="s">
        <v>2151</v>
      </c>
      <c r="C21" s="788">
        <f ca="1">ROUND(C19*10000/L19,0)</f>
        <v>15522</v>
      </c>
      <c r="D21" s="789">
        <f ca="1">ROUND(D19*10000/L19,0)</f>
        <v>31518</v>
      </c>
      <c r="E21" s="999"/>
      <c r="F21" s="2437" t="s">
        <v>2151</v>
      </c>
      <c r="G21" s="148">
        <f ca="1">ROUND(G19*10000/L19,0)</f>
        <v>25120</v>
      </c>
      <c r="H21" s="2438" t="s">
        <v>2150</v>
      </c>
      <c r="I21" s="137"/>
    </row>
    <row r="22" spans="1:35" ht="15" thickBot="1">
      <c r="A22" s="2280" t="s">
        <v>2152</v>
      </c>
      <c r="B22" s="2439"/>
      <c r="C22" s="2440"/>
      <c r="D22" s="790">
        <f ca="1">IF(C19&lt;D19,D19/C19-1,C19/D19-1)</f>
        <v>1.0305293926599544</v>
      </c>
      <c r="E22" s="137"/>
      <c r="F22" s="137"/>
      <c r="G22" s="137"/>
      <c r="H22" s="137"/>
      <c r="I22" s="137"/>
    </row>
    <row r="23" spans="1:35" ht="13.5" thickBot="1">
      <c r="A23" s="2417"/>
      <c r="B23" s="2417"/>
      <c r="C23" s="2417"/>
      <c r="D23" s="2417"/>
      <c r="E23" s="137"/>
      <c r="F23" s="137"/>
      <c r="G23" s="137"/>
      <c r="H23" s="137"/>
      <c r="I23" s="137"/>
    </row>
    <row r="24" spans="1:35" ht="14.25">
      <c r="A24" s="3144" t="s">
        <v>2153</v>
      </c>
      <c r="B24" s="2434" t="s">
        <v>2145</v>
      </c>
      <c r="C24" s="144">
        <f>IF(B30=0,0,D30)</f>
        <v>0</v>
      </c>
      <c r="D24" s="2441"/>
      <c r="E24" s="137"/>
      <c r="F24" s="137"/>
      <c r="G24" s="137"/>
      <c r="H24" s="137"/>
      <c r="I24" s="137"/>
    </row>
    <row r="25" spans="1:35" ht="14.25">
      <c r="A25" s="3145"/>
      <c r="B25" s="1246" t="s">
        <v>2149</v>
      </c>
      <c r="C25" s="149">
        <f>IF(B30=0,0,C30)</f>
        <v>0</v>
      </c>
      <c r="D25" s="2442"/>
      <c r="E25" s="137"/>
      <c r="F25" s="137"/>
      <c r="G25" s="137"/>
      <c r="H25" s="137"/>
      <c r="I25" s="137"/>
    </row>
    <row r="26" spans="1:35" ht="13.5" customHeight="1">
      <c r="A26" s="2443" t="s">
        <v>2154</v>
      </c>
      <c r="B26" s="150" t="s">
        <v>2155</v>
      </c>
      <c r="C26" s="150" t="s">
        <v>2156</v>
      </c>
      <c r="D26" s="151" t="s">
        <v>2157</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2158</v>
      </c>
      <c r="B30" s="150"/>
      <c r="C30" s="150"/>
      <c r="D30" s="150"/>
      <c r="E30" s="2916" t="s">
        <v>3035</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2159</v>
      </c>
      <c r="B32" s="2447"/>
      <c r="C32" s="152">
        <f ca="1">IF(D32="总价",G19-C24,G20-C25)</f>
        <v>4983</v>
      </c>
      <c r="D32" s="2448" t="s">
        <v>2160</v>
      </c>
      <c r="E32" s="137"/>
      <c r="F32" s="137"/>
      <c r="G32" s="137"/>
      <c r="H32" s="137"/>
      <c r="I32" s="137"/>
    </row>
    <row r="33" spans="1:15" ht="15">
      <c r="A33" s="956" t="s">
        <v>2161</v>
      </c>
      <c r="B33" s="2449"/>
      <c r="C33" s="2450" t="s">
        <v>3143</v>
      </c>
      <c r="D33" s="2451" t="s">
        <v>3098</v>
      </c>
      <c r="E33" s="2452" t="s">
        <v>2162</v>
      </c>
      <c r="F33" s="2453" t="str">
        <f>IF(D32="楼面单价","取值（单价）","取值（总价）")</f>
        <v>取值（总价）</v>
      </c>
      <c r="G33" s="137"/>
      <c r="H33" s="137"/>
      <c r="I33" s="137"/>
    </row>
    <row r="34" spans="1:15" ht="15">
      <c r="A34" s="2454"/>
      <c r="B34" s="2455" t="s">
        <v>2163</v>
      </c>
      <c r="C34" s="156">
        <f ca="1">IF(C33="自定义",F34,C32-C35)</f>
        <v>1116</v>
      </c>
      <c r="D34" s="1054">
        <f ca="1">IF(C33="自定义",ROUND(C34/C32,3),IF(C33="收益比率",SUMIF(INDIRECT("'"&amp;D33&amp;"'"&amp;"!b:b"),"土地收益比率",INDIRECT("'"&amp;D33&amp;"'"&amp;"!c:c")),SUMIF(INDIRECT("'"&amp;D33&amp;"'"&amp;"!b:b"),"土地成本比率",INDIRECT("'"&amp;D33&amp;"'"&amp;"!c:c"))))</f>
        <v>0.22399999999999998</v>
      </c>
      <c r="E34" s="2456" t="s">
        <v>2164</v>
      </c>
      <c r="F34" s="1735"/>
      <c r="G34" s="137"/>
      <c r="H34" s="137"/>
      <c r="I34" s="137"/>
    </row>
    <row r="35" spans="1:15" ht="15.75" thickBot="1">
      <c r="A35" s="2457"/>
      <c r="B35" s="2458" t="s">
        <v>2165</v>
      </c>
      <c r="C35" s="1440">
        <f ca="1">IF(C33="自定义",F35,ROUND(C32*D35,0))</f>
        <v>3867</v>
      </c>
      <c r="D35" s="1441">
        <f ca="1">IF(C33="自定义",ROUND(C35/C32,3),IF(C33="收益比率",SUMIF(INDIRECT("'"&amp;D33&amp;"'"&amp;"!b:b"),"建筑物收益比率",INDIRECT("'"&amp;D33&amp;"'"&amp;"!c:c")),SUMIF(INDIRECT("'"&amp;D33&amp;"'"&amp;"!b:b"),"建筑物成本比率",INDIRECT("'"&amp;D33&amp;"'"&amp;"!c:c"))))</f>
        <v>0.77600000000000002</v>
      </c>
      <c r="E35" s="2459" t="s">
        <v>2166</v>
      </c>
      <c r="F35" s="162"/>
      <c r="G35" s="137"/>
      <c r="H35" s="137"/>
      <c r="I35" s="137"/>
    </row>
    <row r="36" spans="1:15" ht="15.75" thickBot="1">
      <c r="A36" s="3124" t="s">
        <v>2167</v>
      </c>
      <c r="B36" s="2460" t="s">
        <v>2168</v>
      </c>
      <c r="C36" s="153"/>
      <c r="D36" s="2461"/>
      <c r="E36" s="2462"/>
      <c r="F36" s="2463"/>
      <c r="G36" s="137"/>
      <c r="H36" s="137"/>
      <c r="I36" s="137"/>
    </row>
    <row r="37" spans="1:15" ht="15.75" thickBot="1">
      <c r="A37" s="3125"/>
      <c r="B37" s="2266" t="s">
        <v>2169</v>
      </c>
      <c r="C37" s="155"/>
      <c r="D37" s="1391"/>
      <c r="E37" s="1391"/>
      <c r="F37" s="2463"/>
      <c r="G37" s="137"/>
      <c r="H37" s="137"/>
      <c r="I37" s="137"/>
    </row>
    <row r="38" spans="1:15" ht="15.75" thickBot="1">
      <c r="A38" s="3126"/>
      <c r="B38" s="2464" t="s">
        <v>2170</v>
      </c>
      <c r="C38" s="726"/>
      <c r="D38" s="2465" t="s">
        <v>2171</v>
      </c>
      <c r="E38" s="1391"/>
      <c r="F38" s="2463"/>
      <c r="G38" s="137"/>
      <c r="H38" s="137"/>
      <c r="I38" s="137"/>
    </row>
    <row r="39" spans="1:15" ht="15">
      <c r="A39" s="2436" t="s">
        <v>2172</v>
      </c>
      <c r="B39" s="2466" t="s">
        <v>2173</v>
      </c>
      <c r="C39" s="2467" t="s">
        <v>2174</v>
      </c>
      <c r="D39" s="2467" t="s">
        <v>2175</v>
      </c>
      <c r="E39" s="2468" t="s">
        <v>2176</v>
      </c>
      <c r="F39" s="2463"/>
      <c r="G39" s="137"/>
      <c r="H39" s="137"/>
      <c r="I39" s="137"/>
    </row>
    <row r="40" spans="1:15" ht="14.25">
      <c r="A40" s="2469" t="s">
        <v>2177</v>
      </c>
      <c r="B40" s="157"/>
      <c r="C40" s="158"/>
      <c r="D40" s="158"/>
      <c r="E40" s="159"/>
      <c r="F40" s="2463"/>
      <c r="G40" s="137"/>
      <c r="H40" s="137"/>
      <c r="I40" s="137"/>
    </row>
    <row r="41" spans="1:15" ht="14.25">
      <c r="A41" s="2469" t="s">
        <v>2178</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41" t="s">
        <v>2181</v>
      </c>
      <c r="B45" s="3142"/>
      <c r="C45" s="3143"/>
      <c r="D45" s="163">
        <f ca="1">ROUND(H101*F45,0)</f>
        <v>4983</v>
      </c>
      <c r="E45" s="164" t="s">
        <v>2182</v>
      </c>
      <c r="F45" s="165">
        <v>1</v>
      </c>
      <c r="G45" s="166" t="s">
        <v>2183</v>
      </c>
      <c r="H45" s="137"/>
      <c r="I45" s="137"/>
      <c r="J45" s="3060" t="s">
        <v>2184</v>
      </c>
      <c r="K45" s="3060"/>
      <c r="L45" s="3060"/>
      <c r="M45" s="3060"/>
      <c r="N45" s="3060"/>
      <c r="O45" s="3060"/>
    </row>
    <row r="46" spans="1:15" ht="14.25" customHeight="1">
      <c r="A46" s="3138" t="s">
        <v>2185</v>
      </c>
      <c r="B46" s="3139"/>
      <c r="C46" s="3139"/>
      <c r="D46" s="3139"/>
      <c r="E46" s="3139"/>
      <c r="F46" s="3139"/>
      <c r="G46" s="3140"/>
      <c r="H46" s="2479"/>
      <c r="I46" s="167"/>
      <c r="J46" s="1808">
        <v>1</v>
      </c>
      <c r="K46" s="3060" t="s">
        <v>2186</v>
      </c>
      <c r="L46" s="3060"/>
      <c r="M46" s="3061"/>
      <c r="N46" s="3061"/>
      <c r="O46" s="3061"/>
    </row>
    <row r="47" spans="1:15" ht="12" customHeight="1">
      <c r="A47" s="168" t="s">
        <v>2187</v>
      </c>
      <c r="B47" s="169"/>
      <c r="C47" s="170"/>
      <c r="D47" s="171" t="s">
        <v>2188</v>
      </c>
      <c r="E47" s="23" t="s">
        <v>2189</v>
      </c>
      <c r="F47" s="172" t="s">
        <v>2190</v>
      </c>
      <c r="G47" s="173" t="s">
        <v>2191</v>
      </c>
      <c r="H47" s="2479"/>
      <c r="I47" s="167"/>
      <c r="J47" s="1808">
        <v>2</v>
      </c>
      <c r="K47" s="3060" t="s">
        <v>2192</v>
      </c>
      <c r="L47" s="3060"/>
      <c r="M47" s="3062">
        <f>'数据-取费表'!B2</f>
        <v>43969</v>
      </c>
      <c r="N47" s="3062"/>
      <c r="O47" s="3062"/>
    </row>
    <row r="48" spans="1:15" ht="25.5">
      <c r="A48" s="3128" t="s">
        <v>2193</v>
      </c>
      <c r="B48" s="3129"/>
      <c r="C48" s="3129"/>
      <c r="D48" s="139">
        <f>IF(H48="情况1",0,IF(H48="情况2",D52,IF(H48="情况3",D53,IF(H48="情况4",D54))))</f>
        <v>0</v>
      </c>
      <c r="E48" s="1797" t="str">
        <f>IF(H48="情况4","(销售额-原购置价)×税（费）率","销售额×税（费）率")</f>
        <v>销售额×税（费）率</v>
      </c>
      <c r="F48" s="174" t="str">
        <f>IF(H48="情况1","免征",'数据-取费表'!B41)</f>
        <v>免征</v>
      </c>
      <c r="G48" s="2480" t="s">
        <v>2194</v>
      </c>
      <c r="H48" s="2481" t="s">
        <v>2195</v>
      </c>
      <c r="I48" s="2479"/>
      <c r="J48" s="1808">
        <v>3</v>
      </c>
      <c r="K48" s="3060" t="s">
        <v>2196</v>
      </c>
      <c r="L48" s="3060"/>
      <c r="M48" s="3063">
        <f ca="1">H101</f>
        <v>4983</v>
      </c>
      <c r="N48" s="3063"/>
      <c r="O48" s="3063"/>
    </row>
    <row r="49" spans="1:35" ht="25.5" customHeight="1">
      <c r="A49" s="175" t="s">
        <v>2197</v>
      </c>
      <c r="B49" s="3108" t="s">
        <v>2198</v>
      </c>
      <c r="C49" s="3108"/>
      <c r="D49" s="176">
        <v>0</v>
      </c>
      <c r="E49" s="22" t="s">
        <v>2199</v>
      </c>
      <c r="F49" s="27" t="s">
        <v>34</v>
      </c>
      <c r="G49" s="3089"/>
      <c r="H49" s="137"/>
      <c r="I49" s="2482"/>
      <c r="J49" s="1808">
        <v>4</v>
      </c>
      <c r="K49" s="3060" t="str">
        <f>IF(项目基本情况!E8="房地产抵押价值","房地产抵押价值","抵押担保权已注销时的房地产抵押价值")</f>
        <v>房地产抵押价值</v>
      </c>
      <c r="L49" s="3060"/>
      <c r="M49" s="3063">
        <f ca="1">IF(项目基本情况!E8="房地产抵押价值",H107,H109)</f>
        <v>4983</v>
      </c>
      <c r="N49" s="3063"/>
      <c r="O49" s="3063"/>
    </row>
    <row r="50" spans="1:35" ht="25.5" customHeight="1">
      <c r="A50" s="177"/>
      <c r="B50" s="3108" t="s">
        <v>2200</v>
      </c>
      <c r="C50" s="3108"/>
      <c r="D50" s="178"/>
      <c r="E50" s="30"/>
      <c r="F50" s="179"/>
      <c r="G50" s="3090"/>
      <c r="H50" s="137"/>
      <c r="I50" s="2482"/>
      <c r="J50" s="3060" t="s">
        <v>2201</v>
      </c>
      <c r="K50" s="3060"/>
      <c r="L50" s="3060"/>
      <c r="M50" s="3060"/>
      <c r="N50" s="3060"/>
      <c r="O50" s="3060"/>
    </row>
    <row r="51" spans="1:35" ht="12" customHeight="1">
      <c r="A51" s="180"/>
      <c r="B51" s="3108" t="s">
        <v>2202</v>
      </c>
      <c r="C51" s="3108"/>
      <c r="D51" s="181"/>
      <c r="E51" s="29"/>
      <c r="F51" s="179"/>
      <c r="G51" s="3091"/>
      <c r="H51" s="137"/>
      <c r="I51" s="2482"/>
      <c r="J51" s="2483" t="s">
        <v>2203</v>
      </c>
      <c r="K51" s="3060" t="s">
        <v>2204</v>
      </c>
      <c r="L51" s="3060"/>
      <c r="M51" s="2483" t="s">
        <v>2205</v>
      </c>
      <c r="N51" s="2483" t="s">
        <v>2206</v>
      </c>
      <c r="O51" s="2483" t="s">
        <v>2207</v>
      </c>
    </row>
    <row r="52" spans="1:35" ht="24" customHeight="1">
      <c r="A52" s="182" t="s">
        <v>2208</v>
      </c>
      <c r="B52" s="3108" t="s">
        <v>2209</v>
      </c>
      <c r="C52" s="3108"/>
      <c r="D52" s="181">
        <f ca="1">ROUND(D45*'数据-取费表'!B41/(1+'数据-取费表'!C42),0)</f>
        <v>261</v>
      </c>
      <c r="E52" s="11" t="s">
        <v>2210</v>
      </c>
      <c r="F52" s="183">
        <f>'数据-取费表'!B41</f>
        <v>5.5000000000000007E-2</v>
      </c>
      <c r="G52" s="2484"/>
      <c r="H52" s="137"/>
      <c r="I52" s="2482"/>
      <c r="J52" s="1808">
        <v>1</v>
      </c>
      <c r="K52" s="3083" t="s">
        <v>2211</v>
      </c>
      <c r="L52" s="3083"/>
      <c r="M52" s="1750">
        <f>D48</f>
        <v>0</v>
      </c>
      <c r="N52" s="1808" t="str">
        <f>E48</f>
        <v>销售额×税（费）率</v>
      </c>
      <c r="O52" s="1751" t="str">
        <f>F48</f>
        <v>免征</v>
      </c>
    </row>
    <row r="53" spans="1:35" ht="12" customHeight="1">
      <c r="A53" s="182" t="s">
        <v>2212</v>
      </c>
      <c r="B53" s="3109" t="s">
        <v>2213</v>
      </c>
      <c r="C53" s="3110"/>
      <c r="D53" s="181">
        <f ca="1">ROUND(D45*'数据-取费表'!B41/(1+'数据-取费表'!C42),0)</f>
        <v>261</v>
      </c>
      <c r="E53" s="11" t="s">
        <v>2210</v>
      </c>
      <c r="F53" s="183">
        <f>'数据-取费表'!B41</f>
        <v>5.5000000000000007E-2</v>
      </c>
      <c r="G53" s="2484"/>
      <c r="H53" s="137"/>
      <c r="I53" s="2482"/>
      <c r="J53" s="1808">
        <v>2</v>
      </c>
      <c r="K53" s="3083" t="s">
        <v>2214</v>
      </c>
      <c r="L53" s="3083"/>
      <c r="M53" s="1750">
        <f t="shared" ref="M53:O54" ca="1" si="0">D55</f>
        <v>2</v>
      </c>
      <c r="N53" s="1808" t="str">
        <f t="shared" si="0"/>
        <v>销售额×税（费）率</v>
      </c>
      <c r="O53" s="1751">
        <f t="shared" si="0"/>
        <v>5.0000000000000001E-4</v>
      </c>
    </row>
    <row r="54" spans="1:35" ht="12" customHeight="1">
      <c r="A54" s="182" t="s">
        <v>2215</v>
      </c>
      <c r="B54" s="3109" t="s">
        <v>2216</v>
      </c>
      <c r="C54" s="3110"/>
      <c r="D54" s="181">
        <f ca="1">C68</f>
        <v>261</v>
      </c>
      <c r="E54" s="29" t="s">
        <v>2217</v>
      </c>
      <c r="F54" s="183">
        <f>'数据-取费表'!B41</f>
        <v>5.5000000000000007E-2</v>
      </c>
      <c r="G54" s="2484"/>
      <c r="H54" s="2485"/>
      <c r="I54" s="2482"/>
      <c r="J54" s="1808">
        <v>3</v>
      </c>
      <c r="K54" s="3083" t="s">
        <v>2218</v>
      </c>
      <c r="L54" s="3083"/>
      <c r="M54" s="1750">
        <f t="shared" ca="1" si="0"/>
        <v>2825</v>
      </c>
      <c r="N54" s="1808" t="str">
        <f t="shared" si="0"/>
        <v>增值额×税（费）率</v>
      </c>
      <c r="O54" s="1752" t="str">
        <f t="shared" si="0"/>
        <v>——</v>
      </c>
    </row>
    <row r="55" spans="1:35" ht="24" customHeight="1">
      <c r="A55" s="3147" t="s">
        <v>2219</v>
      </c>
      <c r="B55" s="3129"/>
      <c r="C55" s="3129"/>
      <c r="D55" s="184">
        <f ca="1">IF(H55="个人住宅",0,ROUND(D45*I55,0))</f>
        <v>2</v>
      </c>
      <c r="E55" s="11" t="s">
        <v>2220</v>
      </c>
      <c r="F55" s="183">
        <f>IF(H55="正常",I55,"免征")</f>
        <v>5.0000000000000001E-4</v>
      </c>
      <c r="G55" s="2484"/>
      <c r="H55" s="2481" t="s">
        <v>2221</v>
      </c>
      <c r="I55" s="185">
        <f>'数据-取费表'!B49</f>
        <v>5.0000000000000001E-4</v>
      </c>
      <c r="J55" s="1808" t="str">
        <f>IF(H59="非个人房产","",4)</f>
        <v/>
      </c>
      <c r="K55" s="3083" t="str">
        <f>IF(H59="非个人房产","——","个人所得税")</f>
        <v>——</v>
      </c>
      <c r="L55" s="3083"/>
      <c r="M55" s="1753" t="str">
        <f>D59</f>
        <v>——</v>
      </c>
      <c r="N55" s="1806" t="str">
        <f>E59</f>
        <v>——</v>
      </c>
      <c r="O55" s="1754" t="str">
        <f>F59</f>
        <v>——</v>
      </c>
    </row>
    <row r="56" spans="1:35" ht="24.75">
      <c r="A56" s="3147" t="s">
        <v>2222</v>
      </c>
      <c r="B56" s="3129"/>
      <c r="C56" s="3129"/>
      <c r="D56" s="184">
        <f ca="1">IF(H56="个人住宅",D57,D58)</f>
        <v>2825</v>
      </c>
      <c r="E56" s="11" t="s">
        <v>2223</v>
      </c>
      <c r="F56" s="183" t="str">
        <f>IF(H56="正常",F58,"免征")</f>
        <v>——</v>
      </c>
      <c r="G56" s="2486" t="s">
        <v>2224</v>
      </c>
      <c r="H56" s="2487" t="s">
        <v>2221</v>
      </c>
      <c r="I56" s="2488"/>
      <c r="J56" s="1808" t="str">
        <f>IF(项目基本情况!K6="上海银行",IF(J55="",4,J55+1),"")</f>
        <v/>
      </c>
      <c r="K56" s="3066" t="str">
        <f>IF(项目基本情况!K6="上海银行","其他处置费用","")</f>
        <v/>
      </c>
      <c r="L56" s="3067"/>
      <c r="M56" s="1750" t="str">
        <f>IF(项目基本情况!K6="上海银行",M69,"")</f>
        <v/>
      </c>
      <c r="N56" s="3069" t="str">
        <f>IF(项目基本情况!K6="上海银行","包含处置中涉及的律师、诉讼、拍卖、评估等费用","")</f>
        <v/>
      </c>
      <c r="O56" s="3070"/>
    </row>
    <row r="57" spans="1:35" ht="12.75">
      <c r="A57" s="182" t="s">
        <v>2197</v>
      </c>
      <c r="B57" s="3114" t="s">
        <v>2225</v>
      </c>
      <c r="C57" s="3115"/>
      <c r="D57" s="186">
        <v>0</v>
      </c>
      <c r="E57" s="22" t="s">
        <v>2199</v>
      </c>
      <c r="F57" s="154"/>
      <c r="G57" s="2484"/>
      <c r="H57" s="2488"/>
      <c r="I57" s="2488"/>
      <c r="J57" s="3083">
        <f>IF(AND(J55="",J56=""),4,IF(项目基本情况!K6="上海银行",结果表!J56+1,结果表!J55+1))</f>
        <v>4</v>
      </c>
      <c r="K57" s="3083" t="s">
        <v>2226</v>
      </c>
      <c r="L57" s="2489" t="s">
        <v>2227</v>
      </c>
      <c r="M57" s="1755"/>
      <c r="N57" s="1756">
        <f ca="1">SUMIF(M52:M56,"&lt;9e307")</f>
        <v>2827</v>
      </c>
      <c r="O57" s="2490"/>
      <c r="P57" s="1749">
        <f ca="1">N57/M49</f>
        <v>0.56732891832229582</v>
      </c>
    </row>
    <row r="58" spans="1:35" ht="24.75">
      <c r="A58" s="182" t="s">
        <v>2208</v>
      </c>
      <c r="B58" s="3114" t="s">
        <v>2228</v>
      </c>
      <c r="C58" s="3127"/>
      <c r="D58" s="184">
        <f ca="1">IF(H58="转让取得",C81,C97)</f>
        <v>2825</v>
      </c>
      <c r="E58" s="11" t="s">
        <v>2223</v>
      </c>
      <c r="F58" s="23" t="s">
        <v>34</v>
      </c>
      <c r="G58" s="2484"/>
      <c r="H58" s="2487" t="s">
        <v>2229</v>
      </c>
      <c r="I58" s="2488"/>
      <c r="J58" s="3083"/>
      <c r="K58" s="3083"/>
      <c r="L58" s="2489" t="s">
        <v>2230</v>
      </c>
      <c r="M58" s="1757"/>
      <c r="N58" s="2491" t="str">
        <f ca="1">NUMBERSTRING(INT(N57*10000),2)&amp;"元整"</f>
        <v>贰仟捌佰贰拾柒万元整</v>
      </c>
      <c r="O58" s="2492"/>
    </row>
    <row r="59" spans="1:35" ht="24.75" thickBot="1">
      <c r="A59" s="3087" t="s">
        <v>2231</v>
      </c>
      <c r="B59" s="3088"/>
      <c r="C59" s="3088"/>
      <c r="D59" s="187" t="str">
        <f>IF(H59="非个人房产","——",IF(H59="个人住宅",0,ROUND(D45*I59,0)))</f>
        <v>——</v>
      </c>
      <c r="E59" s="188" t="str">
        <f>IF(H59="非个人房产","——","销售额×税（费）率")</f>
        <v>——</v>
      </c>
      <c r="F59" s="189" t="str">
        <f>IF(H59="非个人房产","——",IF(H59="个人住宅","免征",I59))</f>
        <v>——</v>
      </c>
      <c r="G59" s="2493" t="s">
        <v>2224</v>
      </c>
      <c r="H59" s="2487" t="s">
        <v>2232</v>
      </c>
      <c r="I59" s="190">
        <v>0.01</v>
      </c>
      <c r="J59" s="3085">
        <f>J57+1</f>
        <v>5</v>
      </c>
      <c r="K59" s="3083" t="s">
        <v>2233</v>
      </c>
      <c r="L59" s="1808" t="s">
        <v>2227</v>
      </c>
      <c r="M59" s="1758"/>
      <c r="N59" s="1759">
        <f ca="1">M49-N57</f>
        <v>2156</v>
      </c>
      <c r="O59" s="2494"/>
    </row>
    <row r="60" spans="1:35" ht="12" customHeight="1">
      <c r="A60" s="2495"/>
      <c r="B60" s="2417"/>
      <c r="C60" s="2417"/>
      <c r="D60" s="2417"/>
      <c r="E60" s="2165"/>
      <c r="F60" s="2488"/>
      <c r="G60" s="2488"/>
      <c r="H60" s="2496"/>
      <c r="I60" s="137"/>
      <c r="J60" s="3086"/>
      <c r="K60" s="3083"/>
      <c r="L60" s="2489" t="s">
        <v>2230</v>
      </c>
      <c r="M60" s="1757"/>
      <c r="N60" s="2491" t="str">
        <f ca="1">NUMBERSTRING(INT(N59*10000),2)&amp;"元整"</f>
        <v>贰仟壹佰伍拾陆万元整</v>
      </c>
      <c r="O60" s="2492"/>
    </row>
    <row r="61" spans="1:35" ht="13.5" thickBot="1">
      <c r="A61" s="3146" t="s">
        <v>2234</v>
      </c>
      <c r="B61" s="3146"/>
      <c r="C61" s="3146"/>
      <c r="D61" s="3146"/>
      <c r="E61" s="3146"/>
      <c r="F61" s="2488"/>
      <c r="G61" s="2488"/>
      <c r="H61" s="2496"/>
      <c r="I61" s="137"/>
      <c r="J61" s="1808">
        <f>J59+1</f>
        <v>6</v>
      </c>
      <c r="K61" s="3083" t="s">
        <v>2235</v>
      </c>
      <c r="L61" s="3083"/>
      <c r="M61" s="1760"/>
      <c r="N61" s="1761">
        <f ca="1">ROUND(N59*10000/'数据-汇总表'!E3,0)</f>
        <v>5434</v>
      </c>
      <c r="O61" s="2497"/>
    </row>
    <row r="62" spans="1:35" ht="12.75">
      <c r="A62" s="3103" t="s">
        <v>2236</v>
      </c>
      <c r="B62" s="3104"/>
      <c r="C62" s="1800"/>
      <c r="D62" s="1800" t="s">
        <v>2237</v>
      </c>
      <c r="E62" s="191" t="s">
        <v>2238</v>
      </c>
      <c r="F62" s="2488"/>
      <c r="G62" s="2488"/>
      <c r="H62" s="2496"/>
      <c r="I62" s="137"/>
    </row>
    <row r="63" spans="1:35" ht="12.75">
      <c r="A63" s="202" t="s">
        <v>775</v>
      </c>
      <c r="B63" s="192" t="s">
        <v>2239</v>
      </c>
      <c r="C63" s="193">
        <f ca="1">ROUND((C64+C65)/(1+'数据-取费表'!C42),0)</f>
        <v>4746</v>
      </c>
      <c r="D63" s="194"/>
      <c r="E63" s="195"/>
      <c r="F63" s="2488"/>
      <c r="G63" s="2488"/>
      <c r="H63" s="2496"/>
      <c r="I63" s="137"/>
      <c r="J63" s="3068" t="s">
        <v>2240</v>
      </c>
      <c r="K63" s="2498" t="s">
        <v>2241</v>
      </c>
      <c r="L63" s="1748">
        <f ca="1">IF(M49&gt;10000,M49*0.5%,IF(AND(M49&gt;1000,M49&lt;=10000),M49*1%,IF(AND(M49&gt;100,M49&lt;=1000),M49*3%,IF(AND(M49&gt;10,M49&lt;=100),M49*5%,M49*8%))))</f>
        <v>49.83</v>
      </c>
      <c r="M63" s="23">
        <f ca="1">ROUND(L63,1)</f>
        <v>49.8</v>
      </c>
      <c r="Z63" s="2422"/>
      <c r="AI63" s="2423"/>
    </row>
    <row r="64" spans="1:35" ht="14.25" customHeight="1">
      <c r="A64" s="196" t="s">
        <v>770</v>
      </c>
      <c r="B64" s="197" t="s">
        <v>2242</v>
      </c>
      <c r="C64" s="198">
        <f ca="1">D45</f>
        <v>4983</v>
      </c>
      <c r="D64" s="199" t="s">
        <v>32</v>
      </c>
      <c r="E64" s="200"/>
      <c r="F64" s="2488"/>
      <c r="G64" s="2488"/>
      <c r="H64" s="2496"/>
      <c r="I64" s="137"/>
      <c r="J64" s="3068"/>
      <c r="K64" s="2498" t="s">
        <v>2243</v>
      </c>
      <c r="L64" s="1748">
        <f ca="1">IF(M49&gt;2000,M49*0.5%,IF(AND(M49&gt;1000,M49&lt;=2000),M49*0.6%,IF(AND(M49&gt;500,M49&lt;=1000),M49*0.7%,IF(AND(M49&gt;200,M49&lt;=500),M49*0.8%,IF(AND(M49&gt;100,M49&lt;=200),M49*0.9%,IF(AND(M49&gt;50,M49&lt;=100),M49*1%,IF(AND(M49&gt;20,M49&lt;=50),M49*1.5%,IF(AND(M49&gt;10,M49&lt;=20),M49*2%,IF(AND(M49&gt;1,M49&lt;=10),M49*2.5%)))))))))</f>
        <v>24.914999999999999</v>
      </c>
      <c r="M64" s="23">
        <f t="shared" ref="M64:M65" ca="1" si="1">ROUND(L64,1)</f>
        <v>24.9</v>
      </c>
      <c r="N64" s="137" t="s">
        <v>2244</v>
      </c>
      <c r="Z64" s="2422"/>
      <c r="AI64" s="2423"/>
    </row>
    <row r="65" spans="1:35" ht="14.25" customHeight="1">
      <c r="A65" s="196" t="s">
        <v>771</v>
      </c>
      <c r="B65" s="197" t="s">
        <v>2245</v>
      </c>
      <c r="C65" s="201"/>
      <c r="D65" s="199"/>
      <c r="E65" s="200"/>
      <c r="F65" s="2488"/>
      <c r="G65" s="2488"/>
      <c r="H65" s="2496"/>
      <c r="I65" s="137"/>
      <c r="J65" s="3068"/>
      <c r="K65" s="2498" t="s">
        <v>2246</v>
      </c>
      <c r="L65" s="1748">
        <f ca="1">IF(M49&gt;1000,M49*0.1%,IF(AND(M49&gt;500,M49&lt;=1000),M49*0.5%,IF(AND(M49&gt;50,M49&lt;=500),M49*1%,IF(AND(M49&gt;1,M49&lt;=50),M49*1.5%))))</f>
        <v>4.9830000000000005</v>
      </c>
      <c r="M65" s="23">
        <f t="shared" ca="1" si="1"/>
        <v>5</v>
      </c>
      <c r="N65" s="137" t="s">
        <v>2244</v>
      </c>
      <c r="Z65" s="2422"/>
      <c r="AI65" s="2423"/>
    </row>
    <row r="66" spans="1:35" ht="14.25" customHeight="1">
      <c r="A66" s="202" t="s">
        <v>772</v>
      </c>
      <c r="B66" s="203" t="s">
        <v>2247</v>
      </c>
      <c r="C66" s="204"/>
      <c r="D66" s="205" t="s">
        <v>32</v>
      </c>
      <c r="E66" s="1772" t="s">
        <v>1366</v>
      </c>
      <c r="F66" s="2488"/>
      <c r="G66" s="2488"/>
      <c r="H66" s="2496"/>
      <c r="I66" s="137"/>
      <c r="J66" s="3068"/>
      <c r="K66" s="2498" t="s">
        <v>2248</v>
      </c>
      <c r="L66" s="1748">
        <f ca="1">M49*0.5%</f>
        <v>24.914999999999999</v>
      </c>
      <c r="M66" s="23">
        <f ca="1">IF(L66&gt;0.5,0.5,ROUND(L66,0))</f>
        <v>0.5</v>
      </c>
      <c r="N66" s="137" t="s">
        <v>2249</v>
      </c>
      <c r="Z66" s="2422"/>
      <c r="AI66" s="2423"/>
    </row>
    <row r="67" spans="1:35" ht="14.25" customHeight="1">
      <c r="A67" s="202" t="s">
        <v>773</v>
      </c>
      <c r="B67" s="203" t="s">
        <v>2250</v>
      </c>
      <c r="C67" s="206">
        <f ca="1">C63-C66</f>
        <v>4746</v>
      </c>
      <c r="D67" s="199" t="s">
        <v>32</v>
      </c>
      <c r="E67" s="200"/>
      <c r="F67" s="2488"/>
      <c r="G67" s="2488"/>
      <c r="H67" s="2496"/>
      <c r="I67" s="137"/>
      <c r="J67" s="3068"/>
      <c r="K67" s="2498" t="s">
        <v>2251</v>
      </c>
      <c r="L67" s="1748">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22"/>
      <c r="AI67" s="2423"/>
    </row>
    <row r="68" spans="1:35" ht="14.25" customHeight="1" thickBot="1">
      <c r="A68" s="207" t="s">
        <v>774</v>
      </c>
      <c r="B68" s="208" t="s">
        <v>2252</v>
      </c>
      <c r="C68" s="209">
        <f ca="1">IF(C67&lt;=0,0,ROUND(C67*D68,0))</f>
        <v>261</v>
      </c>
      <c r="D68" s="210">
        <f>'数据-取费表'!B41</f>
        <v>5.5000000000000007E-2</v>
      </c>
      <c r="E68" s="211"/>
      <c r="F68" s="2488"/>
      <c r="G68" s="2488"/>
      <c r="H68" s="2496"/>
      <c r="I68" s="137"/>
      <c r="J68" s="3068"/>
      <c r="K68" s="2498" t="s">
        <v>2253</v>
      </c>
      <c r="L68" s="1748">
        <f ca="1">IF(M49&gt;10000,M49*0.5%,IF(AND(M49&gt;5000,M49&lt;=10000),M49*1%,IF(AND(M49&gt;1000,M49&lt;=5000),M49*2%,IF(AND(M49&gt;200,M49&lt;=1000),M49*3%,M49*5%))))</f>
        <v>99.66</v>
      </c>
      <c r="M68" s="23">
        <f ca="1">ROUND(L68,1)</f>
        <v>99.7</v>
      </c>
      <c r="Z68" s="2422"/>
      <c r="AI68" s="2423"/>
    </row>
    <row r="69" spans="1:35" s="2445" customFormat="1" ht="16.5" customHeight="1">
      <c r="A69" s="2499"/>
      <c r="B69" s="2500"/>
      <c r="C69" s="2501"/>
      <c r="D69" s="2502"/>
      <c r="E69" s="2503"/>
      <c r="F69" s="2165"/>
      <c r="G69" s="2165"/>
      <c r="H69" s="2164"/>
      <c r="I69" s="2417"/>
      <c r="J69" s="3068"/>
      <c r="K69" s="2498" t="s">
        <v>2254</v>
      </c>
      <c r="L69" s="2504"/>
      <c r="M69" s="23">
        <f ca="1">ROUND(SUM(M63:M68),0)</f>
        <v>182</v>
      </c>
      <c r="N69" s="1749">
        <f ca="1">M69/M49</f>
        <v>3.652418221954646E-2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12" t="s">
        <v>2255</v>
      </c>
      <c r="B70" s="3113"/>
      <c r="C70" s="3113"/>
      <c r="D70" s="3113"/>
      <c r="E70" s="3113"/>
      <c r="F70" s="3113"/>
      <c r="G70" s="3113"/>
      <c r="H70" s="311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3" t="s">
        <v>2236</v>
      </c>
      <c r="B71" s="3104"/>
      <c r="C71" s="1800"/>
      <c r="D71" s="1800" t="s">
        <v>2237</v>
      </c>
      <c r="E71" s="212" t="s">
        <v>2238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2256</v>
      </c>
      <c r="C72" s="206">
        <f ca="1">ROUND(D45/(1+'数据-取费表'!C42),0)</f>
        <v>4746</v>
      </c>
      <c r="D72" s="199" t="s">
        <v>32</v>
      </c>
      <c r="E72" s="1799"/>
      <c r="F72" s="1793"/>
      <c r="G72" s="1793"/>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2257</v>
      </c>
      <c r="C73" s="206">
        <f ca="1">C74+C78</f>
        <v>24</v>
      </c>
      <c r="D73" s="199" t="s">
        <v>32</v>
      </c>
      <c r="E73" s="1799"/>
      <c r="F73" s="1793"/>
      <c r="G73" s="1793"/>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2258</v>
      </c>
      <c r="C74" s="199">
        <f>ROUND(IF(G77="2016年5月1日后购买",C75/(1+'数据-取费表'!C42)+C76+C77,C75+C76+C77),0)</f>
        <v>0</v>
      </c>
      <c r="D74" s="199" t="s">
        <v>32</v>
      </c>
      <c r="E74" s="1799"/>
      <c r="F74" s="1793"/>
      <c r="G74" s="1793"/>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2259</v>
      </c>
      <c r="C75" s="217"/>
      <c r="D75" s="199" t="s">
        <v>32</v>
      </c>
      <c r="E75" s="218" t="s">
        <v>2260</v>
      </c>
      <c r="F75" s="2510" t="s">
        <v>2261</v>
      </c>
      <c r="G75" s="218" t="s">
        <v>2262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2263</v>
      </c>
      <c r="C76" s="199">
        <f>IF(F75="购房发票",ROUND(C75*H75*D76,0),0)</f>
        <v>0</v>
      </c>
      <c r="D76" s="221">
        <v>0.05</v>
      </c>
      <c r="E76" s="3109" t="s">
        <v>2264</v>
      </c>
      <c r="F76" s="3108"/>
      <c r="G76" s="3108"/>
      <c r="H76" s="311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2265</v>
      </c>
      <c r="C77" s="199">
        <f>ROUND(IF(G77="个人住宅",0,IF(G77="2016年5月1日前购买",C75*D77,C75*D77/(1+'数据-取费表'!C42))),0)</f>
        <v>0</v>
      </c>
      <c r="D77" s="222">
        <f>'数据-取费表'!B48+'数据-取费表'!B49</f>
        <v>4.0500000000000001E-2</v>
      </c>
      <c r="E77" s="14" t="s">
        <v>2266</v>
      </c>
      <c r="F77" s="223"/>
      <c r="G77" s="2512" t="s">
        <v>2267</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2268</v>
      </c>
      <c r="C78" s="224">
        <f ca="1">ROUND(D45*D78/(1+'数据-取费表'!C42),0)</f>
        <v>24</v>
      </c>
      <c r="D78" s="225">
        <f>'数据-取费表'!B43</f>
        <v>5.000000000000001E-3</v>
      </c>
      <c r="E78" s="3100" t="s">
        <v>2269</v>
      </c>
      <c r="F78" s="3101"/>
      <c r="G78" s="3101"/>
      <c r="H78" s="310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2270</v>
      </c>
      <c r="C79" s="206">
        <f ca="1">C72-C73</f>
        <v>4722</v>
      </c>
      <c r="D79" s="199" t="s">
        <v>32</v>
      </c>
      <c r="E79" s="1799"/>
      <c r="F79" s="1793"/>
      <c r="G79" s="1793"/>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2271</v>
      </c>
      <c r="C80" s="226">
        <f ca="1">IF(C79&lt;=0,0,C79/C73)</f>
        <v>196.75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2272</v>
      </c>
      <c r="C81" s="227">
        <f ca="1">ROUND(IF(C79&lt;=0,0,IF(C80&gt;=200%,C79*60%-C73*35%,IF(C80&gt;=100%,C79*50%-C73*15%,IF(C80&gt;=50%,C79*40%-C73*5%,IF(C80&lt;50%,C79*30%,0))))),0)</f>
        <v>2825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2" t="s">
        <v>2273</v>
      </c>
      <c r="B83" s="3113"/>
      <c r="C83" s="3113"/>
      <c r="D83" s="3113"/>
      <c r="E83" s="3113"/>
      <c r="F83" s="3113"/>
      <c r="G83" s="3113"/>
      <c r="H83" s="311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3" t="s">
        <v>2236</v>
      </c>
      <c r="B84" s="3104"/>
      <c r="C84" s="1800"/>
      <c r="D84" s="1800" t="s">
        <v>2237</v>
      </c>
      <c r="E84" s="212" t="s">
        <v>2238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2256</v>
      </c>
      <c r="C85" s="206">
        <f ca="1">ROUND(D45/(1+'数据-取费表'!C42),0)</f>
        <v>4746</v>
      </c>
      <c r="D85" s="199" t="s">
        <v>32</v>
      </c>
      <c r="E85" s="1799"/>
      <c r="F85" s="1793"/>
      <c r="G85" s="1793"/>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2257</v>
      </c>
      <c r="C86" s="206">
        <f ca="1">IF(H88="仅含出让金",C87+C90+C91+C92+C93+C94,C87+C91+C92+C93+C94)</f>
        <v>24</v>
      </c>
      <c r="D86" s="234"/>
      <c r="E86" s="1799"/>
      <c r="F86" s="1793"/>
      <c r="G86" s="1793"/>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2274</v>
      </c>
      <c r="C87" s="224">
        <f>C88+C89</f>
        <v>0</v>
      </c>
      <c r="D87" s="225"/>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2275</v>
      </c>
      <c r="C88" s="235"/>
      <c r="D88" s="225"/>
      <c r="E88" s="236" t="s">
        <v>2276</v>
      </c>
      <c r="F88" s="1796"/>
      <c r="G88" s="237"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2265</v>
      </c>
      <c r="C89" s="224">
        <f>ROUND(C88*D89,0)</f>
        <v>0</v>
      </c>
      <c r="D89" s="225">
        <f>'数据-取费表'!B48+'数据-取费表'!B49</f>
        <v>4.0500000000000001E-2</v>
      </c>
      <c r="E89" s="236" t="s">
        <v>2278</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2279</v>
      </c>
      <c r="C90" s="235"/>
      <c r="D90" s="225"/>
      <c r="E90" s="236"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2280</v>
      </c>
      <c r="B91" s="197" t="s">
        <v>2281</v>
      </c>
      <c r="C91" s="224">
        <f>IF(H91="——",成本法!C33,I91)</f>
        <v>0</v>
      </c>
      <c r="D91" s="225"/>
      <c r="E91" s="3100" t="s">
        <v>2282</v>
      </c>
      <c r="F91" s="3101"/>
      <c r="G91" s="310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2284</v>
      </c>
      <c r="B92" s="197" t="s">
        <v>2285</v>
      </c>
      <c r="C92" s="224">
        <f>ROUND((C87+C90+C91)*D92,0)</f>
        <v>0</v>
      </c>
      <c r="D92" s="225">
        <v>0.1</v>
      </c>
      <c r="E92" s="3100" t="s">
        <v>2286</v>
      </c>
      <c r="F92" s="3101"/>
      <c r="G92" s="3101"/>
      <c r="H92" s="310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2287</v>
      </c>
      <c r="B93" s="197" t="s">
        <v>2268</v>
      </c>
      <c r="C93" s="224">
        <f ca="1">ROUND(D45*D93/(1+'数据-取费表'!C42),0)</f>
        <v>24</v>
      </c>
      <c r="D93" s="225">
        <f>'数据-取费表'!B43</f>
        <v>5.000000000000001E-3</v>
      </c>
      <c r="E93" s="3100" t="s">
        <v>2269</v>
      </c>
      <c r="F93" s="3101"/>
      <c r="G93" s="3101"/>
      <c r="H93" s="310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2288</v>
      </c>
      <c r="B94" s="197" t="s">
        <v>2289</v>
      </c>
      <c r="C94" s="235">
        <f>ROUND((C87+C90+C91)*D94,0)</f>
        <v>0</v>
      </c>
      <c r="D94" s="225">
        <v>0.2</v>
      </c>
      <c r="E94" s="3148" t="s">
        <v>2290</v>
      </c>
      <c r="F94" s="3149"/>
      <c r="G94" s="3149"/>
      <c r="H94" s="315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2270</v>
      </c>
      <c r="C95" s="206">
        <f ca="1">ROUND(C85-C86,0)</f>
        <v>4722</v>
      </c>
      <c r="D95" s="199" t="s">
        <v>32</v>
      </c>
      <c r="E95" s="1799"/>
      <c r="F95" s="1793"/>
      <c r="G95" s="1793"/>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2271</v>
      </c>
      <c r="C96" s="226">
        <f ca="1">IF(C95&lt;=0,0,C95/C86)</f>
        <v>196.75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2272</v>
      </c>
      <c r="C97" s="227">
        <f ca="1">ROUND(IF(C95&lt;=0,0,IF(C96&gt;=200%,C95*60%-C86*35%,IF(C96&gt;=100%,C95*50%-C86*15%,IF(C96&gt;=50%,C95*40%-C86*5%,IF(C96&lt;50%,C95*30%,0))))),0)</f>
        <v>2825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2291</v>
      </c>
      <c r="B99" s="2417"/>
      <c r="C99" s="2417"/>
      <c r="D99" s="2417"/>
      <c r="E99" s="2165"/>
      <c r="F99" s="2165"/>
      <c r="G99" s="2165"/>
      <c r="H99" s="2164"/>
      <c r="I99" s="137"/>
    </row>
    <row r="100" spans="1:35" ht="18.75" customHeight="1">
      <c r="A100" s="3052" t="s">
        <v>2292</v>
      </c>
      <c r="B100" s="3053"/>
      <c r="C100" s="3053"/>
      <c r="D100" s="3084"/>
      <c r="E100" s="3053" t="s">
        <v>2293</v>
      </c>
      <c r="F100" s="3053"/>
      <c r="G100" s="3053"/>
      <c r="H100" s="3084"/>
      <c r="I100" s="137"/>
    </row>
    <row r="101" spans="1:35" ht="18.75" customHeight="1">
      <c r="A101" s="3092" t="s">
        <v>2294</v>
      </c>
      <c r="B101" s="3093"/>
      <c r="C101" s="735" t="str">
        <f>C4</f>
        <v>收益法 (元)</v>
      </c>
      <c r="D101" s="736" t="str">
        <f>D4</f>
        <v>比较法-商业</v>
      </c>
      <c r="E101" s="3064" t="s">
        <v>2295</v>
      </c>
      <c r="F101" s="3065"/>
      <c r="G101" s="2519" t="s">
        <v>2296</v>
      </c>
      <c r="H101" s="1044">
        <f ca="1">H118</f>
        <v>4983</v>
      </c>
      <c r="I101" s="137"/>
    </row>
    <row r="102" spans="1:35" ht="18.75" customHeight="1">
      <c r="A102" s="3094" t="s">
        <v>2297</v>
      </c>
      <c r="B102" s="2519" t="s">
        <v>2296</v>
      </c>
      <c r="C102" s="735">
        <f ca="1">C19</f>
        <v>3079</v>
      </c>
      <c r="D102" s="736">
        <f ca="1">D19</f>
        <v>6252</v>
      </c>
      <c r="E102" s="3064"/>
      <c r="F102" s="3065"/>
      <c r="G102" s="2519" t="s">
        <v>2298</v>
      </c>
      <c r="H102" s="370">
        <f ca="1">I118</f>
        <v>12560</v>
      </c>
      <c r="I102" s="137"/>
    </row>
    <row r="103" spans="1:35" ht="42.75" customHeight="1">
      <c r="A103" s="3094"/>
      <c r="B103" s="2519" t="s">
        <v>2298</v>
      </c>
      <c r="C103" s="737">
        <f ca="1">C20</f>
        <v>7760</v>
      </c>
      <c r="D103" s="738">
        <f ca="1">D20</f>
        <v>15758</v>
      </c>
      <c r="E103" s="3058" t="s">
        <v>2299</v>
      </c>
      <c r="F103" s="3059"/>
      <c r="G103" s="2520" t="s">
        <v>2300</v>
      </c>
      <c r="H103" s="1044">
        <f>IF(D36="正常操作",H104+H105+H106,H105+H106)</f>
        <v>0</v>
      </c>
      <c r="I103" s="137"/>
    </row>
    <row r="104" spans="1:35" ht="18.75" customHeight="1">
      <c r="A104" s="3094" t="s">
        <v>2301</v>
      </c>
      <c r="B104" s="2521" t="s">
        <v>2296</v>
      </c>
      <c r="C104" s="739">
        <f ca="1">H118</f>
        <v>4983</v>
      </c>
      <c r="D104" s="740"/>
      <c r="E104" s="2266" t="s">
        <v>2302</v>
      </c>
      <c r="F104" s="2257"/>
      <c r="G104" s="2520" t="s">
        <v>2300</v>
      </c>
      <c r="H104" s="1045">
        <f>IF(D36="同一抵押权人同一抵押物续贷",C36&amp;"（未扣减，详见特别提示）",C36)</f>
        <v>0</v>
      </c>
      <c r="I104" s="137"/>
    </row>
    <row r="105" spans="1:35" ht="18.75" customHeight="1" thickBot="1">
      <c r="A105" s="3106"/>
      <c r="B105" s="2522" t="s">
        <v>2298</v>
      </c>
      <c r="C105" s="741">
        <f ca="1">I118</f>
        <v>12560</v>
      </c>
      <c r="D105" s="742"/>
      <c r="E105" s="2266" t="s">
        <v>2303</v>
      </c>
      <c r="F105" s="2257"/>
      <c r="G105" s="2520" t="s">
        <v>2300</v>
      </c>
      <c r="H105" s="1045">
        <f>C37</f>
        <v>0</v>
      </c>
      <c r="I105" s="137"/>
    </row>
    <row r="106" spans="1:35" ht="18.75" customHeight="1">
      <c r="A106" s="2417" t="s">
        <v>2304</v>
      </c>
      <c r="B106" s="2417"/>
      <c r="C106" s="2417"/>
      <c r="D106" s="2417"/>
      <c r="E106" s="2523" t="s">
        <v>2305</v>
      </c>
      <c r="F106" s="2257"/>
      <c r="G106" s="2520" t="s">
        <v>2300</v>
      </c>
      <c r="H106" s="1045">
        <f>C38</f>
        <v>0</v>
      </c>
      <c r="I106" s="137"/>
    </row>
    <row r="107" spans="1:35" ht="18.75" customHeight="1">
      <c r="A107" s="137"/>
      <c r="B107" s="137"/>
      <c r="C107" s="137"/>
      <c r="D107" s="137"/>
      <c r="E107" s="3095" t="str">
        <f>IF(项目基本情况!E8="已注销","——","3.房地产抵押价值")</f>
        <v>3.房地产抵押价值</v>
      </c>
      <c r="F107" s="3065"/>
      <c r="G107" s="2519" t="s">
        <v>2296</v>
      </c>
      <c r="H107" s="1044">
        <f ca="1">IF(E107="——","——",H101-H103)</f>
        <v>4983</v>
      </c>
      <c r="I107" s="137"/>
    </row>
    <row r="108" spans="1:35" ht="18.75" customHeight="1">
      <c r="A108" s="137"/>
      <c r="B108" s="137"/>
      <c r="C108" s="137"/>
      <c r="D108" s="137"/>
      <c r="E108" s="3095"/>
      <c r="F108" s="3065"/>
      <c r="G108" s="2519" t="s">
        <v>2298</v>
      </c>
      <c r="H108" s="370">
        <f ca="1">ROUND(H107*10000/'数据-汇总表'!E3,0)</f>
        <v>12560</v>
      </c>
      <c r="I108" s="137"/>
    </row>
    <row r="109" spans="1:35" ht="18.75" customHeight="1">
      <c r="A109" s="137"/>
      <c r="B109" s="137"/>
      <c r="C109" s="137"/>
      <c r="D109" s="137"/>
      <c r="E109" s="3095" t="str">
        <f>IF(项目基本情况!E8="已注销及未注销","4.抵押担保权已注销时的房地产抵押价值",IF(项目基本情况!E8="已注销","3.抵押担保权已注销时的房地产抵押价值","——"))</f>
        <v>——</v>
      </c>
      <c r="F109" s="3065"/>
      <c r="G109" s="2519" t="s">
        <v>2296</v>
      </c>
      <c r="H109" s="347" t="str">
        <f>IF(E109="——","——",H101-H105-H106)</f>
        <v>——</v>
      </c>
      <c r="I109" s="137"/>
    </row>
    <row r="110" spans="1:35" ht="18.75" customHeight="1">
      <c r="A110" s="137"/>
      <c r="B110" s="137"/>
      <c r="C110" s="137"/>
      <c r="D110" s="137"/>
      <c r="E110" s="3095"/>
      <c r="F110" s="3065"/>
      <c r="G110" s="2519" t="s">
        <v>2298</v>
      </c>
      <c r="H110" s="370" t="str">
        <f>IF(H109="——","——",ROUND(H109*10000/'数据-汇总表'!E3,0))</f>
        <v>——</v>
      </c>
      <c r="I110" s="137"/>
    </row>
    <row r="111" spans="1:35" ht="18.75" customHeight="1">
      <c r="A111" s="137"/>
      <c r="B111" s="137"/>
      <c r="C111" s="137"/>
      <c r="D111" s="137"/>
      <c r="E111" s="3096" t="str">
        <f>IF(项目基本情况!E9="抵押净值",IF(OR(项目基本情况!E8="已注销",项目基本情况!E8="房地产抵押价值"),"4.抵押净值","5.抵押净值"),"——")</f>
        <v>——</v>
      </c>
      <c r="F111" s="3097"/>
      <c r="G111" s="2519" t="s">
        <v>2296</v>
      </c>
      <c r="H111" s="1044" t="str">
        <f>IF(E111="——","——",N59)</f>
        <v>——</v>
      </c>
      <c r="I111" s="137"/>
    </row>
    <row r="112" spans="1:35" ht="18.75" customHeight="1" thickBot="1">
      <c r="A112" s="137"/>
      <c r="B112" s="137"/>
      <c r="C112" s="137"/>
      <c r="D112" s="137"/>
      <c r="E112" s="3098"/>
      <c r="F112" s="3099"/>
      <c r="G112" s="2524" t="s">
        <v>2298</v>
      </c>
      <c r="H112" s="789" t="str">
        <f>IF(E111="——","——",N61)</f>
        <v>——</v>
      </c>
      <c r="I112" s="137"/>
    </row>
    <row r="113" spans="1:11" ht="18.75" customHeight="1">
      <c r="A113" s="137"/>
      <c r="B113" s="137"/>
      <c r="C113" s="137"/>
      <c r="D113" s="137"/>
      <c r="E113" s="3107" t="s">
        <v>2304</v>
      </c>
      <c r="F113" s="3107"/>
      <c r="G113" s="3107"/>
      <c r="H113" s="3107"/>
      <c r="I113" s="137"/>
    </row>
    <row r="114" spans="1:11" ht="3.75" customHeight="1">
      <c r="A114" s="2417"/>
      <c r="B114" s="2417"/>
      <c r="C114" s="2417"/>
      <c r="D114" s="2417"/>
      <c r="E114" s="2495"/>
      <c r="F114" s="2495"/>
      <c r="G114" s="2495"/>
      <c r="H114" s="2495"/>
      <c r="I114" s="2417"/>
    </row>
    <row r="115" spans="1:11" ht="18.75" customHeight="1">
      <c r="A115" s="3120" t="s">
        <v>2306</v>
      </c>
      <c r="B115" s="3121"/>
      <c r="C115" s="3121"/>
      <c r="D115" s="3121"/>
      <c r="E115" s="3121"/>
      <c r="F115" s="3121"/>
      <c r="G115" s="3121"/>
      <c r="H115" s="3121"/>
      <c r="I115" s="3122"/>
    </row>
    <row r="116" spans="1:11" ht="27" customHeight="1">
      <c r="A116" s="3031" t="s">
        <v>2307</v>
      </c>
      <c r="B116" s="3074" t="s">
        <v>2308</v>
      </c>
      <c r="C116" s="3074" t="s">
        <v>2309</v>
      </c>
      <c r="D116" s="3080" t="s">
        <v>2310</v>
      </c>
      <c r="E116" s="3081"/>
      <c r="F116" s="3116" t="s">
        <v>2311</v>
      </c>
      <c r="G116" s="3116"/>
      <c r="H116" s="3031" t="s">
        <v>2312</v>
      </c>
      <c r="I116" s="3031"/>
    </row>
    <row r="117" spans="1:11" ht="18.75" customHeight="1">
      <c r="A117" s="3031"/>
      <c r="B117" s="3075"/>
      <c r="C117" s="3075"/>
      <c r="D117" s="1794" t="s">
        <v>2313</v>
      </c>
      <c r="E117" s="1794" t="s">
        <v>2314</v>
      </c>
      <c r="F117" s="1794" t="s">
        <v>2313</v>
      </c>
      <c r="G117" s="1794" t="s">
        <v>2315</v>
      </c>
      <c r="H117" s="1794" t="s">
        <v>2313</v>
      </c>
      <c r="I117" s="1794" t="s">
        <v>2315</v>
      </c>
    </row>
    <row r="118" spans="1:11" ht="24.75" customHeight="1">
      <c r="A118" s="2525" t="str">
        <f>项目基本情况!S2</f>
        <v>房地产</v>
      </c>
      <c r="B118" s="1794">
        <f>M18</f>
        <v>3967.28</v>
      </c>
      <c r="C118" s="1794">
        <f>M19</f>
        <v>1983.64</v>
      </c>
      <c r="D118" s="1794">
        <f ca="1">ROUND(IF(D32="总价",C34,E118*B118/10000),0)</f>
        <v>1116</v>
      </c>
      <c r="E118" s="1794">
        <f ca="1">ROUND(IF(C33="自定义",IF(D32="楼面单价",C34,D118*10000/B118),I118-G118),0)</f>
        <v>2813</v>
      </c>
      <c r="F118" s="1794">
        <f ca="1">ROUND(IF(D32="总价",C35,G118*B118/10000),0)</f>
        <v>3867</v>
      </c>
      <c r="G118" s="1794">
        <f ca="1">ROUND(IF(D32="楼面单价",C35,F118*10000/B118),0)</f>
        <v>9747</v>
      </c>
      <c r="H118" s="1794">
        <f ca="1">ROUND(IF(D32="总价",C32,I118*B118/10000),0)</f>
        <v>4983</v>
      </c>
      <c r="I118" s="1794">
        <f ca="1">ROUND(IF(D32="楼面单价",C32,H118*10000/B118),0)</f>
        <v>12560</v>
      </c>
    </row>
    <row r="119" spans="1:11" ht="18.75" customHeight="1">
      <c r="A119" s="3031" t="s">
        <v>2316</v>
      </c>
      <c r="B119" s="3031"/>
      <c r="C119" s="3031"/>
      <c r="D119" s="3076" t="str">
        <f ca="1">NUMBERSTRING(INT(D118*10000),2)&amp;"元整"</f>
        <v>壹仟壹佰壹拾陆万元整</v>
      </c>
      <c r="E119" s="3077"/>
      <c r="F119" s="3076" t="str">
        <f ca="1">NUMBERSTRING(INT(F118*10000),2)&amp;"元整"</f>
        <v>叁仟捌佰陆拾柒万元整</v>
      </c>
      <c r="G119" s="3077"/>
      <c r="H119" s="3076" t="str">
        <f ca="1">NUMBERSTRING(INT(H118*10000),2)&amp;"元整"</f>
        <v>肆仟玖佰捌拾叁万元整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2" t="str">
        <f>IF(D120=0,"故，本次评估不存在"&amp;A120,"故，本次评估"&amp;A120&amp;"为人民币"&amp;D120&amp;"万元整。")</f>
        <v>故，本次评估不存在估价师知悉的法定优先受偿款</v>
      </c>
    </row>
    <row r="121" spans="1:11" ht="18.75" customHeight="1">
      <c r="A121" s="3117" t="s">
        <v>2316</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4983</v>
      </c>
      <c r="E122" s="3072"/>
      <c r="F122" s="3072"/>
      <c r="G122" s="3072"/>
      <c r="H122" s="3072"/>
      <c r="I122" s="3073"/>
    </row>
    <row r="123" spans="1:11" ht="18.75" customHeight="1">
      <c r="A123" s="3031" t="s">
        <v>2316</v>
      </c>
      <c r="B123" s="3031"/>
      <c r="C123" s="3031"/>
      <c r="D123" s="3076" t="str">
        <f ca="1">NUMBERSTRING(INT(D122*10000),2)&amp;"元整"</f>
        <v>肆仟玖佰捌拾叁万元整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2316</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2316</v>
      </c>
      <c r="B127" s="3031"/>
      <c r="C127" s="3031"/>
      <c r="D127" s="3076" t="e">
        <f>NUMBERSTRING(INT(D126*10000),2)&amp;"元整"</f>
        <v>#VALUE!</v>
      </c>
      <c r="E127" s="3078"/>
      <c r="F127" s="3078"/>
      <c r="G127" s="3078"/>
      <c r="H127" s="3078"/>
      <c r="I127" s="3077"/>
    </row>
    <row r="128" spans="1:11" ht="21.75" customHeight="1">
      <c r="A128" s="3079" t="s">
        <v>2317</v>
      </c>
      <c r="B128" s="3079"/>
      <c r="C128" s="3079"/>
      <c r="D128" s="3079"/>
      <c r="E128" s="3079"/>
      <c r="F128" s="3079"/>
      <c r="G128" s="3079"/>
      <c r="H128" s="3079"/>
      <c r="I128" s="3079"/>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2320</v>
      </c>
      <c r="G135" s="2543"/>
      <c r="H135" s="2543"/>
      <c r="I135" s="2544" t="s">
        <v>2321</v>
      </c>
    </row>
    <row r="136" spans="1:35" ht="21.75" customHeight="1">
      <c r="A136" s="794"/>
      <c r="B136" s="2545"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2323</v>
      </c>
    </row>
    <row r="139" spans="1:35" ht="21.75" customHeight="1">
      <c r="A139" s="794"/>
      <c r="B139" s="2545" t="s">
        <v>2324</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2323</v>
      </c>
    </row>
    <row r="142" spans="1:35" ht="21.75" customHeight="1">
      <c r="A142" s="794"/>
      <c r="B142" s="2545"/>
      <c r="C142" s="2546"/>
      <c r="D142" s="2547"/>
      <c r="E142" s="2547"/>
      <c r="F142" s="2340"/>
      <c r="G142" s="794"/>
      <c r="H142" s="794"/>
      <c r="I142" s="794"/>
    </row>
    <row r="143" spans="1:35" s="138"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5" t="str">
        <f>项目基本情况!B1</f>
        <v>房地产抵押价值预评估</v>
      </c>
      <c r="C37" s="2965"/>
      <c r="D37" s="2965"/>
      <c r="E37" s="2965"/>
      <c r="F37" s="2965"/>
      <c r="G37" s="2965"/>
      <c r="H37" s="2965"/>
      <c r="I37" s="2965"/>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5"/>
      <c r="C1" s="241"/>
      <c r="D1" s="241"/>
      <c r="E1" s="241"/>
      <c r="F1" s="241"/>
      <c r="G1" s="1378">
        <f>MATCH(B1,'数据-取费表'!A6:A16,0)+5</f>
        <v>7</v>
      </c>
    </row>
    <row r="2" spans="1:9" s="243" customFormat="1" ht="18" customHeight="1">
      <c r="A2" s="244" t="s">
        <v>2326</v>
      </c>
      <c r="B2" s="245">
        <f ca="1">IF(D2="——",C52,C52-E2)</f>
        <v>1576</v>
      </c>
      <c r="C2" s="242" t="s">
        <v>2327</v>
      </c>
      <c r="D2" s="2548" t="s">
        <v>70</v>
      </c>
      <c r="E2" s="1439" t="e">
        <f ca="1">SUMIF(INDIRECT("'"&amp;G2&amp;"'"&amp;"!A:A"),"承租人权益价值",INDIRECT("'"&amp;G2&amp;"'"&amp;"!c:c"))</f>
        <v>#REF!</v>
      </c>
      <c r="F2" s="2549" t="s">
        <v>2327</v>
      </c>
      <c r="G2" s="2550"/>
    </row>
    <row r="3" spans="1:9" s="243" customFormat="1" ht="18" customHeight="1" thickBot="1">
      <c r="A3" s="246" t="s">
        <v>2328</v>
      </c>
      <c r="B3" s="247">
        <f ca="1">ROUND(B2*10000/(IF(B1="",'数据-汇总表'!E3,INDIRECT("'数据-取费表'!k"&amp;$G$1))),0)</f>
        <v>3972</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8" t="s">
        <v>2336</v>
      </c>
      <c r="B6" s="258" t="s">
        <v>2337</v>
      </c>
      <c r="C6" s="259"/>
      <c r="D6" s="260"/>
      <c r="E6" s="261"/>
      <c r="F6" s="261"/>
      <c r="G6" s="262"/>
    </row>
    <row r="7" spans="1:9" s="257" customFormat="1" ht="13.5" customHeight="1">
      <c r="A7" s="948" t="s">
        <v>2338</v>
      </c>
      <c r="B7" s="258" t="s">
        <v>2339</v>
      </c>
      <c r="C7" s="263">
        <f>ROUND(C6*F7,0)</f>
        <v>0</v>
      </c>
      <c r="D7" s="263"/>
      <c r="E7" s="261"/>
      <c r="F7" s="264">
        <f>IF(项目基本情况!B8="出让",0,'数据-取费表'!B48+'数据-取费表'!B49)</f>
        <v>4.0500000000000001E-2</v>
      </c>
      <c r="G7" s="262"/>
    </row>
    <row r="8" spans="1:9" s="266" customFormat="1">
      <c r="A8" s="948" t="s">
        <v>2340</v>
      </c>
      <c r="B8" s="258" t="s">
        <v>2341</v>
      </c>
      <c r="C8" s="263">
        <f>IF(G8="已包含在土地购买价格中","0",IF(B1="",'数据-取费表'!B29,IF(G9="全部缴纳",C9+C10,H9)))</f>
        <v>0</v>
      </c>
      <c r="D8" s="265"/>
      <c r="E8" s="263"/>
      <c r="F8" s="264"/>
      <c r="G8" s="2551"/>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33.200000000000003</v>
      </c>
      <c r="F9" s="264"/>
      <c r="G9" s="2552"/>
      <c r="H9" s="1389"/>
      <c r="I9" s="2553" t="s">
        <v>2343</v>
      </c>
    </row>
    <row r="10" spans="1:9" s="257" customFormat="1" ht="13.5" customHeight="1">
      <c r="A10" s="949" t="s">
        <v>801</v>
      </c>
      <c r="B10" s="267" t="s">
        <v>2344</v>
      </c>
      <c r="C10" s="268">
        <f ca="1">ROUND(D10*E10/10000,0)</f>
        <v>9</v>
      </c>
      <c r="D10" s="1031">
        <f ca="1">IF(B1="",'数据-汇总表'!E6,IF(INDIRECT("'数据-取费表'!c"&amp;$G$1)="住宅",INDIRECT("'数据-取费表'!s"&amp;$G$1),INDIRECT("'数据-取费表'!k"&amp;$G$1)+INDIRECT("'数据-取费表'!s"&amp;$G$1)))</f>
        <v>3967.28</v>
      </c>
      <c r="E10" s="268">
        <f>'数据-取费表'!B28</f>
        <v>21.6</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f ca="1">IF(G19="已包含在土地取得成本中","0",ROUND(D19*E19/10000,0))</f>
        <v>60</v>
      </c>
      <c r="D19" s="1035">
        <f ca="1">D9+D10</f>
        <v>3967.28</v>
      </c>
      <c r="E19" s="254">
        <f>'数据-取费表'!B31</f>
        <v>150</v>
      </c>
      <c r="F19" s="274"/>
      <c r="G19" s="2551"/>
    </row>
    <row r="20" spans="1:7" s="257" customFormat="1" ht="13.5" customHeight="1">
      <c r="A20" s="298" t="s">
        <v>2357</v>
      </c>
      <c r="B20" s="253" t="s">
        <v>2358</v>
      </c>
      <c r="C20" s="275">
        <f ca="1">ROUND((C5+C19)*F20,0)</f>
        <v>1</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3">
        <f ca="1">ROUND(SUM(C23:C25),0)</f>
        <v>3</v>
      </c>
      <c r="D22" s="278">
        <f ca="1">C26</f>
        <v>4.0000000000000002E-4</v>
      </c>
      <c r="E22" s="279" t="s">
        <v>2362</v>
      </c>
      <c r="F22" s="280">
        <f ca="1">'数据-取费表'!B40</f>
        <v>4.3499999999999997E-2</v>
      </c>
      <c r="G22" s="277" t="str">
        <f>IF('数据-取费表'!B22&lt;=1,"单利计息","复利计息")</f>
        <v>单利计息</v>
      </c>
    </row>
    <row r="23" spans="1:7" s="257" customFormat="1" ht="13.5" customHeight="1">
      <c r="A23" s="950" t="s">
        <v>2366</v>
      </c>
      <c r="B23" s="258" t="s">
        <v>2367</v>
      </c>
      <c r="C23" s="1354">
        <f ca="1">ROUND(IF('数据-取费表'!B22&lt;=1,C5*F22*'数据-取费表'!B23,C5*(POWER((1+F22),'数据-取费表'!B23)-1)),0)</f>
        <v>0</v>
      </c>
      <c r="D23" s="281"/>
      <c r="E23" s="281"/>
      <c r="F23" s="282"/>
      <c r="G23" s="283" t="s">
        <v>2368</v>
      </c>
    </row>
    <row r="24" spans="1:7" s="257" customFormat="1" ht="13.5" customHeight="1">
      <c r="A24" s="950" t="s">
        <v>2369</v>
      </c>
      <c r="B24" s="258" t="s">
        <v>2370</v>
      </c>
      <c r="C24" s="1354">
        <f ca="1">ROUND(IF('数据-取费表'!B22&lt;=1,C19*F22*('数据-取费表'!B19/2+'数据-取费表'!B21),C19*(POWER((1+F22),('数据-取费表'!B19/2+'数据-取费表'!B21))-1)),0)</f>
        <v>3</v>
      </c>
      <c r="D24" s="281"/>
      <c r="E24" s="281"/>
      <c r="F24" s="282"/>
      <c r="G24" s="283" t="s">
        <v>2371</v>
      </c>
    </row>
    <row r="25" spans="1:7" s="257" customFormat="1" ht="24">
      <c r="A25" s="950" t="s">
        <v>2372</v>
      </c>
      <c r="B25" s="258" t="s">
        <v>2373</v>
      </c>
      <c r="C25" s="1354">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4.0000000000000002E-4</v>
      </c>
      <c r="D26" s="281"/>
      <c r="E26" s="284"/>
      <c r="F26" s="282"/>
      <c r="G26" s="286"/>
    </row>
    <row r="27" spans="1:7" s="257" customFormat="1" ht="24.75">
      <c r="A27" s="298" t="s">
        <v>2376</v>
      </c>
      <c r="B27" s="287" t="s">
        <v>2377</v>
      </c>
      <c r="C27" s="288">
        <f ca="1">C28</f>
        <v>6</v>
      </c>
      <c r="D27" s="278">
        <f ca="1">C29</f>
        <v>2E-3</v>
      </c>
      <c r="E27" s="279" t="s">
        <v>2378</v>
      </c>
      <c r="F27" s="289">
        <f ca="1">IF(B1="",'数据-取费表'!Q16,INDIRECT("'数据-取费表'!q"&amp;$G$1))</f>
        <v>0.1</v>
      </c>
      <c r="G27" s="290" t="s">
        <v>2379</v>
      </c>
    </row>
    <row r="28" spans="1:7" s="257" customFormat="1" ht="13.5" customHeight="1">
      <c r="A28" s="950" t="s">
        <v>791</v>
      </c>
      <c r="B28" s="291" t="s">
        <v>2380</v>
      </c>
      <c r="C28" s="292">
        <f ca="1">ROUND((C5+C19+C20)*F27*'数据-取费表'!B21/'数据-取费表'!B20,0)</f>
        <v>6</v>
      </c>
      <c r="D28" s="278"/>
      <c r="E28" s="279"/>
      <c r="F28" s="289"/>
      <c r="G28" s="290"/>
    </row>
    <row r="29" spans="1:7" s="257" customFormat="1" ht="13.5" customHeight="1">
      <c r="A29" s="950"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76</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1304</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1190</v>
      </c>
      <c r="D34" s="260"/>
      <c r="E34" s="263"/>
      <c r="F34" s="300">
        <f ca="1">IF('数据-取费表'!B24=0,1,IF(B1="",'数据-取费表'!N16,INDIRECT("'数据-取费表'!n"&amp;$G$1)))</f>
        <v>1</v>
      </c>
      <c r="G34" s="262" t="s">
        <v>2390</v>
      </c>
    </row>
    <row r="35" spans="1:7" ht="13.5" customHeight="1">
      <c r="A35" s="950" t="s">
        <v>796</v>
      </c>
      <c r="B35" s="258" t="s">
        <v>2391</v>
      </c>
      <c r="C35" s="263">
        <f ca="1">ROUND(C34*F35,0)</f>
        <v>36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60</v>
      </c>
      <c r="D37" s="260">
        <f ca="1">D19</f>
        <v>3967.28</v>
      </c>
      <c r="E37" s="292">
        <f>'数据-取费表'!B35</f>
        <v>150</v>
      </c>
      <c r="F37" s="302"/>
      <c r="G37" s="304" t="s">
        <v>2396</v>
      </c>
    </row>
    <row r="38" spans="1:7" ht="13.5" customHeight="1">
      <c r="A38" s="950" t="s">
        <v>799</v>
      </c>
      <c r="B38" s="258" t="s">
        <v>2397</v>
      </c>
      <c r="C38" s="263">
        <f ca="1">ROUND(C34*F38,0)</f>
        <v>18</v>
      </c>
      <c r="D38" s="263"/>
      <c r="E38" s="263"/>
      <c r="F38" s="302">
        <f>'数据-取费表'!B36</f>
        <v>1.4999999999999999E-2</v>
      </c>
      <c r="G38" s="262" t="s">
        <v>2392</v>
      </c>
    </row>
    <row r="39" spans="1:7" s="257" customFormat="1" ht="13.5" customHeight="1">
      <c r="A39" s="298" t="s">
        <v>2398</v>
      </c>
      <c r="B39" s="253" t="s">
        <v>2399</v>
      </c>
      <c r="C39" s="275">
        <f ca="1">ROUND(C33*F20,0)</f>
        <v>26</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29</v>
      </c>
      <c r="D41" s="278">
        <f ca="1">C44</f>
        <v>4.0000000000000002E-4</v>
      </c>
      <c r="E41" s="279" t="s">
        <v>2403</v>
      </c>
      <c r="F41" s="280"/>
      <c r="G41" s="277" t="str">
        <f>IF('数据-取费表'!B22&lt;=1,"单利计息","复利计息")</f>
        <v>单利计息</v>
      </c>
    </row>
    <row r="42" spans="1:7" ht="13.5" customHeight="1">
      <c r="A42" s="950" t="s">
        <v>791</v>
      </c>
      <c r="B42" s="258" t="s">
        <v>2407</v>
      </c>
      <c r="C42" s="281">
        <f ca="1">ROUND(IF('数据-取费表'!B22&lt;=1,C33*F22*'数据-取费表'!B21/2,C33*(POWER((1+F22),'数据-取费表'!B21/2)-1)),0)</f>
        <v>28</v>
      </c>
      <c r="D42" s="281"/>
      <c r="E42" s="281"/>
      <c r="F42" s="282"/>
      <c r="G42" s="3151" t="s">
        <v>2408</v>
      </c>
    </row>
    <row r="43" spans="1:7" ht="13.5" customHeight="1">
      <c r="A43" s="950" t="s">
        <v>792</v>
      </c>
      <c r="B43" s="258" t="s">
        <v>2409</v>
      </c>
      <c r="C43" s="281">
        <f ca="1">ROUND(IF('数据-取费表'!B22&lt;=1,C39*F22*'数据-取费表'!B21/2,C39*(POWER((1+F22),'数据-取费表'!B21/2)-1)),0)</f>
        <v>1</v>
      </c>
      <c r="D43" s="281"/>
      <c r="E43" s="281"/>
      <c r="F43" s="282"/>
      <c r="G43" s="3152"/>
    </row>
    <row r="44" spans="1:7" ht="13.5" customHeight="1">
      <c r="A44" s="950" t="s">
        <v>793</v>
      </c>
      <c r="B44" s="258" t="s">
        <v>2410</v>
      </c>
      <c r="C44" s="281">
        <f ca="1">ROUND(IF('数据-取费表'!B22&lt;=1,C40*F22*'数据-取费表'!B21/2,C40*(POWER((1+F22),'数据-取费表'!B21/2)-1)),4)</f>
        <v>4.0000000000000002E-4</v>
      </c>
      <c r="D44" s="281"/>
      <c r="E44" s="281"/>
      <c r="F44" s="282"/>
      <c r="G44" s="3153"/>
    </row>
    <row r="45" spans="1:7" s="257" customFormat="1" ht="13.5" customHeight="1">
      <c r="A45" s="298" t="s">
        <v>2411</v>
      </c>
      <c r="B45" s="287" t="s">
        <v>2377</v>
      </c>
      <c r="C45" s="288">
        <f ca="1">C46</f>
        <v>133</v>
      </c>
      <c r="D45" s="278">
        <f ca="1">C47</f>
        <v>2E-3</v>
      </c>
      <c r="E45" s="279" t="s">
        <v>2403</v>
      </c>
      <c r="F45" s="289"/>
      <c r="G45" s="290" t="s">
        <v>2412</v>
      </c>
    </row>
    <row r="46" spans="1:7" s="257" customFormat="1" ht="13.5" customHeight="1">
      <c r="A46" s="950" t="s">
        <v>791</v>
      </c>
      <c r="B46" s="291" t="s">
        <v>2413</v>
      </c>
      <c r="C46" s="292">
        <f ca="1">ROUND((C33+C39)*F27,0)</f>
        <v>133</v>
      </c>
      <c r="D46" s="306"/>
      <c r="E46" s="279"/>
      <c r="F46" s="289"/>
      <c r="G46" s="290"/>
    </row>
    <row r="47" spans="1:7" s="257" customFormat="1" ht="13.5" customHeight="1">
      <c r="A47" s="950" t="s">
        <v>792</v>
      </c>
      <c r="B47" s="291" t="s">
        <v>2414</v>
      </c>
      <c r="C47" s="281">
        <f ca="1">ROUND(C40*F27,4)</f>
        <v>2E-3</v>
      </c>
      <c r="D47" s="306"/>
      <c r="E47" s="279"/>
      <c r="F47" s="289"/>
      <c r="G47" s="290"/>
    </row>
    <row r="48" spans="1:7"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1613</v>
      </c>
      <c r="D49" s="275"/>
      <c r="E49" s="275"/>
      <c r="F49" s="307"/>
      <c r="G49" s="277" t="s">
        <v>2418</v>
      </c>
    </row>
    <row r="50" spans="1:7" s="301" customFormat="1" ht="24">
      <c r="A50" s="298" t="s">
        <v>2419</v>
      </c>
      <c r="B50" s="253" t="s">
        <v>2420</v>
      </c>
      <c r="C50" s="275"/>
      <c r="D50" s="275"/>
      <c r="E50" s="275"/>
      <c r="F50" s="307">
        <f>IF('数据-取费表'!B24=0,'数据-取费表'!N16,1)</f>
        <v>0.93</v>
      </c>
      <c r="G50" s="290" t="s">
        <v>2421</v>
      </c>
    </row>
    <row r="51" spans="1:7" ht="16.5" customHeight="1">
      <c r="A51" s="298" t="s">
        <v>2422</v>
      </c>
      <c r="B51" s="253" t="s">
        <v>2423</v>
      </c>
      <c r="C51" s="275">
        <f ca="1">ROUND(C49*F50,0)</f>
        <v>1500</v>
      </c>
      <c r="D51" s="275"/>
      <c r="E51" s="275"/>
      <c r="F51" s="307"/>
      <c r="G51" s="277" t="s">
        <v>2424</v>
      </c>
    </row>
    <row r="52" spans="1:7" s="251" customFormat="1" ht="16.5" thickBot="1">
      <c r="A52" s="308" t="s">
        <v>2425</v>
      </c>
      <c r="B52" s="309"/>
      <c r="C52" s="310">
        <f ca="1">C31+C51</f>
        <v>1576</v>
      </c>
      <c r="D52" s="309"/>
      <c r="E52" s="309"/>
      <c r="F52" s="309"/>
      <c r="G52" s="311"/>
    </row>
    <row r="55" spans="1:7" ht="15">
      <c r="B55" s="313" t="s">
        <v>2426</v>
      </c>
      <c r="C55" s="314"/>
    </row>
    <row r="56" spans="1:7">
      <c r="B56" s="316" t="s">
        <v>1507</v>
      </c>
      <c r="C56" s="318">
        <f ca="1">1-C57</f>
        <v>4.8000000000000043E-2</v>
      </c>
    </row>
    <row r="57" spans="1:7">
      <c r="B57" s="316" t="s">
        <v>1508</v>
      </c>
      <c r="C57" s="317">
        <f ca="1">ROUND(C51/C52,3)</f>
        <v>0.95199999999999996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33" sqref="L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2641</v>
      </c>
      <c r="C1" s="1633" t="s">
        <v>2529</v>
      </c>
      <c r="D1" s="1620" t="s">
        <v>1372</v>
      </c>
      <c r="E1" s="2658"/>
      <c r="F1" s="2585" t="s">
        <v>3106</v>
      </c>
      <c r="G1" s="1630" t="s">
        <v>2642</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7" customFormat="1" ht="28.5" customHeight="1" thickTop="1">
      <c r="A2" s="1616" t="s">
        <v>2326</v>
      </c>
      <c r="B2" s="1417">
        <f>IF(C2="——",ROUND(C49*D3/10000,0),ROUND(C49*D3/10000,0)-D2)</f>
        <v>6252</v>
      </c>
      <c r="C2" s="2587" t="s">
        <v>70</v>
      </c>
      <c r="D2" s="1364" t="e">
        <f ca="1">SUMIF(INDIRECT("'"&amp;F2&amp;"'"&amp;"!A:A"),"承租人权益价值",INDIRECT("'"&amp;F2&amp;"'"&amp;"!c:c"))</f>
        <v>#REF!</v>
      </c>
      <c r="E2" s="2588" t="s">
        <v>2327</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7" customFormat="1" ht="28.5" customHeight="1" thickBot="1">
      <c r="A3" s="246" t="s">
        <v>2328</v>
      </c>
      <c r="B3" s="608">
        <f>IF(C2="——",C49,ROUND(B2*10000/D3,0))</f>
        <v>15758</v>
      </c>
      <c r="C3" s="399" t="s">
        <v>2643</v>
      </c>
      <c r="D3" s="398">
        <f>IF(D1="",'数据-汇总表'!E3,SUMIF('数据-汇总表'!$C19:$C33,D1,'数据-汇总表'!$E19:$E33))</f>
        <v>3967.28</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0" t="s">
        <v>2644</v>
      </c>
      <c r="B4" s="401"/>
      <c r="C4" s="3173" t="s">
        <v>2645</v>
      </c>
      <c r="D4" s="3174"/>
      <c r="E4" s="3175" t="s">
        <v>2646</v>
      </c>
      <c r="F4" s="3176"/>
      <c r="G4" s="3173" t="s">
        <v>2647</v>
      </c>
      <c r="H4" s="3174"/>
      <c r="I4" s="3173" t="s">
        <v>2648</v>
      </c>
      <c r="J4" s="3174"/>
      <c r="K4" s="609" t="s">
        <v>2649</v>
      </c>
      <c r="L4" s="1129"/>
      <c r="M4" s="1130"/>
      <c r="N4" s="1130"/>
      <c r="O4" s="1130"/>
      <c r="P4" s="3177" t="s">
        <v>2650</v>
      </c>
      <c r="Q4" s="3178"/>
      <c r="R4" s="3160" t="s">
        <v>2646</v>
      </c>
      <c r="S4" s="3161"/>
      <c r="T4" s="3160" t="s">
        <v>2647</v>
      </c>
      <c r="U4" s="3161"/>
      <c r="V4" s="3157" t="s">
        <v>2648</v>
      </c>
      <c r="W4" s="3157"/>
      <c r="X4" s="1812"/>
      <c r="Y4" s="3160" t="s">
        <v>2650</v>
      </c>
      <c r="Z4" s="3161"/>
      <c r="AA4" s="3154" t="s">
        <v>2646</v>
      </c>
      <c r="AB4" s="3157" t="s">
        <v>2647</v>
      </c>
      <c r="AC4" s="3154" t="s">
        <v>2648</v>
      </c>
    </row>
    <row r="5" spans="1:29" ht="15">
      <c r="A5" s="403"/>
      <c r="B5" s="404"/>
      <c r="C5" s="3166" t="s">
        <v>2541</v>
      </c>
      <c r="D5" s="3167"/>
      <c r="E5" s="3164" t="s">
        <v>2542</v>
      </c>
      <c r="F5" s="3165"/>
      <c r="G5" s="3166" t="s">
        <v>2543</v>
      </c>
      <c r="H5" s="3167"/>
      <c r="I5" s="3166" t="s">
        <v>2544</v>
      </c>
      <c r="J5" s="3167"/>
      <c r="K5" s="609"/>
      <c r="L5" s="1129"/>
      <c r="M5" s="1130"/>
      <c r="N5" s="1130"/>
      <c r="O5" s="1130"/>
      <c r="P5" s="3179"/>
      <c r="Q5" s="3180"/>
      <c r="R5" s="3162"/>
      <c r="S5" s="3163"/>
      <c r="T5" s="3162"/>
      <c r="U5" s="3163"/>
      <c r="V5" s="3157"/>
      <c r="W5" s="3157"/>
      <c r="X5" s="1812"/>
      <c r="Y5" s="3162"/>
      <c r="Z5" s="3163"/>
      <c r="AA5" s="3155"/>
      <c r="AB5" s="3157"/>
      <c r="AC5" s="3155"/>
    </row>
    <row r="6" spans="1:29" ht="15.75" thickBot="1">
      <c r="A6" s="405"/>
      <c r="B6" s="406"/>
      <c r="C6" s="3168" t="s">
        <v>2545</v>
      </c>
      <c r="D6" s="3169"/>
      <c r="E6" s="3170" t="s">
        <v>2545</v>
      </c>
      <c r="F6" s="3171"/>
      <c r="G6" s="3168" t="s">
        <v>2545</v>
      </c>
      <c r="H6" s="3169"/>
      <c r="I6" s="3168" t="s">
        <v>2545</v>
      </c>
      <c r="J6" s="3169"/>
      <c r="K6" s="609" t="s">
        <v>2546</v>
      </c>
      <c r="L6" s="1129"/>
      <c r="M6" s="1130"/>
      <c r="N6" s="1130"/>
      <c r="O6" s="1130"/>
      <c r="P6" s="3181"/>
      <c r="Q6" s="3182"/>
      <c r="R6" s="3162"/>
      <c r="S6" s="3163"/>
      <c r="T6" s="3183"/>
      <c r="U6" s="3184"/>
      <c r="V6" s="3157"/>
      <c r="W6" s="3157"/>
      <c r="X6" s="1812"/>
      <c r="Y6" s="3183"/>
      <c r="Z6" s="3184"/>
      <c r="AA6" s="3156"/>
      <c r="AB6" s="3157"/>
      <c r="AC6" s="3156"/>
    </row>
    <row r="7" spans="1:29" s="116" customFormat="1" ht="15.75" thickBot="1">
      <c r="A7" s="407" t="s">
        <v>2547</v>
      </c>
      <c r="B7" s="408"/>
      <c r="C7" s="409">
        <f>'数据-取费表'!B2</f>
        <v>43969</v>
      </c>
      <c r="D7" s="410">
        <v>100</v>
      </c>
      <c r="E7" s="411">
        <v>43952</v>
      </c>
      <c r="F7" s="412">
        <f>SUMIF(58:58,YEAR(E7)&amp;"-"&amp;MONTH(E7),59:59)</f>
        <v>100</v>
      </c>
      <c r="G7" s="411">
        <v>43952</v>
      </c>
      <c r="H7" s="410">
        <f>SUMIF(58:58,YEAR(G7)&amp;"-"&amp;MONTH(G7),59:59)</f>
        <v>100</v>
      </c>
      <c r="I7" s="411">
        <v>43952</v>
      </c>
      <c r="J7" s="410">
        <f>SUMIF(58:58,YEAR(I7)&amp;"-"&amp;MONTH(I7),59:59)</f>
        <v>100</v>
      </c>
      <c r="K7" s="610"/>
      <c r="L7" s="1131"/>
      <c r="M7" s="1132"/>
      <c r="N7" s="1132"/>
      <c r="O7" s="1132"/>
      <c r="P7" s="3158" t="s">
        <v>2548</v>
      </c>
      <c r="Q7" s="3185"/>
      <c r="R7" s="769" t="s">
        <v>17</v>
      </c>
      <c r="S7" s="770">
        <f t="shared" ref="S7:S15" si="0">F7</f>
        <v>100</v>
      </c>
      <c r="T7" s="769" t="s">
        <v>17</v>
      </c>
      <c r="U7" s="770">
        <f t="shared" ref="U7:U15" si="1">H7</f>
        <v>100</v>
      </c>
      <c r="V7" s="769" t="s">
        <v>17</v>
      </c>
      <c r="W7" s="770">
        <f t="shared" ref="W7:W15" si="2">J7</f>
        <v>100</v>
      </c>
      <c r="X7" s="771"/>
      <c r="Y7" s="3158" t="s">
        <v>2548</v>
      </c>
      <c r="Z7" s="3159"/>
      <c r="AA7" s="772">
        <f>D7/F7</f>
        <v>1</v>
      </c>
      <c r="AB7" s="772">
        <f>D7/H7</f>
        <v>1</v>
      </c>
      <c r="AC7" s="772">
        <f>D7/J7</f>
        <v>1</v>
      </c>
    </row>
    <row r="8" spans="1:29" s="116" customFormat="1" ht="15.75" thickBot="1">
      <c r="A8" s="407" t="s">
        <v>2549</v>
      </c>
      <c r="B8" s="408"/>
      <c r="C8" s="413" t="s">
        <v>2651</v>
      </c>
      <c r="D8" s="410">
        <v>100</v>
      </c>
      <c r="E8" s="413" t="s">
        <v>3107</v>
      </c>
      <c r="F8" s="412">
        <f>SUMIF(61:61,E8,62:62)-SUMIF(61:61,C8,62:62)+100</f>
        <v>100</v>
      </c>
      <c r="G8" s="413" t="s">
        <v>3107</v>
      </c>
      <c r="H8" s="410">
        <f>SUMIF(61:61,G8,62:62)-SUMIF(61:61,C8,62:62)+100</f>
        <v>100</v>
      </c>
      <c r="I8" s="413" t="s">
        <v>3107</v>
      </c>
      <c r="J8" s="410">
        <f>SUMIF(61:61,I8,62:62)-SUMIF(61:61,C8,62:62)+100</f>
        <v>100</v>
      </c>
      <c r="K8" s="610"/>
      <c r="L8" s="1131"/>
      <c r="M8" s="1132"/>
      <c r="N8" s="1132"/>
      <c r="O8" s="1132"/>
      <c r="P8" s="3158" t="s">
        <v>2551</v>
      </c>
      <c r="Q8" s="3159"/>
      <c r="R8" s="769" t="s">
        <v>17</v>
      </c>
      <c r="S8" s="770">
        <f t="shared" si="0"/>
        <v>100</v>
      </c>
      <c r="T8" s="769" t="s">
        <v>17</v>
      </c>
      <c r="U8" s="770">
        <f t="shared" si="1"/>
        <v>100</v>
      </c>
      <c r="V8" s="769" t="s">
        <v>17</v>
      </c>
      <c r="W8" s="770">
        <f t="shared" si="2"/>
        <v>100</v>
      </c>
      <c r="X8" s="771"/>
      <c r="Y8" s="3158" t="s">
        <v>2551</v>
      </c>
      <c r="Z8" s="3159"/>
      <c r="AA8" s="772">
        <f t="shared" ref="AA8:AA46" si="3">D8/F8</f>
        <v>1</v>
      </c>
      <c r="AB8" s="772">
        <f t="shared" ref="AB8:AB46" si="4">D8/H8</f>
        <v>1</v>
      </c>
      <c r="AC8" s="772">
        <f t="shared" ref="AC8:AC46" si="5">D8/J8</f>
        <v>1</v>
      </c>
    </row>
    <row r="9" spans="1:29" s="116" customFormat="1">
      <c r="A9" s="414" t="s">
        <v>2552</v>
      </c>
      <c r="B9" s="70" t="s">
        <v>2553</v>
      </c>
      <c r="C9" s="2958" t="s">
        <v>3108</v>
      </c>
      <c r="D9" s="134">
        <v>100</v>
      </c>
      <c r="E9" s="416" t="s">
        <v>1372</v>
      </c>
      <c r="F9" s="417">
        <f>SUMIF(63:63,E9,64:64)-SUMIF(63:63,C9,64:64)+100</f>
        <v>100</v>
      </c>
      <c r="G9" s="416" t="s">
        <v>1372</v>
      </c>
      <c r="H9" s="134">
        <f>SUMIF(63:63,G9,64:64)-SUMIF(63:63,C9,64:64)+100</f>
        <v>100</v>
      </c>
      <c r="I9" s="416" t="s">
        <v>1372</v>
      </c>
      <c r="J9" s="134">
        <f>SUMIF(63:63,I9,64:64)-SUMIF(63:63,C9,64:64)+100</f>
        <v>100</v>
      </c>
      <c r="K9" s="610"/>
      <c r="L9" s="1131"/>
      <c r="M9" s="1132"/>
      <c r="N9" s="1132"/>
      <c r="O9" s="1132"/>
      <c r="P9" s="3172" t="s">
        <v>2554</v>
      </c>
      <c r="Q9" s="1794" t="str">
        <f t="shared" ref="Q9:Q15" si="6">B9</f>
        <v>用途</v>
      </c>
      <c r="R9" s="769" t="s">
        <v>17</v>
      </c>
      <c r="S9" s="770">
        <f t="shared" si="0"/>
        <v>100</v>
      </c>
      <c r="T9" s="769" t="s">
        <v>17</v>
      </c>
      <c r="U9" s="770">
        <f t="shared" si="1"/>
        <v>100</v>
      </c>
      <c r="V9" s="769" t="s">
        <v>17</v>
      </c>
      <c r="W9" s="770">
        <f t="shared" si="2"/>
        <v>100</v>
      </c>
      <c r="X9" s="771"/>
      <c r="Y9" s="3031" t="s">
        <v>2555</v>
      </c>
      <c r="Z9" s="54" t="str">
        <f t="shared" ref="Z9:Z15" si="7">Q9</f>
        <v>用途</v>
      </c>
      <c r="AA9" s="772">
        <f t="shared" si="3"/>
        <v>1</v>
      </c>
      <c r="AB9" s="772">
        <f t="shared" si="4"/>
        <v>1</v>
      </c>
      <c r="AC9" s="772">
        <f t="shared" si="5"/>
        <v>1</v>
      </c>
    </row>
    <row r="10" spans="1:29" s="426" customFormat="1" ht="27">
      <c r="A10" s="420"/>
      <c r="B10" s="421" t="s">
        <v>2556</v>
      </c>
      <c r="C10" s="422" t="s">
        <v>3109</v>
      </c>
      <c r="D10" s="135">
        <v>100</v>
      </c>
      <c r="E10" s="422" t="s">
        <v>3109</v>
      </c>
      <c r="F10" s="424">
        <f>SUMIF(65:65,E10,66:66)-SUMIF(65:65,C10,66:66)+100</f>
        <v>100</v>
      </c>
      <c r="G10" s="422" t="s">
        <v>3109</v>
      </c>
      <c r="H10" s="135">
        <f>SUMIF(65:65,G10,66:66)-SUMIF(65:65,C10,66:66)+100</f>
        <v>100</v>
      </c>
      <c r="I10" s="422" t="s">
        <v>3109</v>
      </c>
      <c r="J10" s="135">
        <f>SUMIF(65:65,I10,66:66)-SUMIF(65:65,C10,66:66)+100</f>
        <v>100</v>
      </c>
      <c r="K10" s="611">
        <v>2</v>
      </c>
      <c r="L10" s="1134"/>
      <c r="M10" s="1135"/>
      <c r="N10" s="1135"/>
      <c r="O10" s="1135"/>
      <c r="P10" s="3172"/>
      <c r="Q10" s="1794"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7"/>
      <c r="M11" s="1130"/>
      <c r="N11" s="1130"/>
      <c r="O11" s="1130"/>
      <c r="P11" s="3172"/>
      <c r="Q11" s="1794" t="str">
        <f t="shared" si="6"/>
        <v>容积率</v>
      </c>
      <c r="R11" s="769" t="s">
        <v>17</v>
      </c>
      <c r="S11" s="770">
        <f t="shared" si="0"/>
        <v>100</v>
      </c>
      <c r="T11" s="769" t="s">
        <v>17</v>
      </c>
      <c r="U11" s="770">
        <f t="shared" si="1"/>
        <v>100</v>
      </c>
      <c r="V11" s="769" t="s">
        <v>17</v>
      </c>
      <c r="W11" s="770">
        <f t="shared" si="2"/>
        <v>100</v>
      </c>
      <c r="X11" s="771"/>
      <c r="Y11" s="3031"/>
      <c r="Z11" s="54" t="str">
        <f t="shared" si="7"/>
        <v>容积率</v>
      </c>
      <c r="AA11" s="772">
        <f t="shared" si="3"/>
        <v>1</v>
      </c>
      <c r="AB11" s="772">
        <f t="shared" si="4"/>
        <v>1</v>
      </c>
      <c r="AC11" s="772">
        <f t="shared" si="5"/>
        <v>1</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72"/>
      <c r="Q12" s="1794">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72"/>
      <c r="Q13" s="1794">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72"/>
      <c r="Q14" s="1794">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71.25">
      <c r="A15" s="439" t="s">
        <v>2558</v>
      </c>
      <c r="B15" s="68" t="s">
        <v>2652</v>
      </c>
      <c r="C15" s="2604" t="str">
        <f>估价对象房地状况!C4</f>
        <v>估价对象位于XX商圈，周边商业氛围成熟，人流量大，商业繁华度好</v>
      </c>
      <c r="D15" s="440">
        <v>100</v>
      </c>
      <c r="E15" s="441"/>
      <c r="F15" s="442">
        <f>SUMIF(76:76,E16,77:77)-SUMIF(76:76,C16,77:77)+100</f>
        <v>105</v>
      </c>
      <c r="G15" s="443"/>
      <c r="H15" s="440">
        <f>SUMIF(76:76,G16,77:77)-SUMIF(76:76,C16,77:77)+100</f>
        <v>105</v>
      </c>
      <c r="I15" s="441"/>
      <c r="J15" s="440">
        <f>SUMIF(76:76,I16,77:77)-SUMIF(76:76,C16,77:77)+100</f>
        <v>100</v>
      </c>
      <c r="K15" s="613">
        <v>5</v>
      </c>
      <c r="L15" s="1139"/>
      <c r="M15" s="1130"/>
      <c r="N15" s="1130"/>
      <c r="O15" s="1130"/>
      <c r="P15" s="3186" t="s">
        <v>2559</v>
      </c>
      <c r="Q15" s="1809" t="str">
        <f t="shared" si="6"/>
        <v>商业繁华度</v>
      </c>
      <c r="R15" s="773" t="s">
        <v>17</v>
      </c>
      <c r="S15" s="774">
        <f t="shared" si="0"/>
        <v>105</v>
      </c>
      <c r="T15" s="773" t="s">
        <v>17</v>
      </c>
      <c r="U15" s="774">
        <f t="shared" si="1"/>
        <v>105</v>
      </c>
      <c r="V15" s="773" t="s">
        <v>17</v>
      </c>
      <c r="W15" s="774">
        <f t="shared" si="2"/>
        <v>100</v>
      </c>
      <c r="X15" s="1812"/>
      <c r="Y15" s="3188" t="s">
        <v>2559</v>
      </c>
      <c r="Z15" s="1813" t="str">
        <f t="shared" si="7"/>
        <v>商业繁华度</v>
      </c>
      <c r="AA15" s="1810">
        <f t="shared" si="3"/>
        <v>0.95238095238095233</v>
      </c>
      <c r="AB15" s="1810">
        <f t="shared" si="4"/>
        <v>0.95238095238095233</v>
      </c>
      <c r="AC15" s="1810">
        <f t="shared" si="5"/>
        <v>1</v>
      </c>
    </row>
    <row r="16" spans="1:29" ht="15">
      <c r="A16" s="427"/>
      <c r="B16" s="445"/>
      <c r="C16" s="446" t="s">
        <v>3139</v>
      </c>
      <c r="D16" s="447"/>
      <c r="E16" s="446" t="s">
        <v>3136</v>
      </c>
      <c r="F16" s="448"/>
      <c r="G16" s="446" t="s">
        <v>3136</v>
      </c>
      <c r="H16" s="449"/>
      <c r="I16" s="446" t="s">
        <v>3139</v>
      </c>
      <c r="J16" s="447"/>
      <c r="K16" s="614"/>
      <c r="L16" s="1139"/>
      <c r="M16" s="1130"/>
      <c r="N16" s="1130"/>
      <c r="O16" s="1130"/>
      <c r="P16" s="3187"/>
      <c r="Q16" s="1809"/>
      <c r="R16" s="773"/>
      <c r="S16" s="774"/>
      <c r="T16" s="773"/>
      <c r="U16" s="774"/>
      <c r="V16" s="773"/>
      <c r="W16" s="774"/>
      <c r="X16" s="1812"/>
      <c r="Y16" s="3189"/>
      <c r="Z16" s="1813"/>
      <c r="AA16" s="1810">
        <v>1</v>
      </c>
      <c r="AB16" s="1810">
        <v>1</v>
      </c>
      <c r="AC16" s="1810">
        <v>1</v>
      </c>
    </row>
    <row r="17" spans="1:29" ht="85.5">
      <c r="A17" s="427"/>
      <c r="B17" s="450" t="s">
        <v>2095</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39"/>
      <c r="M17" s="1130"/>
      <c r="N17" s="1130"/>
      <c r="O17" s="1130"/>
      <c r="P17" s="3187"/>
      <c r="Q17" s="1809" t="str">
        <f>B17</f>
        <v>交通便捷度</v>
      </c>
      <c r="R17" s="773" t="s">
        <v>17</v>
      </c>
      <c r="S17" s="774">
        <f>F17</f>
        <v>100</v>
      </c>
      <c r="T17" s="773" t="s">
        <v>17</v>
      </c>
      <c r="U17" s="774">
        <f>H17</f>
        <v>100</v>
      </c>
      <c r="V17" s="773" t="s">
        <v>17</v>
      </c>
      <c r="W17" s="774">
        <f>J17</f>
        <v>100</v>
      </c>
      <c r="X17" s="1812"/>
      <c r="Y17" s="3189"/>
      <c r="Z17" s="1813" t="str">
        <f>Q17</f>
        <v>交通便捷度</v>
      </c>
      <c r="AA17" s="1810">
        <f t="shared" si="3"/>
        <v>1</v>
      </c>
      <c r="AB17" s="1810">
        <f t="shared" si="4"/>
        <v>1</v>
      </c>
      <c r="AC17" s="1810">
        <f t="shared" si="5"/>
        <v>1</v>
      </c>
    </row>
    <row r="18" spans="1:29" ht="15">
      <c r="A18" s="427"/>
      <c r="B18" s="455"/>
      <c r="C18" s="2609" t="s">
        <v>3139</v>
      </c>
      <c r="D18" s="449"/>
      <c r="E18" s="2611" t="s">
        <v>3139</v>
      </c>
      <c r="F18" s="452"/>
      <c r="G18" s="2610" t="s">
        <v>3139</v>
      </c>
      <c r="H18" s="447"/>
      <c r="I18" s="2611" t="s">
        <v>3139</v>
      </c>
      <c r="J18" s="447"/>
      <c r="K18" s="614"/>
      <c r="L18" s="1139"/>
      <c r="M18" s="1130"/>
      <c r="N18" s="1130"/>
      <c r="O18" s="1130"/>
      <c r="P18" s="3187"/>
      <c r="Q18" s="1809"/>
      <c r="R18" s="773"/>
      <c r="S18" s="774"/>
      <c r="T18" s="773"/>
      <c r="U18" s="774"/>
      <c r="V18" s="773"/>
      <c r="W18" s="774"/>
      <c r="X18" s="1812"/>
      <c r="Y18" s="3189"/>
      <c r="Z18" s="1813"/>
      <c r="AA18" s="1810">
        <v>1</v>
      </c>
      <c r="AB18" s="1810">
        <v>1</v>
      </c>
      <c r="AC18" s="1810">
        <v>1</v>
      </c>
    </row>
    <row r="19" spans="1:29" ht="42.75">
      <c r="A19" s="427"/>
      <c r="B19" s="450" t="s">
        <v>2653</v>
      </c>
      <c r="C19" s="2608" t="str">
        <f>估价对象房地状况!C7</f>
        <v>估价对象所在区域公共配套设施齐备情况</v>
      </c>
      <c r="D19" s="454">
        <v>100</v>
      </c>
      <c r="E19" s="456"/>
      <c r="F19" s="457">
        <f>SUMIF(80:80,E20,81:81)-SUMIF(80:80,C20,81:81)+100</f>
        <v>103</v>
      </c>
      <c r="G19" s="458"/>
      <c r="H19" s="449">
        <f>SUMIF(80:80,G20,81:81)-SUMIF(80:80,C20,81:81)+100</f>
        <v>103</v>
      </c>
      <c r="I19" s="456"/>
      <c r="J19" s="449">
        <f>SUMIF(80:80,I20,81:81)-SUMIF(80:80,C20,81:81)+100</f>
        <v>100</v>
      </c>
      <c r="K19" s="613">
        <v>3</v>
      </c>
      <c r="L19" s="1139"/>
      <c r="M19" s="1130"/>
      <c r="N19" s="1130"/>
      <c r="O19" s="1130"/>
      <c r="P19" s="3187"/>
      <c r="Q19" s="1809" t="str">
        <f>B19</f>
        <v>公共配套设施</v>
      </c>
      <c r="R19" s="773" t="s">
        <v>17</v>
      </c>
      <c r="S19" s="774">
        <f>F19</f>
        <v>103</v>
      </c>
      <c r="T19" s="773" t="s">
        <v>17</v>
      </c>
      <c r="U19" s="774">
        <f>H19</f>
        <v>103</v>
      </c>
      <c r="V19" s="773" t="s">
        <v>17</v>
      </c>
      <c r="W19" s="774">
        <f>J19</f>
        <v>100</v>
      </c>
      <c r="X19" s="1812"/>
      <c r="Y19" s="3189"/>
      <c r="Z19" s="1813" t="str">
        <f>Q19</f>
        <v>公共配套设施</v>
      </c>
      <c r="AA19" s="1810">
        <f t="shared" si="3"/>
        <v>0.970873786407767</v>
      </c>
      <c r="AB19" s="1810">
        <f t="shared" si="4"/>
        <v>0.970873786407767</v>
      </c>
      <c r="AC19" s="1810">
        <f t="shared" si="5"/>
        <v>1</v>
      </c>
    </row>
    <row r="20" spans="1:29" ht="15">
      <c r="A20" s="427"/>
      <c r="B20" s="455"/>
      <c r="C20" s="446" t="s">
        <v>3139</v>
      </c>
      <c r="D20" s="447"/>
      <c r="E20" s="2606" t="s">
        <v>3136</v>
      </c>
      <c r="F20" s="448"/>
      <c r="G20" s="2605" t="s">
        <v>3136</v>
      </c>
      <c r="H20" s="447"/>
      <c r="I20" s="2606" t="s">
        <v>3139</v>
      </c>
      <c r="J20" s="447"/>
      <c r="K20" s="614"/>
      <c r="L20" s="1139"/>
      <c r="M20" s="1130"/>
      <c r="N20" s="1130"/>
      <c r="O20" s="1130"/>
      <c r="P20" s="3187"/>
      <c r="Q20" s="1809"/>
      <c r="R20" s="773"/>
      <c r="S20" s="774"/>
      <c r="T20" s="773"/>
      <c r="U20" s="774"/>
      <c r="V20" s="773"/>
      <c r="W20" s="774"/>
      <c r="X20" s="1812"/>
      <c r="Y20" s="3189"/>
      <c r="Z20" s="1813"/>
      <c r="AA20" s="1810">
        <v>1</v>
      </c>
      <c r="AB20" s="1810">
        <v>1</v>
      </c>
      <c r="AC20" s="1810">
        <v>1</v>
      </c>
    </row>
    <row r="21" spans="1:29" ht="28.5">
      <c r="A21" s="427"/>
      <c r="B21" s="1383" t="s">
        <v>2654</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187"/>
      <c r="Q21" s="1809" t="str">
        <f>B21</f>
        <v>基础设施水平</v>
      </c>
      <c r="R21" s="773" t="s">
        <v>17</v>
      </c>
      <c r="S21" s="774">
        <f>F21</f>
        <v>100</v>
      </c>
      <c r="T21" s="773" t="s">
        <v>17</v>
      </c>
      <c r="U21" s="774">
        <f>H21</f>
        <v>100</v>
      </c>
      <c r="V21" s="773" t="s">
        <v>17</v>
      </c>
      <c r="W21" s="774">
        <f>J21</f>
        <v>100</v>
      </c>
      <c r="X21" s="1812"/>
      <c r="Y21" s="3189"/>
      <c r="Z21" s="1813" t="str">
        <f>Q21</f>
        <v>基础设施水平</v>
      </c>
      <c r="AA21" s="1810">
        <f t="shared" ref="AA21" si="8">D21/F21</f>
        <v>1</v>
      </c>
      <c r="AB21" s="1810">
        <f t="shared" ref="AB21" si="9">D21/H21</f>
        <v>1</v>
      </c>
      <c r="AC21" s="1810">
        <f t="shared" ref="AC21" si="10">D21/J21</f>
        <v>1</v>
      </c>
    </row>
    <row r="22" spans="1:29" ht="15">
      <c r="A22" s="427"/>
      <c r="B22" s="1383"/>
      <c r="C22" s="2609" t="s">
        <v>3140</v>
      </c>
      <c r="D22" s="447"/>
      <c r="E22" s="446" t="s">
        <v>3140</v>
      </c>
      <c r="F22" s="448"/>
      <c r="G22" s="446" t="s">
        <v>3140</v>
      </c>
      <c r="H22" s="447"/>
      <c r="I22" s="446" t="s">
        <v>3140</v>
      </c>
      <c r="J22" s="447"/>
      <c r="K22" s="1382"/>
      <c r="L22" s="1139"/>
      <c r="M22" s="1130"/>
      <c r="N22" s="1130"/>
      <c r="O22" s="1130"/>
      <c r="P22" s="3187"/>
      <c r="Q22" s="1809"/>
      <c r="R22" s="773"/>
      <c r="S22" s="774"/>
      <c r="T22" s="773"/>
      <c r="U22" s="774"/>
      <c r="V22" s="773"/>
      <c r="W22" s="774"/>
      <c r="X22" s="1812"/>
      <c r="Y22" s="3189"/>
      <c r="Z22" s="1813"/>
      <c r="AA22" s="1810">
        <v>1</v>
      </c>
      <c r="AB22" s="1810">
        <v>1</v>
      </c>
      <c r="AC22" s="1810">
        <v>1</v>
      </c>
    </row>
    <row r="23" spans="1:29" ht="57">
      <c r="A23" s="427"/>
      <c r="B23" s="450" t="s">
        <v>2100</v>
      </c>
      <c r="C23" s="2665" t="str">
        <f>估价对象房地状况!C9</f>
        <v>区域自然环境：；人文环境；综合评价环境状况一般</v>
      </c>
      <c r="D23" s="449">
        <v>100</v>
      </c>
      <c r="E23" s="451"/>
      <c r="F23" s="452">
        <f>SUMIF(84:84,E24,85:85)-SUMIF(84:84,C24,85:85)+100</f>
        <v>98</v>
      </c>
      <c r="G23" s="453"/>
      <c r="H23" s="449">
        <f>SUMIF(84:84,G24,85:85)-SUMIF(84:84,C24,85:85)+100</f>
        <v>100</v>
      </c>
      <c r="I23" s="451"/>
      <c r="J23" s="449">
        <f>SUMIF(84:84,I24,85:85)-SUMIF(84:84,C24,85:85)+100</f>
        <v>98</v>
      </c>
      <c r="K23" s="613">
        <v>2</v>
      </c>
      <c r="L23" s="1139"/>
      <c r="M23" s="1130"/>
      <c r="N23" s="1130"/>
      <c r="O23" s="1130"/>
      <c r="P23" s="3187"/>
      <c r="Q23" s="1809" t="str">
        <f>B23</f>
        <v>自然及人文环境</v>
      </c>
      <c r="R23" s="773" t="s">
        <v>17</v>
      </c>
      <c r="S23" s="774">
        <f>F23</f>
        <v>98</v>
      </c>
      <c r="T23" s="773" t="s">
        <v>17</v>
      </c>
      <c r="U23" s="774">
        <f>H23</f>
        <v>100</v>
      </c>
      <c r="V23" s="773" t="s">
        <v>17</v>
      </c>
      <c r="W23" s="774">
        <f>J23</f>
        <v>98</v>
      </c>
      <c r="X23" s="1812"/>
      <c r="Y23" s="3189"/>
      <c r="Z23" s="1813" t="str">
        <f>Q23</f>
        <v>自然及人文环境</v>
      </c>
      <c r="AA23" s="1810">
        <f t="shared" si="3"/>
        <v>1.0204081632653061</v>
      </c>
      <c r="AB23" s="1810">
        <f t="shared" si="4"/>
        <v>1</v>
      </c>
      <c r="AC23" s="1810">
        <f t="shared" si="5"/>
        <v>1.0204081632653061</v>
      </c>
    </row>
    <row r="24" spans="1:29" ht="15">
      <c r="A24" s="427"/>
      <c r="B24" s="455"/>
      <c r="C24" s="446" t="s">
        <v>3139</v>
      </c>
      <c r="D24" s="447"/>
      <c r="E24" s="2606" t="s">
        <v>3141</v>
      </c>
      <c r="F24" s="448"/>
      <c r="G24" s="2605" t="s">
        <v>3139</v>
      </c>
      <c r="H24" s="447"/>
      <c r="I24" s="2606" t="s">
        <v>3141</v>
      </c>
      <c r="J24" s="447"/>
      <c r="K24" s="614"/>
      <c r="L24" s="1139"/>
      <c r="M24" s="1130"/>
      <c r="N24" s="1130"/>
      <c r="O24" s="1130"/>
      <c r="P24" s="3187"/>
      <c r="Q24" s="1809"/>
      <c r="R24" s="773"/>
      <c r="S24" s="774"/>
      <c r="T24" s="773"/>
      <c r="U24" s="774"/>
      <c r="V24" s="773"/>
      <c r="W24" s="774"/>
      <c r="X24" s="1812"/>
      <c r="Y24" s="3189"/>
      <c r="Z24" s="1813"/>
      <c r="AA24" s="1810">
        <v>1</v>
      </c>
      <c r="AB24" s="1810">
        <v>1</v>
      </c>
      <c r="AC24" s="1810">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87"/>
      <c r="Q25" s="1809" t="str">
        <f t="shared" ref="Q25:Q46" si="11">B25</f>
        <v>临街状况</v>
      </c>
      <c r="R25" s="773" t="s">
        <v>17</v>
      </c>
      <c r="S25" s="774">
        <f>F25</f>
        <v>100</v>
      </c>
      <c r="T25" s="773" t="s">
        <v>17</v>
      </c>
      <c r="U25" s="774">
        <f>H25</f>
        <v>100</v>
      </c>
      <c r="V25" s="773" t="s">
        <v>17</v>
      </c>
      <c r="W25" s="774">
        <f>J25</f>
        <v>100</v>
      </c>
      <c r="X25" s="1812"/>
      <c r="Y25" s="3189"/>
      <c r="Z25" s="1813" t="str">
        <f>Q25</f>
        <v>临街状况</v>
      </c>
      <c r="AA25" s="1810">
        <f t="shared" si="3"/>
        <v>1</v>
      </c>
      <c r="AB25" s="1810">
        <f t="shared" si="4"/>
        <v>1</v>
      </c>
      <c r="AC25" s="1810">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87"/>
      <c r="Q26" s="1809" t="str">
        <f t="shared" si="11"/>
        <v>平面位置/可视性</v>
      </c>
      <c r="R26" s="773" t="s">
        <v>17</v>
      </c>
      <c r="S26" s="774">
        <f>F26</f>
        <v>100</v>
      </c>
      <c r="T26" s="773" t="s">
        <v>17</v>
      </c>
      <c r="U26" s="774">
        <f>H26</f>
        <v>100</v>
      </c>
      <c r="V26" s="773" t="s">
        <v>17</v>
      </c>
      <c r="W26" s="774">
        <f>J26</f>
        <v>100</v>
      </c>
      <c r="X26" s="1812"/>
      <c r="Y26" s="3189"/>
      <c r="Z26" s="1813" t="str">
        <f>Q26</f>
        <v>平面位置/可视性</v>
      </c>
      <c r="AA26" s="1810">
        <f t="shared" si="3"/>
        <v>1</v>
      </c>
      <c r="AB26" s="1810">
        <f t="shared" si="4"/>
        <v>1</v>
      </c>
      <c r="AC26" s="1810">
        <f t="shared" si="5"/>
        <v>1</v>
      </c>
    </row>
    <row r="27" spans="1:29" s="116" customFormat="1" ht="15">
      <c r="A27" s="430"/>
      <c r="B27" s="450" t="s">
        <v>2657</v>
      </c>
      <c r="C27" s="2666"/>
      <c r="D27" s="461">
        <v>100</v>
      </c>
      <c r="E27" s="2666"/>
      <c r="F27" s="463">
        <f>SUMIF(90:90,E27,91:91)-SUMIF(90:90,C27,91:91)+100</f>
        <v>100</v>
      </c>
      <c r="G27" s="2666"/>
      <c r="H27" s="461">
        <f>SUMIF(90:90,G27,91:91)-SUMIF(90:90,C27,91:91)+100</f>
        <v>100</v>
      </c>
      <c r="I27" s="2666"/>
      <c r="J27" s="461">
        <f>SUMIF(90:90,I27,91:91)-SUMIF(90:90,C27,91:91)+100</f>
        <v>100</v>
      </c>
      <c r="K27" s="611"/>
      <c r="L27" s="1131"/>
      <c r="M27" s="1132"/>
      <c r="N27" s="1132"/>
      <c r="O27" s="1132"/>
      <c r="P27" s="3187"/>
      <c r="Q27" s="1794" t="str">
        <f t="shared" si="11"/>
        <v>人流量</v>
      </c>
      <c r="R27" s="769" t="s">
        <v>17</v>
      </c>
      <c r="S27" s="770">
        <f>F27</f>
        <v>100</v>
      </c>
      <c r="T27" s="769" t="s">
        <v>17</v>
      </c>
      <c r="U27" s="770">
        <f>H27</f>
        <v>100</v>
      </c>
      <c r="V27" s="769" t="s">
        <v>17</v>
      </c>
      <c r="W27" s="770">
        <f>J27</f>
        <v>100</v>
      </c>
      <c r="X27" s="771"/>
      <c r="Y27" s="3189"/>
      <c r="Z27" s="54" t="str">
        <f>Q27</f>
        <v>人流量</v>
      </c>
      <c r="AA27" s="1810">
        <f>D27/F27</f>
        <v>1</v>
      </c>
      <c r="AB27" s="1810">
        <f>D27/H27</f>
        <v>1</v>
      </c>
      <c r="AC27" s="1810">
        <f>D27/J27</f>
        <v>1</v>
      </c>
    </row>
    <row r="28" spans="1:29" ht="15">
      <c r="A28" s="427"/>
      <c r="B28" s="421" t="s">
        <v>2658</v>
      </c>
      <c r="C28" s="615" t="s">
        <v>3115</v>
      </c>
      <c r="D28" s="434">
        <v>100</v>
      </c>
      <c r="E28" s="615" t="s">
        <v>3115</v>
      </c>
      <c r="F28" s="460">
        <f>SUMIF(92:92,E28,93:93)-SUMIF(92:92,C28,93:93)+100</f>
        <v>100</v>
      </c>
      <c r="G28" s="615" t="s">
        <v>3144</v>
      </c>
      <c r="H28" s="434">
        <f>SUMIF(92:92,G28,93:93)-SUMIF(92:92,C28,93:93)+100</f>
        <v>120</v>
      </c>
      <c r="I28" s="615" t="s">
        <v>3116</v>
      </c>
      <c r="J28" s="434">
        <f>SUMIF(92:92,I28,93:93)-SUMIF(92:92,C28,93:93)+100</f>
        <v>90</v>
      </c>
      <c r="K28" s="612"/>
      <c r="L28" s="1139"/>
      <c r="M28" s="1130"/>
      <c r="N28" s="1130"/>
      <c r="O28" s="1130"/>
      <c r="P28" s="3187"/>
      <c r="Q28" s="1809" t="str">
        <f t="shared" si="11"/>
        <v>楼层</v>
      </c>
      <c r="R28" s="773" t="s">
        <v>17</v>
      </c>
      <c r="S28" s="774">
        <f t="shared" ref="S28:S46" si="12">F28</f>
        <v>100</v>
      </c>
      <c r="T28" s="773" t="s">
        <v>17</v>
      </c>
      <c r="U28" s="774">
        <f t="shared" ref="U28:U46" si="13">H28</f>
        <v>120</v>
      </c>
      <c r="V28" s="773" t="s">
        <v>17</v>
      </c>
      <c r="W28" s="774">
        <f t="shared" ref="W28:W46" si="14">J28</f>
        <v>90</v>
      </c>
      <c r="X28" s="1812"/>
      <c r="Y28" s="3189"/>
      <c r="Z28" s="1813" t="str">
        <f t="shared" ref="Z28:Z46" si="15">Q28</f>
        <v>楼层</v>
      </c>
      <c r="AA28" s="1810">
        <f t="shared" si="3"/>
        <v>1</v>
      </c>
      <c r="AB28" s="1810">
        <f t="shared" si="4"/>
        <v>0.83333333333333337</v>
      </c>
      <c r="AC28" s="1810">
        <f t="shared" si="5"/>
        <v>1.1111111111111112</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87"/>
      <c r="Q29" s="1809">
        <f t="shared" si="11"/>
        <v>111</v>
      </c>
      <c r="R29" s="773" t="s">
        <v>17</v>
      </c>
      <c r="S29" s="774">
        <f t="shared" si="12"/>
        <v>100</v>
      </c>
      <c r="T29" s="773" t="s">
        <v>17</v>
      </c>
      <c r="U29" s="774">
        <f t="shared" si="13"/>
        <v>100</v>
      </c>
      <c r="V29" s="773" t="s">
        <v>17</v>
      </c>
      <c r="W29" s="774">
        <f t="shared" si="14"/>
        <v>100</v>
      </c>
      <c r="X29" s="1812"/>
      <c r="Y29" s="3189"/>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87"/>
      <c r="Q30" s="1809">
        <f t="shared" si="11"/>
        <v>111</v>
      </c>
      <c r="R30" s="773" t="s">
        <v>17</v>
      </c>
      <c r="S30" s="774">
        <f t="shared" si="12"/>
        <v>100</v>
      </c>
      <c r="T30" s="773" t="s">
        <v>17</v>
      </c>
      <c r="U30" s="774">
        <f t="shared" si="13"/>
        <v>100</v>
      </c>
      <c r="V30" s="773" t="s">
        <v>17</v>
      </c>
      <c r="W30" s="774">
        <f t="shared" si="14"/>
        <v>100</v>
      </c>
      <c r="X30" s="1812"/>
      <c r="Y30" s="3189"/>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87"/>
      <c r="Q31" s="1809">
        <f t="shared" si="11"/>
        <v>111</v>
      </c>
      <c r="R31" s="773" t="s">
        <v>17</v>
      </c>
      <c r="S31" s="774">
        <f t="shared" si="12"/>
        <v>100</v>
      </c>
      <c r="T31" s="773" t="s">
        <v>17</v>
      </c>
      <c r="U31" s="774">
        <f t="shared" si="13"/>
        <v>100</v>
      </c>
      <c r="V31" s="773" t="s">
        <v>17</v>
      </c>
      <c r="W31" s="774">
        <f t="shared" si="14"/>
        <v>100</v>
      </c>
      <c r="X31" s="1812"/>
      <c r="Y31" s="3189"/>
      <c r="Z31" s="1813">
        <f t="shared" si="15"/>
        <v>111</v>
      </c>
      <c r="AA31" s="1810">
        <f t="shared" si="3"/>
        <v>1</v>
      </c>
      <c r="AB31" s="1810">
        <f t="shared" si="4"/>
        <v>1</v>
      </c>
      <c r="AC31" s="1810">
        <f t="shared" si="5"/>
        <v>1</v>
      </c>
    </row>
    <row r="32" spans="1:29" ht="15">
      <c r="A32" s="439" t="s">
        <v>2562</v>
      </c>
      <c r="B32" s="70" t="s">
        <v>2659</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39"/>
      <c r="M32" s="1130"/>
      <c r="N32" s="1130"/>
      <c r="O32" s="1130"/>
      <c r="P32" s="3190" t="s">
        <v>2564</v>
      </c>
      <c r="Q32" s="1809" t="str">
        <f t="shared" si="11"/>
        <v>商业类型</v>
      </c>
      <c r="R32" s="773" t="s">
        <v>17</v>
      </c>
      <c r="S32" s="774">
        <f t="shared" si="12"/>
        <v>100</v>
      </c>
      <c r="T32" s="773" t="s">
        <v>17</v>
      </c>
      <c r="U32" s="774">
        <f t="shared" si="13"/>
        <v>100</v>
      </c>
      <c r="V32" s="773" t="s">
        <v>17</v>
      </c>
      <c r="W32" s="774">
        <f t="shared" si="14"/>
        <v>100</v>
      </c>
      <c r="X32" s="1812"/>
      <c r="Y32" s="3193" t="s">
        <v>2564</v>
      </c>
      <c r="Z32" s="1813" t="str">
        <f t="shared" si="15"/>
        <v>商业类型</v>
      </c>
      <c r="AA32" s="1810">
        <f t="shared" si="3"/>
        <v>1</v>
      </c>
      <c r="AB32" s="1810">
        <f t="shared" si="4"/>
        <v>1</v>
      </c>
      <c r="AC32" s="1810">
        <f t="shared" si="5"/>
        <v>1</v>
      </c>
    </row>
    <row r="33" spans="1:29" s="470" customFormat="1" ht="15">
      <c r="A33" s="467"/>
      <c r="B33" s="421" t="s">
        <v>2565</v>
      </c>
      <c r="C33" s="468">
        <f>'数据-基础表'!I13</f>
        <v>3967.28</v>
      </c>
      <c r="D33" s="135">
        <v>100</v>
      </c>
      <c r="E33" s="429">
        <v>124</v>
      </c>
      <c r="F33" s="424">
        <f>LOOKUP(E33,103:103,104:104)-LOOKUP(C33,103:103,104:104)+100</f>
        <v>104</v>
      </c>
      <c r="G33" s="428">
        <v>136</v>
      </c>
      <c r="H33" s="135">
        <f>LOOKUP(G33,103:103,104:104)-LOOKUP(C33,103:103,104:104)+100</f>
        <v>104</v>
      </c>
      <c r="I33" s="428">
        <v>158</v>
      </c>
      <c r="J33" s="135">
        <f>LOOKUP(I33,103:103,104:104)-LOOKUP(C33,103:103,104:104)+100</f>
        <v>104</v>
      </c>
      <c r="K33" s="612"/>
      <c r="L33" s="1137"/>
      <c r="M33" s="1140"/>
      <c r="N33" s="1140"/>
      <c r="O33" s="1140"/>
      <c r="P33" s="3191"/>
      <c r="Q33" s="775" t="str">
        <f t="shared" si="11"/>
        <v>项目建筑规模</v>
      </c>
      <c r="R33" s="776" t="s">
        <v>17</v>
      </c>
      <c r="S33" s="777">
        <f t="shared" si="12"/>
        <v>104</v>
      </c>
      <c r="T33" s="776" t="s">
        <v>17</v>
      </c>
      <c r="U33" s="777">
        <f t="shared" si="13"/>
        <v>104</v>
      </c>
      <c r="V33" s="776" t="s">
        <v>17</v>
      </c>
      <c r="W33" s="777">
        <f t="shared" si="14"/>
        <v>104</v>
      </c>
      <c r="X33" s="778"/>
      <c r="Y33" s="3193"/>
      <c r="Z33" s="779" t="str">
        <f t="shared" si="15"/>
        <v>项目建筑规模</v>
      </c>
      <c r="AA33" s="1810">
        <f t="shared" si="3"/>
        <v>0.96153846153846156</v>
      </c>
      <c r="AB33" s="1810">
        <f t="shared" si="4"/>
        <v>0.96153846153846156</v>
      </c>
      <c r="AC33" s="1810">
        <f t="shared" si="5"/>
        <v>0.96153846153846156</v>
      </c>
    </row>
    <row r="34" spans="1:29" ht="15">
      <c r="A34" s="471"/>
      <c r="B34" s="421" t="s">
        <v>2566</v>
      </c>
      <c r="C34" s="2620" t="s">
        <v>3101</v>
      </c>
      <c r="D34" s="434">
        <v>100</v>
      </c>
      <c r="E34" s="2620" t="s">
        <v>3101</v>
      </c>
      <c r="F34" s="460">
        <f>SUMIF(105:105,E34,106:106)-SUMIF(105:105,C34,106:106)+100</f>
        <v>100</v>
      </c>
      <c r="G34" s="2620" t="s">
        <v>3101</v>
      </c>
      <c r="H34" s="434">
        <f>SUMIF(105:105,G34,106:106)-SUMIF(105:105,C34,106:106)+100</f>
        <v>100</v>
      </c>
      <c r="I34" s="2620" t="s">
        <v>3101</v>
      </c>
      <c r="J34" s="434">
        <f>SUMIF(105:105,I34,106:106)-SUMIF(105:105,C34,106:106)+100</f>
        <v>100</v>
      </c>
      <c r="K34" s="611">
        <v>2</v>
      </c>
      <c r="L34" s="1139"/>
      <c r="M34" s="1130"/>
      <c r="N34" s="1130"/>
      <c r="O34" s="1130"/>
      <c r="P34" s="3191"/>
      <c r="Q34" s="1809" t="str">
        <f t="shared" si="11"/>
        <v>建筑结构</v>
      </c>
      <c r="R34" s="773" t="s">
        <v>17</v>
      </c>
      <c r="S34" s="774">
        <f t="shared" si="12"/>
        <v>100</v>
      </c>
      <c r="T34" s="773" t="s">
        <v>17</v>
      </c>
      <c r="U34" s="774">
        <f t="shared" si="13"/>
        <v>100</v>
      </c>
      <c r="V34" s="773" t="s">
        <v>17</v>
      </c>
      <c r="W34" s="774">
        <f t="shared" si="14"/>
        <v>100</v>
      </c>
      <c r="X34" s="1812"/>
      <c r="Y34" s="3193"/>
      <c r="Z34" s="1813" t="str">
        <f t="shared" si="15"/>
        <v>建筑结构</v>
      </c>
      <c r="AA34" s="1810">
        <f t="shared" si="3"/>
        <v>1</v>
      </c>
      <c r="AB34" s="1810">
        <f t="shared" si="4"/>
        <v>1</v>
      </c>
      <c r="AC34" s="1810">
        <f t="shared" si="5"/>
        <v>1</v>
      </c>
    </row>
    <row r="35" spans="1:29" ht="15">
      <c r="A35" s="471"/>
      <c r="B35" s="421" t="s">
        <v>2660</v>
      </c>
      <c r="C35" s="2614" t="s">
        <v>3118</v>
      </c>
      <c r="D35" s="434">
        <v>100</v>
      </c>
      <c r="E35" s="2614" t="s">
        <v>3120</v>
      </c>
      <c r="F35" s="460">
        <f>SUMIF(107:107,E35,108:108)-SUMIF(107:107,C35,108:108)+100</f>
        <v>98</v>
      </c>
      <c r="G35" s="2614" t="s">
        <v>3120</v>
      </c>
      <c r="H35" s="434">
        <f>SUMIF(107:107,G35,108:108)-SUMIF(107:107,C35,108:108)+100</f>
        <v>98</v>
      </c>
      <c r="I35" s="2614" t="s">
        <v>3118</v>
      </c>
      <c r="J35" s="434">
        <f>SUMIF(107:107,I35,108:108)-SUMIF(107:107,C35,108:108)+100</f>
        <v>100</v>
      </c>
      <c r="K35" s="611">
        <v>2</v>
      </c>
      <c r="L35" s="1139"/>
      <c r="M35" s="1130"/>
      <c r="N35" s="1130"/>
      <c r="O35" s="1130"/>
      <c r="P35" s="3191"/>
      <c r="Q35" s="1809" t="str">
        <f t="shared" si="11"/>
        <v>公共部分装修</v>
      </c>
      <c r="R35" s="773" t="s">
        <v>17</v>
      </c>
      <c r="S35" s="774">
        <f t="shared" si="12"/>
        <v>98</v>
      </c>
      <c r="T35" s="773" t="s">
        <v>17</v>
      </c>
      <c r="U35" s="774">
        <f t="shared" si="13"/>
        <v>98</v>
      </c>
      <c r="V35" s="773" t="s">
        <v>17</v>
      </c>
      <c r="W35" s="774">
        <f t="shared" si="14"/>
        <v>100</v>
      </c>
      <c r="X35" s="1812"/>
      <c r="Y35" s="3193"/>
      <c r="Z35" s="1813" t="str">
        <f t="shared" si="15"/>
        <v>公共部分装修</v>
      </c>
      <c r="AA35" s="1810">
        <f t="shared" si="3"/>
        <v>1.0204081632653061</v>
      </c>
      <c r="AB35" s="1810">
        <f t="shared" si="4"/>
        <v>1.0204081632653061</v>
      </c>
      <c r="AC35" s="1810">
        <f t="shared" si="5"/>
        <v>1</v>
      </c>
    </row>
    <row r="36" spans="1:29" ht="15">
      <c r="A36" s="471"/>
      <c r="B36" s="421" t="s">
        <v>2661</v>
      </c>
      <c r="C36" s="473">
        <f>'数据-取费表'!Y6</f>
        <v>0.93</v>
      </c>
      <c r="D36" s="434">
        <v>100</v>
      </c>
      <c r="E36" s="473">
        <v>0.8</v>
      </c>
      <c r="F36" s="460">
        <f>LOOKUP(E36,110:110,111:111)-LOOKUP(C36,110:110,111:111)+100</f>
        <v>98</v>
      </c>
      <c r="G36" s="473">
        <v>0.85</v>
      </c>
      <c r="H36" s="460">
        <f>LOOKUP(G36,110:110,111:111)-LOOKUP(C36,110:110,111:111)+100</f>
        <v>98</v>
      </c>
      <c r="I36" s="473">
        <v>0.8</v>
      </c>
      <c r="J36" s="434">
        <f>LOOKUP(I36,110:110,111:111)-LOOKUP(C36,110:110,111:111)+100</f>
        <v>98</v>
      </c>
      <c r="K36" s="611">
        <v>2</v>
      </c>
      <c r="L36" s="1139"/>
      <c r="M36" s="1130"/>
      <c r="N36" s="1130"/>
      <c r="O36" s="1130"/>
      <c r="P36" s="3191"/>
      <c r="Q36" s="1809" t="str">
        <f t="shared" si="11"/>
        <v>成新度</v>
      </c>
      <c r="R36" s="773" t="s">
        <v>17</v>
      </c>
      <c r="S36" s="774">
        <f t="shared" si="12"/>
        <v>98</v>
      </c>
      <c r="T36" s="773" t="s">
        <v>17</v>
      </c>
      <c r="U36" s="774">
        <f t="shared" si="13"/>
        <v>98</v>
      </c>
      <c r="V36" s="773" t="s">
        <v>17</v>
      </c>
      <c r="W36" s="774">
        <f t="shared" si="14"/>
        <v>98</v>
      </c>
      <c r="X36" s="1812"/>
      <c r="Y36" s="3193"/>
      <c r="Z36" s="1813" t="str">
        <f t="shared" si="15"/>
        <v>成新度</v>
      </c>
      <c r="AA36" s="1810">
        <f t="shared" si="3"/>
        <v>1.0204081632653061</v>
      </c>
      <c r="AB36" s="1810">
        <f t="shared" si="4"/>
        <v>1.0204081632653061</v>
      </c>
      <c r="AC36" s="1810">
        <f t="shared" si="5"/>
        <v>1.0204081632653061</v>
      </c>
    </row>
    <row r="37" spans="1:29" s="116" customFormat="1" ht="15">
      <c r="A37" s="472"/>
      <c r="B37" s="421" t="s">
        <v>2662</v>
      </c>
      <c r="C37" s="2614" t="s">
        <v>3127</v>
      </c>
      <c r="D37" s="135">
        <v>100</v>
      </c>
      <c r="E37" s="2614" t="s">
        <v>3125</v>
      </c>
      <c r="F37" s="460">
        <f>SUMIF(112:112,E37,113:113)-SUMIF(112:112,C37,113:113)+100</f>
        <v>101</v>
      </c>
      <c r="G37" s="2614" t="s">
        <v>3125</v>
      </c>
      <c r="H37" s="434">
        <f>SUMIF(112:112,G37,113:113)-SUMIF(112:112,C37,113:113)+100</f>
        <v>101</v>
      </c>
      <c r="I37" s="2614" t="s">
        <v>3125</v>
      </c>
      <c r="J37" s="434">
        <f>SUMIF(112:112,I37,113:113)-SUMIF(112:112,C37,113:113)+100</f>
        <v>101</v>
      </c>
      <c r="K37" s="611">
        <v>1</v>
      </c>
      <c r="L37" s="1131"/>
      <c r="M37" s="1132"/>
      <c r="N37" s="1132"/>
      <c r="O37" s="1132"/>
      <c r="P37" s="3191"/>
      <c r="Q37" s="1794" t="str">
        <f t="shared" si="11"/>
        <v>市政基础设施</v>
      </c>
      <c r="R37" s="769" t="s">
        <v>17</v>
      </c>
      <c r="S37" s="770">
        <f t="shared" si="12"/>
        <v>101</v>
      </c>
      <c r="T37" s="769" t="s">
        <v>17</v>
      </c>
      <c r="U37" s="770">
        <f t="shared" si="13"/>
        <v>101</v>
      </c>
      <c r="V37" s="769" t="s">
        <v>17</v>
      </c>
      <c r="W37" s="770">
        <f t="shared" si="14"/>
        <v>101</v>
      </c>
      <c r="X37" s="771"/>
      <c r="Y37" s="3193"/>
      <c r="Z37" s="54" t="str">
        <f t="shared" si="15"/>
        <v>市政基础设施</v>
      </c>
      <c r="AA37" s="772">
        <f t="shared" si="3"/>
        <v>0.99009900990099009</v>
      </c>
      <c r="AB37" s="772">
        <f t="shared" si="4"/>
        <v>0.99009900990099009</v>
      </c>
      <c r="AC37" s="772">
        <f t="shared" si="5"/>
        <v>0.99009900990099009</v>
      </c>
    </row>
    <row r="38" spans="1:29" ht="15">
      <c r="A38" s="471"/>
      <c r="B38" s="421" t="s">
        <v>2663</v>
      </c>
      <c r="C38" s="2614" t="s">
        <v>3131</v>
      </c>
      <c r="D38" s="434">
        <v>100</v>
      </c>
      <c r="E38" s="2614" t="s">
        <v>3129</v>
      </c>
      <c r="F38" s="460">
        <f>SUMIF(114:114,E38,115:115)-SUMIF(114:114,C38,115:115)+100</f>
        <v>105</v>
      </c>
      <c r="G38" s="2614" t="s">
        <v>3129</v>
      </c>
      <c r="H38" s="434">
        <f>SUMIF(114:114,G38,115:115)-SUMIF(114:114,C38,115:115)+100</f>
        <v>105</v>
      </c>
      <c r="I38" s="2614" t="s">
        <v>3129</v>
      </c>
      <c r="J38" s="434">
        <f>SUMIF(114:114,I38,115:115)-SUMIF(114:114,C38,115:115)+100</f>
        <v>105</v>
      </c>
      <c r="K38" s="611">
        <v>5</v>
      </c>
      <c r="L38" s="1139"/>
      <c r="M38" s="1130"/>
      <c r="N38" s="1130"/>
      <c r="O38" s="1130"/>
      <c r="P38" s="3191" t="s">
        <v>2564</v>
      </c>
      <c r="Q38" s="1809" t="str">
        <f t="shared" si="11"/>
        <v>业态</v>
      </c>
      <c r="R38" s="773" t="s">
        <v>17</v>
      </c>
      <c r="S38" s="774">
        <f t="shared" si="12"/>
        <v>105</v>
      </c>
      <c r="T38" s="773" t="s">
        <v>17</v>
      </c>
      <c r="U38" s="774">
        <f t="shared" si="13"/>
        <v>105</v>
      </c>
      <c r="V38" s="773" t="s">
        <v>17</v>
      </c>
      <c r="W38" s="774">
        <f t="shared" si="14"/>
        <v>105</v>
      </c>
      <c r="X38" s="1812"/>
      <c r="Y38" s="3193" t="s">
        <v>2564</v>
      </c>
      <c r="Z38" s="1813" t="str">
        <f t="shared" si="15"/>
        <v>业态</v>
      </c>
      <c r="AA38" s="1810">
        <f t="shared" si="3"/>
        <v>0.95238095238095233</v>
      </c>
      <c r="AB38" s="1810">
        <f t="shared" si="4"/>
        <v>0.95238095238095233</v>
      </c>
      <c r="AC38" s="1810">
        <f t="shared" si="5"/>
        <v>0.95238095238095233</v>
      </c>
    </row>
    <row r="39" spans="1:29" ht="15">
      <c r="A39" s="471"/>
      <c r="B39" s="421" t="s">
        <v>2664</v>
      </c>
      <c r="C39" s="2614" t="s">
        <v>3138</v>
      </c>
      <c r="D39" s="434">
        <v>100</v>
      </c>
      <c r="E39" s="2614" t="s">
        <v>3134</v>
      </c>
      <c r="F39" s="460">
        <f>SUMIF(116:116,E39,117:117)-SUMIF(116:116,C39,117:117)+100</f>
        <v>90</v>
      </c>
      <c r="G39" s="2614" t="s">
        <v>3134</v>
      </c>
      <c r="H39" s="434">
        <f>SUMIF(116:116,G39,117:117)-SUMIF(116:116,C39,117:117)+100</f>
        <v>90</v>
      </c>
      <c r="I39" s="2614" t="s">
        <v>3134</v>
      </c>
      <c r="J39" s="434">
        <f>SUMIF(116:116,I39,117:117)-SUMIF(116:116,C39,117:117)+100</f>
        <v>90</v>
      </c>
      <c r="K39" s="611">
        <v>10</v>
      </c>
      <c r="L39" s="1139"/>
      <c r="M39" s="1130"/>
      <c r="N39" s="1130"/>
      <c r="O39" s="1130"/>
      <c r="P39" s="3191"/>
      <c r="Q39" s="1809" t="str">
        <f t="shared" si="11"/>
        <v>层高</v>
      </c>
      <c r="R39" s="773" t="s">
        <v>17</v>
      </c>
      <c r="S39" s="774">
        <f t="shared" si="12"/>
        <v>90</v>
      </c>
      <c r="T39" s="773" t="s">
        <v>17</v>
      </c>
      <c r="U39" s="774">
        <f t="shared" si="13"/>
        <v>90</v>
      </c>
      <c r="V39" s="773" t="s">
        <v>17</v>
      </c>
      <c r="W39" s="774">
        <f t="shared" si="14"/>
        <v>90</v>
      </c>
      <c r="X39" s="1812"/>
      <c r="Y39" s="3193"/>
      <c r="Z39" s="1813" t="str">
        <f t="shared" si="15"/>
        <v>层高</v>
      </c>
      <c r="AA39" s="1810">
        <f t="shared" si="3"/>
        <v>1.1111111111111112</v>
      </c>
      <c r="AB39" s="1810">
        <f t="shared" si="4"/>
        <v>1.1111111111111112</v>
      </c>
      <c r="AC39" s="1810">
        <f t="shared" si="5"/>
        <v>1.1111111111111112</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91"/>
      <c r="Q40" s="1809" t="str">
        <f t="shared" si="11"/>
        <v>单套建筑面积</v>
      </c>
      <c r="R40" s="773" t="s">
        <v>17</v>
      </c>
      <c r="S40" s="774">
        <f t="shared" si="12"/>
        <v>100</v>
      </c>
      <c r="T40" s="773" t="s">
        <v>17</v>
      </c>
      <c r="U40" s="774">
        <f t="shared" si="13"/>
        <v>100</v>
      </c>
      <c r="V40" s="773" t="s">
        <v>17</v>
      </c>
      <c r="W40" s="774">
        <f t="shared" si="14"/>
        <v>100</v>
      </c>
      <c r="X40" s="1812"/>
      <c r="Y40" s="3193"/>
      <c r="Z40" s="1813" t="str">
        <f t="shared" si="15"/>
        <v>单套建筑面积</v>
      </c>
      <c r="AA40" s="1810">
        <f t="shared" si="3"/>
        <v>1</v>
      </c>
      <c r="AB40" s="1810">
        <f t="shared" si="4"/>
        <v>1</v>
      </c>
      <c r="AC40" s="1810">
        <f t="shared" si="5"/>
        <v>1</v>
      </c>
    </row>
    <row r="41" spans="1:29" s="470" customFormat="1" ht="15">
      <c r="A41" s="467"/>
      <c r="B41" s="1811"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91"/>
      <c r="Q41" s="775" t="str">
        <f t="shared" si="11"/>
        <v>进深比</v>
      </c>
      <c r="R41" s="776" t="s">
        <v>17</v>
      </c>
      <c r="S41" s="777">
        <f t="shared" si="12"/>
        <v>100</v>
      </c>
      <c r="T41" s="776" t="s">
        <v>17</v>
      </c>
      <c r="U41" s="777">
        <f t="shared" si="13"/>
        <v>100</v>
      </c>
      <c r="V41" s="776" t="s">
        <v>17</v>
      </c>
      <c r="W41" s="777">
        <f t="shared" si="14"/>
        <v>100</v>
      </c>
      <c r="X41" s="778"/>
      <c r="Y41" s="3193"/>
      <c r="Z41" s="779" t="str">
        <f t="shared" si="15"/>
        <v>进深比</v>
      </c>
      <c r="AA41" s="1810">
        <f t="shared" si="3"/>
        <v>1</v>
      </c>
      <c r="AB41" s="1810">
        <f t="shared" si="4"/>
        <v>1</v>
      </c>
      <c r="AC41" s="1810">
        <f t="shared" si="5"/>
        <v>1</v>
      </c>
    </row>
    <row r="42" spans="1:29" ht="15">
      <c r="A42" s="471"/>
      <c r="B42" s="421" t="s">
        <v>2667</v>
      </c>
      <c r="C42" s="2614" t="s">
        <v>3118</v>
      </c>
      <c r="D42" s="434">
        <v>100</v>
      </c>
      <c r="E42" s="2614" t="s">
        <v>3120</v>
      </c>
      <c r="F42" s="460">
        <f>SUMIF(122:122,E42,123:123)-SUMIF(122:122,C42,123:123)+100</f>
        <v>98</v>
      </c>
      <c r="G42" s="2614" t="s">
        <v>3120</v>
      </c>
      <c r="H42" s="434">
        <f>SUMIF(122:122,G42,123:123)-SUMIF(122:122,C42,123:123)+100</f>
        <v>98</v>
      </c>
      <c r="I42" s="2614" t="s">
        <v>3120</v>
      </c>
      <c r="J42" s="434">
        <f>SUMIF(122:122,I42,123:123)-SUMIF(122:122,C42,123:123)+100</f>
        <v>98</v>
      </c>
      <c r="K42" s="611">
        <v>2</v>
      </c>
      <c r="L42" s="1139"/>
      <c r="M42" s="1130"/>
      <c r="N42" s="1130"/>
      <c r="O42" s="1130"/>
      <c r="P42" s="3191"/>
      <c r="Q42" s="1809" t="str">
        <f t="shared" si="11"/>
        <v>内部装修</v>
      </c>
      <c r="R42" s="773" t="s">
        <v>17</v>
      </c>
      <c r="S42" s="774">
        <f t="shared" si="12"/>
        <v>98</v>
      </c>
      <c r="T42" s="773" t="s">
        <v>17</v>
      </c>
      <c r="U42" s="774">
        <f t="shared" si="13"/>
        <v>98</v>
      </c>
      <c r="V42" s="773" t="s">
        <v>17</v>
      </c>
      <c r="W42" s="774">
        <f t="shared" si="14"/>
        <v>98</v>
      </c>
      <c r="X42" s="1812"/>
      <c r="Y42" s="3193"/>
      <c r="Z42" s="1813" t="str">
        <f t="shared" si="15"/>
        <v>内部装修</v>
      </c>
      <c r="AA42" s="1810">
        <f t="shared" si="3"/>
        <v>1.0204081632653061</v>
      </c>
      <c r="AB42" s="1810">
        <f t="shared" si="4"/>
        <v>1.0204081632653061</v>
      </c>
      <c r="AC42" s="1810">
        <f t="shared" si="5"/>
        <v>1.0204081632653061</v>
      </c>
    </row>
    <row r="43" spans="1:29" ht="15">
      <c r="A43" s="471"/>
      <c r="B43" s="421" t="s">
        <v>2575</v>
      </c>
      <c r="C43" s="2614" t="s">
        <v>3136</v>
      </c>
      <c r="D43" s="434">
        <v>100</v>
      </c>
      <c r="E43" s="2614" t="s">
        <v>3136</v>
      </c>
      <c r="F43" s="460">
        <f>SUMIF(124:124,E43,125:125)-SUMIF(124:124,C43,125:125)+100</f>
        <v>100</v>
      </c>
      <c r="G43" s="2614" t="s">
        <v>3136</v>
      </c>
      <c r="H43" s="434">
        <f>SUMIF(124:124,G43,125:125)-SUMIF(124:124,C43,125:125)+100</f>
        <v>100</v>
      </c>
      <c r="I43" s="2614" t="s">
        <v>3136</v>
      </c>
      <c r="J43" s="434">
        <f>SUMIF(124:124,I43,125:125)-SUMIF(124:124,C43,125:125)+100</f>
        <v>100</v>
      </c>
      <c r="K43" s="611">
        <v>2</v>
      </c>
      <c r="L43" s="1139"/>
      <c r="M43" s="1130"/>
      <c r="N43" s="1130"/>
      <c r="O43" s="1130"/>
      <c r="P43" s="3191"/>
      <c r="Q43" s="1809" t="str">
        <f t="shared" si="11"/>
        <v>内部装修维护情况</v>
      </c>
      <c r="R43" s="773" t="s">
        <v>17</v>
      </c>
      <c r="S43" s="774">
        <f t="shared" si="12"/>
        <v>100</v>
      </c>
      <c r="T43" s="773" t="s">
        <v>17</v>
      </c>
      <c r="U43" s="774">
        <f t="shared" si="13"/>
        <v>100</v>
      </c>
      <c r="V43" s="773" t="s">
        <v>17</v>
      </c>
      <c r="W43" s="774">
        <f t="shared" si="14"/>
        <v>100</v>
      </c>
      <c r="X43" s="1812"/>
      <c r="Y43" s="3193"/>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91"/>
      <c r="Q44" s="1794">
        <f t="shared" si="11"/>
        <v>111</v>
      </c>
      <c r="R44" s="769" t="s">
        <v>17</v>
      </c>
      <c r="S44" s="770">
        <f t="shared" si="12"/>
        <v>100</v>
      </c>
      <c r="T44" s="769" t="s">
        <v>17</v>
      </c>
      <c r="U44" s="770">
        <f t="shared" si="13"/>
        <v>100</v>
      </c>
      <c r="V44" s="769" t="s">
        <v>17</v>
      </c>
      <c r="W44" s="770">
        <f t="shared" si="14"/>
        <v>100</v>
      </c>
      <c r="X44" s="771"/>
      <c r="Y44" s="3193"/>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91"/>
      <c r="Q45" s="1809">
        <f t="shared" si="11"/>
        <v>111</v>
      </c>
      <c r="R45" s="773" t="s">
        <v>17</v>
      </c>
      <c r="S45" s="774">
        <f t="shared" si="12"/>
        <v>100</v>
      </c>
      <c r="T45" s="773" t="s">
        <v>17</v>
      </c>
      <c r="U45" s="774">
        <f t="shared" si="13"/>
        <v>100</v>
      </c>
      <c r="V45" s="773" t="s">
        <v>17</v>
      </c>
      <c r="W45" s="774">
        <f t="shared" si="14"/>
        <v>100</v>
      </c>
      <c r="X45" s="1812"/>
      <c r="Y45" s="3193"/>
      <c r="Z45" s="1813">
        <f t="shared" si="15"/>
        <v>111</v>
      </c>
      <c r="AA45" s="1810">
        <f t="shared" si="3"/>
        <v>1</v>
      </c>
      <c r="AB45" s="1810">
        <f t="shared" si="4"/>
        <v>1</v>
      </c>
      <c r="AC45" s="1810">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92"/>
      <c r="Q46" s="1809">
        <f t="shared" si="11"/>
        <v>111</v>
      </c>
      <c r="R46" s="773" t="s">
        <v>17</v>
      </c>
      <c r="S46" s="774">
        <f t="shared" si="12"/>
        <v>100</v>
      </c>
      <c r="T46" s="773" t="s">
        <v>17</v>
      </c>
      <c r="U46" s="774">
        <f t="shared" si="13"/>
        <v>100</v>
      </c>
      <c r="V46" s="773" t="s">
        <v>17</v>
      </c>
      <c r="W46" s="774">
        <f t="shared" si="14"/>
        <v>100</v>
      </c>
      <c r="X46" s="1812"/>
      <c r="Y46" s="3194"/>
      <c r="Z46" s="1813">
        <f t="shared" si="15"/>
        <v>111</v>
      </c>
      <c r="AA46" s="1810">
        <f t="shared" si="3"/>
        <v>1</v>
      </c>
      <c r="AB46" s="1810">
        <f t="shared" si="4"/>
        <v>1</v>
      </c>
      <c r="AC46" s="1810">
        <f t="shared" si="5"/>
        <v>1</v>
      </c>
    </row>
    <row r="47" spans="1:29" ht="15">
      <c r="A47" s="478" t="s">
        <v>2576</v>
      </c>
      <c r="B47" s="479"/>
      <c r="C47" s="1406" t="s">
        <v>1</v>
      </c>
      <c r="D47" s="1407"/>
      <c r="E47" s="1408">
        <v>16000</v>
      </c>
      <c r="F47" s="1409"/>
      <c r="G47" s="1410">
        <v>19700</v>
      </c>
      <c r="H47" s="1411"/>
      <c r="I47" s="1408">
        <v>12500</v>
      </c>
      <c r="J47" s="1411"/>
      <c r="K47" s="782"/>
      <c r="L47" s="1142"/>
      <c r="M47" s="1143"/>
      <c r="N47" s="1130"/>
      <c r="O47" s="1143"/>
      <c r="P47" s="3195" t="str">
        <f>A47</f>
        <v>成交单价（元/平方米）</v>
      </c>
      <c r="Q47" s="3195"/>
      <c r="R47" s="3157">
        <f>E47</f>
        <v>16000</v>
      </c>
      <c r="S47" s="3157"/>
      <c r="T47" s="3157">
        <f>G47</f>
        <v>19700</v>
      </c>
      <c r="U47" s="3157"/>
      <c r="V47" s="3157">
        <f>I47</f>
        <v>12500</v>
      </c>
      <c r="W47" s="3157"/>
      <c r="X47" s="758"/>
      <c r="Y47" s="780"/>
      <c r="Z47" s="758"/>
      <c r="AA47" s="758"/>
      <c r="AB47" s="758"/>
      <c r="AC47" s="758"/>
    </row>
    <row r="48" spans="1:29" ht="15.75" thickBot="1">
      <c r="A48" s="485" t="s">
        <v>2668</v>
      </c>
      <c r="B48" s="486"/>
      <c r="C48" s="1412">
        <f>R49</f>
        <v>15758</v>
      </c>
      <c r="D48" s="1413"/>
      <c r="E48" s="1414">
        <f>R48</f>
        <v>16159</v>
      </c>
      <c r="F48" s="1414"/>
      <c r="G48" s="1412">
        <f>T48</f>
        <v>16248</v>
      </c>
      <c r="H48" s="1413"/>
      <c r="I48" s="1414">
        <f>V48</f>
        <v>14866</v>
      </c>
      <c r="J48" s="1413"/>
      <c r="K48" s="783"/>
      <c r="L48" s="1142"/>
      <c r="M48" s="1143"/>
      <c r="N48" s="1130"/>
      <c r="O48" s="1143"/>
      <c r="P48" s="3195" t="str">
        <f>A48</f>
        <v>比较价值（元/平方米）</v>
      </c>
      <c r="Q48" s="3195"/>
      <c r="R48" s="3196">
        <f>IF(F1="售价",ROUND(PRODUCT(R47,AA7:AA46),0),ROUND(PRODUCT(R47,AA7:AA46),1))</f>
        <v>16159</v>
      </c>
      <c r="S48" s="3196"/>
      <c r="T48" s="3196">
        <f>IF(F1="售价",ROUND(PRODUCT(T47,AB7:AB46),0),ROUND(PRODUCT(T47,AB7:AB46),1))</f>
        <v>16248</v>
      </c>
      <c r="U48" s="3196"/>
      <c r="V48" s="3196">
        <f>IF(F1="售价",ROUND(PRODUCT(V47,AC7:AC46),0),ROUND(PRODUCT(V47,AC7:AC46),1))</f>
        <v>14866</v>
      </c>
      <c r="W48" s="3196"/>
      <c r="X48" s="758"/>
      <c r="Y48" s="758"/>
      <c r="Z48" s="758"/>
      <c r="AA48" s="758"/>
      <c r="AB48" s="758"/>
      <c r="AC48" s="758"/>
    </row>
    <row r="49" spans="1:29" ht="15.75" thickBot="1">
      <c r="A49" s="491" t="s">
        <v>2669</v>
      </c>
      <c r="B49" s="492"/>
      <c r="C49" s="1416">
        <f>R49</f>
        <v>15758</v>
      </c>
      <c r="D49" s="1416"/>
      <c r="E49" s="1416"/>
      <c r="F49" s="1416"/>
      <c r="G49" s="1416"/>
      <c r="H49" s="1416"/>
      <c r="I49" s="1416"/>
      <c r="J49" s="1416"/>
      <c r="K49" s="784"/>
      <c r="L49" s="1142"/>
      <c r="M49" s="1143"/>
      <c r="N49" s="1130"/>
      <c r="O49" s="1143"/>
      <c r="P49" s="3197" t="str">
        <f>A49</f>
        <v>估价对象XX用房的比较价值（楼面单价，元/平方米）</v>
      </c>
      <c r="Q49" s="3198"/>
      <c r="R49" s="3199">
        <f>IF(F1="售价",ROUND(AVERAGE(R48:V48),0),ROUND(AVERAGE(R48:V48),1))</f>
        <v>15758</v>
      </c>
      <c r="S49" s="3199"/>
      <c r="T49" s="3199"/>
      <c r="U49" s="3199"/>
      <c r="V49" s="3199"/>
      <c r="W49" s="319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9.9374999999999325E-3</v>
      </c>
      <c r="F52" s="499" t="str">
        <f>IF(OR(E52&gt;=0.3,E52&lt;=-0.3),"超过30%","")</f>
        <v/>
      </c>
      <c r="G52" s="498">
        <f>IF(G47&lt;G48,G48/G47-1,G47/G48-1)</f>
        <v>0.21245691777449527</v>
      </c>
      <c r="H52" s="499" t="str">
        <f>IF(OR(G52&gt;=0.3,G52&lt;=-0.3),"超过30%","")</f>
        <v/>
      </c>
      <c r="I52" s="498">
        <f>IF(I47&lt;I48,I48/I47-1,I47/I48-1)</f>
        <v>0.18927999999999989</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5.5077665697134126E-3</v>
      </c>
      <c r="F53" s="499" t="str">
        <f>IF(OR(E53&gt;=0.2,E53&lt;=-0.2),"超过20%","")</f>
        <v/>
      </c>
      <c r="G53" s="498">
        <f>IF(G48&lt;I48,I48/G48-1,G48/I48-1)</f>
        <v>9.296381003632459E-2</v>
      </c>
      <c r="H53" s="499" t="str">
        <f>IF(OR(G53&gt;=0.2,G53&lt;=-0.2),"超过20%","")</f>
        <v/>
      </c>
      <c r="I53" s="498">
        <f>IF(I48&lt;E48,E48/I48-1,I48/E48-1)</f>
        <v>8.697699448405749E-2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0.23124999999999996</v>
      </c>
      <c r="F54" s="499" t="str">
        <f>IF(OR(E54&gt;=0.3,E54&lt;=-0.3),"超过30%","")</f>
        <v/>
      </c>
      <c r="G54" s="498">
        <f>IF(G47&lt;I47,I47/G47-1,G47/I47-1)</f>
        <v>0.57600000000000007</v>
      </c>
      <c r="H54" s="499" t="str">
        <f>IF(OR(G54&gt;=0.3,G54&lt;=-0.3),"超过30%","")</f>
        <v>超过30%</v>
      </c>
      <c r="I54" s="498">
        <f>IF(I47&lt;E47,E47/I47-1,I47/E47-1)</f>
        <v>0.28000000000000003</v>
      </c>
      <c r="J54" s="499" t="str">
        <f>IF(OR(I54&gt;=0.3,I54&lt;=-0.3),"超过30%","")</f>
        <v/>
      </c>
      <c r="K54" s="1147"/>
      <c r="L54" s="1148"/>
      <c r="M54" s="1144"/>
      <c r="N54" s="1144"/>
      <c r="O54" s="1144"/>
      <c r="P54" s="2667"/>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7" customFormat="1" ht="15">
      <c r="A58" s="504" t="s">
        <v>2547</v>
      </c>
      <c r="B58" s="505"/>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6" customFormat="1" ht="15">
      <c r="A59" s="508"/>
      <c r="B59" s="509"/>
      <c r="C59" s="1572">
        <v>100</v>
      </c>
      <c r="D59" s="511"/>
      <c r="E59" s="511"/>
      <c r="F59" s="511"/>
      <c r="G59" s="511"/>
      <c r="H59" s="511"/>
      <c r="I59" s="511"/>
      <c r="J59" s="511"/>
      <c r="K59" s="511"/>
      <c r="L59" s="511"/>
      <c r="M59" s="512"/>
      <c r="N59" s="511"/>
      <c r="O59" s="512"/>
      <c r="P59" s="2629"/>
    </row>
    <row r="60" spans="1:29" s="116" customFormat="1" ht="15.75" thickBot="1">
      <c r="A60" s="514" t="s">
        <v>2584</v>
      </c>
      <c r="B60" s="515"/>
      <c r="C60" s="516"/>
      <c r="D60" s="517"/>
      <c r="E60" s="517"/>
      <c r="F60" s="517"/>
      <c r="G60" s="517"/>
      <c r="H60" s="517"/>
      <c r="I60" s="517"/>
      <c r="J60" s="517"/>
      <c r="K60" s="517"/>
      <c r="L60" s="517"/>
      <c r="M60" s="518"/>
      <c r="N60" s="517"/>
      <c r="O60" s="518"/>
      <c r="P60" s="2629"/>
      <c r="Q60" s="503"/>
    </row>
    <row r="61" spans="1:29" s="116" customFormat="1" ht="15">
      <c r="A61" s="520" t="s">
        <v>2549</v>
      </c>
      <c r="B61" s="509"/>
      <c r="C61" s="521" t="s">
        <v>2651</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t="str">
        <f>C9</f>
        <v>商业</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31"/>
      <c r="Q66" s="503"/>
    </row>
    <row r="67" spans="1:17" ht="15.75" thickTop="1">
      <c r="A67" s="533"/>
      <c r="B67" s="545" t="s">
        <v>2557</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1"/>
      <c r="Q67" s="503"/>
    </row>
    <row r="68" spans="1:17" ht="15">
      <c r="A68" s="533"/>
      <c r="B68" s="547"/>
      <c r="C68" s="548">
        <v>0</v>
      </c>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35"/>
      <c r="E73" s="535"/>
      <c r="F73" s="535"/>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31"/>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1"/>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31"/>
      <c r="Q85" s="503"/>
    </row>
    <row r="86" spans="1:17" s="116" customFormat="1" ht="15.75" thickTop="1">
      <c r="A86" s="578"/>
      <c r="B86" s="537" t="s">
        <v>2679</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0"/>
      <c r="O88" s="1150"/>
      <c r="P88" s="2631"/>
      <c r="Q88" s="503"/>
    </row>
    <row r="89" spans="1:17" s="116" customFormat="1" ht="15.75" thickBot="1">
      <c r="A89" s="578"/>
      <c r="B89" s="542"/>
      <c r="C89" s="559"/>
      <c r="D89" s="535"/>
      <c r="E89" s="535"/>
      <c r="F89" s="535"/>
      <c r="G89" s="535"/>
      <c r="H89" s="535"/>
      <c r="I89" s="535"/>
      <c r="J89" s="535"/>
      <c r="K89" s="535"/>
      <c r="L89" s="535"/>
      <c r="M89" s="535"/>
      <c r="N89" s="1152"/>
      <c r="O89" s="1152"/>
      <c r="P89" s="2631"/>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2"/>
      <c r="Q91" s="558"/>
    </row>
    <row r="92" spans="1:17" ht="15.75" thickTop="1">
      <c r="A92" s="533"/>
      <c r="B92" s="537" t="str">
        <f>B28</f>
        <v>楼层</v>
      </c>
      <c r="C92" s="2959" t="s">
        <v>3110</v>
      </c>
      <c r="D92" s="553" t="s">
        <v>3111</v>
      </c>
      <c r="E92" s="553" t="s">
        <v>3112</v>
      </c>
      <c r="F92" s="553" t="s">
        <v>3113</v>
      </c>
      <c r="G92" s="553" t="s">
        <v>3114</v>
      </c>
      <c r="H92" s="553"/>
      <c r="I92" s="553"/>
      <c r="J92" s="553"/>
      <c r="K92" s="553"/>
      <c r="L92" s="579"/>
      <c r="M92" s="580"/>
      <c r="N92" s="1151"/>
      <c r="O92" s="1151"/>
      <c r="P92" s="2631"/>
      <c r="Q92" s="503"/>
    </row>
    <row r="93" spans="1:17" ht="15.75" thickBot="1">
      <c r="A93" s="533"/>
      <c r="B93" s="542"/>
      <c r="C93" s="535">
        <v>100</v>
      </c>
      <c r="D93" s="535">
        <v>60</v>
      </c>
      <c r="E93" s="535">
        <v>80</v>
      </c>
      <c r="F93" s="535">
        <v>50</v>
      </c>
      <c r="G93" s="535">
        <v>70</v>
      </c>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35"/>
      <c r="E95" s="535"/>
      <c r="F95" s="535"/>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59"/>
      <c r="D97" s="535"/>
      <c r="E97" s="535"/>
      <c r="F97" s="535"/>
      <c r="G97" s="535"/>
      <c r="H97" s="535"/>
      <c r="I97" s="535"/>
      <c r="J97" s="535"/>
      <c r="K97" s="535"/>
      <c r="L97" s="535"/>
      <c r="M97" s="536"/>
      <c r="N97" s="1152"/>
      <c r="O97" s="1152"/>
      <c r="P97" s="2631"/>
      <c r="Q97" s="503"/>
    </row>
    <row r="98" spans="1:17" ht="15.75" thickTop="1">
      <c r="A98" s="533"/>
      <c r="B98" s="545">
        <f>B31</f>
        <v>111</v>
      </c>
      <c r="C98" s="553"/>
      <c r="D98" s="553"/>
      <c r="E98" s="553"/>
      <c r="F98" s="553"/>
      <c r="G98" s="586"/>
      <c r="H98" s="586"/>
      <c r="I98" s="586"/>
      <c r="J98" s="586"/>
      <c r="K98" s="587"/>
      <c r="L98" s="588"/>
      <c r="M98" s="589"/>
      <c r="N98" s="1151"/>
      <c r="O98" s="1151"/>
      <c r="P98" s="2631"/>
      <c r="Q98" s="503"/>
    </row>
    <row r="99" spans="1:17" ht="15.75" thickBot="1">
      <c r="A99" s="2637"/>
      <c r="B99" s="568"/>
      <c r="C99" s="569"/>
      <c r="D99" s="569"/>
      <c r="E99" s="569"/>
      <c r="F99" s="569"/>
      <c r="G99" s="590"/>
      <c r="H99" s="590"/>
      <c r="I99" s="590"/>
      <c r="J99" s="590"/>
      <c r="K99" s="590"/>
      <c r="L99" s="590"/>
      <c r="M99" s="591"/>
      <c r="N99" s="1152"/>
      <c r="O99" s="1152"/>
      <c r="P99" s="2631"/>
      <c r="Q99" s="503"/>
    </row>
    <row r="100" spans="1:17">
      <c r="A100" s="526" t="s">
        <v>2562</v>
      </c>
      <c r="B100" s="527" t="s">
        <v>2680</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1"/>
      <c r="Q101" s="503"/>
    </row>
    <row r="102" spans="1:17" ht="29.25" thickTop="1">
      <c r="A102" s="533"/>
      <c r="B102" s="537" t="s">
        <v>2612</v>
      </c>
      <c r="C102" s="577" t="str">
        <f>C103&amp;"(含)"&amp;"-"&amp;D103</f>
        <v>0(含)-100</v>
      </c>
      <c r="D102" s="577" t="str">
        <f t="shared" ref="D102:L102" si="23">D103&amp;"(含)"&amp;"-"&amp;E103</f>
        <v>100(含)-300</v>
      </c>
      <c r="E102" s="577" t="str">
        <f t="shared" si="23"/>
        <v>300(含)-600</v>
      </c>
      <c r="F102" s="577" t="str">
        <f t="shared" si="23"/>
        <v>600(含)-1500</v>
      </c>
      <c r="G102" s="577" t="str">
        <f t="shared" si="23"/>
        <v>1500(含)-3000</v>
      </c>
      <c r="H102" s="577" t="str">
        <f t="shared" si="23"/>
        <v>3000(含)-5000</v>
      </c>
      <c r="I102" s="577" t="str">
        <f t="shared" si="23"/>
        <v>5000(含)-</v>
      </c>
      <c r="J102" s="577" t="str">
        <f t="shared" si="23"/>
        <v>(含)-</v>
      </c>
      <c r="K102" s="577" t="str">
        <f t="shared" si="23"/>
        <v>(含)-</v>
      </c>
      <c r="L102" s="577" t="str">
        <f t="shared" si="23"/>
        <v>(含)-</v>
      </c>
      <c r="M102" s="621" t="str">
        <f>M103&amp;"(含)"&amp;"-"&amp;P103</f>
        <v>(含)-</v>
      </c>
      <c r="N102" s="1150"/>
      <c r="O102" s="1150"/>
      <c r="P102" s="2631"/>
      <c r="Q102" s="503"/>
    </row>
    <row r="103" spans="1:17" s="470" customFormat="1">
      <c r="A103" s="592"/>
      <c r="B103" s="593"/>
      <c r="C103" s="594">
        <v>0</v>
      </c>
      <c r="D103" s="594">
        <v>100</v>
      </c>
      <c r="E103" s="594">
        <v>300</v>
      </c>
      <c r="F103" s="594">
        <v>600</v>
      </c>
      <c r="G103" s="594">
        <v>1500</v>
      </c>
      <c r="H103" s="594">
        <v>3000</v>
      </c>
      <c r="I103" s="594">
        <v>5000</v>
      </c>
      <c r="J103" s="595"/>
      <c r="K103" s="595"/>
      <c r="L103" s="596"/>
      <c r="M103" s="597"/>
      <c r="N103" s="1153"/>
      <c r="O103" s="1153"/>
      <c r="P103" s="2632"/>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2"/>
      <c r="O104" s="1152"/>
      <c r="P104" s="2632"/>
      <c r="Q104" s="558"/>
    </row>
    <row r="105" spans="1:17" ht="15" thickTop="1">
      <c r="A105" s="598"/>
      <c r="B105" s="537" t="s">
        <v>2613</v>
      </c>
      <c r="C105" s="2960" t="s">
        <v>3117</v>
      </c>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31"/>
      <c r="Q106" s="503"/>
    </row>
    <row r="107" spans="1:17" ht="15" thickTop="1">
      <c r="A107" s="598"/>
      <c r="B107" s="537" t="s">
        <v>2615</v>
      </c>
      <c r="C107" s="2960" t="s">
        <v>3119</v>
      </c>
      <c r="D107" s="2960" t="s">
        <v>3121</v>
      </c>
      <c r="E107" s="2960" t="s">
        <v>3122</v>
      </c>
      <c r="F107" s="2961" t="s">
        <v>3123</v>
      </c>
      <c r="G107" s="582"/>
      <c r="H107" s="582"/>
      <c r="I107" s="582"/>
      <c r="J107" s="582"/>
      <c r="K107" s="583"/>
      <c r="L107" s="584"/>
      <c r="M107" s="585"/>
      <c r="N107" s="1151"/>
      <c r="O107" s="1151"/>
      <c r="P107" s="2631"/>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31"/>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1"/>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1"/>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31"/>
      <c r="Q111" s="503"/>
    </row>
    <row r="112" spans="1:17" s="470" customFormat="1" ht="15" thickTop="1">
      <c r="A112" s="592"/>
      <c r="B112" s="537" t="s">
        <v>2617</v>
      </c>
      <c r="C112" s="2960" t="s">
        <v>3124</v>
      </c>
      <c r="D112" s="2960" t="s">
        <v>3126</v>
      </c>
      <c r="E112" s="2960" t="s">
        <v>3128</v>
      </c>
      <c r="F112" s="553"/>
      <c r="G112" s="553"/>
      <c r="H112" s="582"/>
      <c r="I112" s="582"/>
      <c r="J112" s="582"/>
      <c r="K112" s="583"/>
      <c r="L112" s="584"/>
      <c r="M112" s="585"/>
      <c r="N112" s="1153"/>
      <c r="O112" s="1153"/>
      <c r="P112" s="2632"/>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32"/>
      <c r="Q113" s="558"/>
    </row>
    <row r="114" spans="1:17" ht="15" thickTop="1">
      <c r="A114" s="598"/>
      <c r="B114" s="537" t="s">
        <v>2681</v>
      </c>
      <c r="C114" s="2960" t="s">
        <v>3130</v>
      </c>
      <c r="D114" s="2960" t="s">
        <v>3132</v>
      </c>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31"/>
      <c r="Q115" s="503"/>
    </row>
    <row r="116" spans="1:17" ht="15" thickTop="1">
      <c r="A116" s="598"/>
      <c r="B116" s="537" t="s">
        <v>2682</v>
      </c>
      <c r="C116" s="2960" t="s">
        <v>3133</v>
      </c>
      <c r="D116" s="2960" t="s">
        <v>3135</v>
      </c>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90</v>
      </c>
      <c r="E117" s="543">
        <f>D117-$K39</f>
        <v>80</v>
      </c>
      <c r="F117" s="543">
        <f>E117-$K39</f>
        <v>70</v>
      </c>
      <c r="G117" s="543">
        <f>F117-$K39</f>
        <v>60</v>
      </c>
      <c r="H117" s="543"/>
      <c r="I117" s="543"/>
      <c r="J117" s="543"/>
      <c r="K117" s="543"/>
      <c r="L117" s="543"/>
      <c r="M117" s="544"/>
      <c r="N117" s="1152"/>
      <c r="O117" s="1152"/>
      <c r="P117" s="2631"/>
      <c r="Q117" s="503"/>
    </row>
    <row r="118" spans="1:17" ht="15" thickTop="1">
      <c r="A118" s="598"/>
      <c r="B118" s="537" t="s">
        <v>2683</v>
      </c>
      <c r="C118" s="626"/>
      <c r="D118" s="626"/>
      <c r="E118" s="626"/>
      <c r="F118" s="626"/>
      <c r="G118" s="626"/>
      <c r="H118" s="554"/>
      <c r="I118" s="554"/>
      <c r="J118" s="554"/>
      <c r="K118" s="554"/>
      <c r="L118" s="555"/>
      <c r="M118" s="556"/>
      <c r="N118" s="1151"/>
      <c r="O118" s="1151"/>
      <c r="P118" s="2631"/>
      <c r="Q118" s="503"/>
    </row>
    <row r="119" spans="1:17" ht="15.75" thickBot="1">
      <c r="A119" s="533"/>
      <c r="B119" s="542"/>
      <c r="C119" s="559"/>
      <c r="D119" s="535"/>
      <c r="E119" s="535"/>
      <c r="F119" s="535"/>
      <c r="G119" s="535"/>
      <c r="H119" s="535"/>
      <c r="I119" s="535"/>
      <c r="J119" s="535"/>
      <c r="K119" s="535"/>
      <c r="L119" s="535"/>
      <c r="M119" s="536"/>
      <c r="N119" s="1152"/>
      <c r="O119" s="1152"/>
      <c r="P119" s="2631"/>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2"/>
      <c r="Q121" s="558"/>
    </row>
    <row r="122" spans="1:17" ht="15" thickTop="1">
      <c r="A122" s="598"/>
      <c r="B122" s="537" t="s">
        <v>2619</v>
      </c>
      <c r="C122" s="2960" t="s">
        <v>3119</v>
      </c>
      <c r="D122" s="2960" t="s">
        <v>3121</v>
      </c>
      <c r="E122" s="2960" t="s">
        <v>3122</v>
      </c>
      <c r="F122" s="2961" t="s">
        <v>3123</v>
      </c>
      <c r="G122" s="582"/>
      <c r="H122" s="582"/>
      <c r="I122" s="582"/>
      <c r="J122" s="582"/>
      <c r="K122" s="583"/>
      <c r="L122" s="584"/>
      <c r="M122" s="585"/>
      <c r="N122" s="1151"/>
      <c r="O122" s="1151"/>
      <c r="P122" s="2631"/>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35"/>
      <c r="E129" s="535"/>
      <c r="F129" s="535"/>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C39" sqref="C39"/>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3004</v>
      </c>
      <c r="C1" s="3201" t="s">
        <v>3005</v>
      </c>
      <c r="D1" s="3202"/>
      <c r="E1" s="3202"/>
      <c r="F1" s="3202"/>
      <c r="G1" s="3202"/>
      <c r="H1" s="3202"/>
      <c r="I1" s="3202"/>
      <c r="J1" s="3202"/>
      <c r="K1" s="3202"/>
      <c r="L1" s="3202"/>
      <c r="M1" s="3202"/>
      <c r="N1" s="3202"/>
      <c r="O1" s="3202"/>
      <c r="P1" s="3202"/>
      <c r="Q1" s="3202"/>
      <c r="R1" s="3202"/>
      <c r="S1" s="3203"/>
      <c r="T1" s="1203" t="s">
        <v>3006</v>
      </c>
    </row>
    <row r="2" spans="1:45" s="706" customFormat="1">
      <c r="A2" s="1204"/>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3008</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3009</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3010</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3014</v>
      </c>
      <c r="B17" s="2910"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1" t="s">
        <v>3016</v>
      </c>
      <c r="E19" s="1791"/>
      <c r="F19" s="1791"/>
      <c r="G19" s="1791"/>
      <c r="H19" s="1279"/>
      <c r="I19" s="167"/>
      <c r="J19" s="167"/>
      <c r="K19" s="167"/>
      <c r="L19" s="167"/>
      <c r="M19" s="167"/>
      <c r="N19" s="167"/>
      <c r="O19" s="167"/>
      <c r="P19" s="167"/>
      <c r="Q19" s="167"/>
      <c r="R19" s="787"/>
      <c r="S19" s="137"/>
    </row>
    <row r="20" spans="1:45" ht="16.5" thickBot="1">
      <c r="A20" s="714" t="s">
        <v>3017</v>
      </c>
      <c r="B20" s="337" t="e">
        <f ca="1">IF(D20="——",S22,S22-F20)</f>
        <v>#REF!</v>
      </c>
      <c r="C20" s="167"/>
      <c r="D20" s="2912" t="s">
        <v>3018</v>
      </c>
      <c r="E20" s="1792"/>
      <c r="F20" s="1203" t="e">
        <f ca="1">SUMIF(INDIRECT("'"&amp;H20&amp;"'"&amp;"!A:A"),"承租人权益价值",INDIRECT("'"&amp;H20&amp;"'"&amp;"!c:c"))</f>
        <v>#REF!</v>
      </c>
      <c r="G20" s="1203" t="s">
        <v>3019</v>
      </c>
      <c r="H20" s="2913"/>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3">
        <f>SUM(B24:B10000)</f>
        <v>100</v>
      </c>
      <c r="C22" s="3066" t="s">
        <v>33</v>
      </c>
      <c r="D22" s="3067"/>
      <c r="E22" s="3067"/>
      <c r="F22" s="3067"/>
      <c r="G22" s="3067"/>
      <c r="H22" s="3067"/>
      <c r="I22" s="3067"/>
      <c r="J22" s="3067"/>
      <c r="K22" s="3067"/>
      <c r="L22" s="3067"/>
      <c r="M22" s="3067"/>
      <c r="N22" s="3067"/>
      <c r="O22" s="3067"/>
      <c r="P22" s="3067"/>
      <c r="Q22" s="3200"/>
      <c r="R22" s="715">
        <f>ROUND(S22*10000/B22,0)</f>
        <v>10000</v>
      </c>
      <c r="S22" s="23">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3" sqref="K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1372</v>
      </c>
      <c r="D1" s="1819" t="s">
        <v>70</v>
      </c>
      <c r="E1" s="1820" t="s">
        <v>1381</v>
      </c>
      <c r="F1" s="1282">
        <f ca="1">J53</f>
        <v>30.63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f ca="1">ROUND(D2/10000,0)</f>
        <v>3079</v>
      </c>
      <c r="C2" s="1844" t="s">
        <v>1585</v>
      </c>
      <c r="D2" s="1936">
        <f ca="1">C40+J29+L46</f>
        <v>30787405</v>
      </c>
      <c r="E2" s="1845" t="s">
        <v>1586</v>
      </c>
      <c r="F2" s="1846"/>
      <c r="G2" s="1847"/>
      <c r="H2" s="1839"/>
      <c r="I2" s="1839"/>
      <c r="J2" s="1839"/>
      <c r="K2" s="1840"/>
      <c r="L2" s="1839"/>
      <c r="M2" s="1839"/>
    </row>
    <row r="3" spans="1:37" ht="18" customHeight="1" thickBot="1">
      <c r="A3" s="1848" t="s">
        <v>1587</v>
      </c>
      <c r="B3" s="1849">
        <f ca="1">IF(ISERROR(D2/F43),0,ROUND(D2/F43,0))</f>
        <v>7760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2218297</v>
      </c>
      <c r="D5" s="1821" t="s">
        <v>1595</v>
      </c>
      <c r="E5" s="1292"/>
      <c r="F5" s="1293"/>
      <c r="G5" s="1850"/>
      <c r="H5" s="343">
        <v>1</v>
      </c>
      <c r="I5" s="344" t="s">
        <v>1594</v>
      </c>
      <c r="J5" s="1291">
        <f ca="1">J6+J10+J12</f>
        <v>0</v>
      </c>
      <c r="K5" s="1821" t="s">
        <v>1595</v>
      </c>
      <c r="L5" s="1292"/>
      <c r="M5" s="1293"/>
    </row>
    <row r="6" spans="1:37" ht="18" customHeight="1">
      <c r="A6" s="1290" t="s">
        <v>1031</v>
      </c>
      <c r="B6" s="3204" t="s">
        <v>1397</v>
      </c>
      <c r="C6" s="1295">
        <f ca="1">ROUND(F6*F8*F7*(1-F9),0)</f>
        <v>2215528</v>
      </c>
      <c r="D6" s="163" t="s">
        <v>3028</v>
      </c>
      <c r="E6" s="346" t="s">
        <v>1399</v>
      </c>
      <c r="F6" s="347">
        <f ca="1">INDIRECT("'数据-取费表'!u"&amp;$G$1)</f>
        <v>1.8</v>
      </c>
      <c r="G6" s="1850"/>
      <c r="H6" s="1290" t="s">
        <v>1031</v>
      </c>
      <c r="I6" s="3204" t="s">
        <v>1397</v>
      </c>
      <c r="J6" s="345">
        <f ca="1">ROUND(M6*M8*M7*(1-M9),0)</f>
        <v>0</v>
      </c>
      <c r="K6" s="1833" t="s">
        <v>3029</v>
      </c>
      <c r="L6" s="346" t="s">
        <v>1399</v>
      </c>
      <c r="M6" s="347">
        <f ca="1">INDIRECT("'数据-取费表'!z"&amp;$G$1)</f>
        <v>0</v>
      </c>
    </row>
    <row r="7" spans="1:37" ht="18" customHeight="1">
      <c r="A7" s="1294"/>
      <c r="B7" s="3205"/>
      <c r="C7" s="1296"/>
      <c r="D7" s="351"/>
      <c r="E7" s="1297" t="s">
        <v>1400</v>
      </c>
      <c r="F7" s="347">
        <f ca="1">IF(INDIRECT("'数据-取费表'!ah"&amp;$G$1)="",INDIRECT("'数据-取费表'!k"&amp;$G$1),INDIRECT("'数据-取费表'!ah"&amp;$G$1))</f>
        <v>3967.28</v>
      </c>
      <c r="G7" s="1850"/>
      <c r="H7" s="348"/>
      <c r="I7" s="3205"/>
      <c r="J7" s="350"/>
      <c r="K7" s="351"/>
      <c r="L7" s="346" t="s">
        <v>1400</v>
      </c>
      <c r="M7" s="347">
        <f ca="1">F7</f>
        <v>3967.28</v>
      </c>
    </row>
    <row r="8" spans="1:37" ht="18" customHeight="1">
      <c r="A8" s="348"/>
      <c r="B8" s="3205"/>
      <c r="C8" s="350"/>
      <c r="D8" s="351"/>
      <c r="E8" s="346" t="s">
        <v>1401</v>
      </c>
      <c r="F8" s="347">
        <f ca="1">INDIRECT("'数据-取费表'!ai"&amp;$G$1)</f>
        <v>365</v>
      </c>
      <c r="G8" s="1850"/>
      <c r="H8" s="348"/>
      <c r="I8" s="3205"/>
      <c r="J8" s="350"/>
      <c r="K8" s="351"/>
      <c r="L8" s="346" t="s">
        <v>1401</v>
      </c>
      <c r="M8" s="347">
        <f ca="1">INDIRECT("'数据-取费表'!ai"&amp;$G$1)</f>
        <v>365</v>
      </c>
    </row>
    <row r="9" spans="1:37" ht="18" customHeight="1">
      <c r="A9" s="348"/>
      <c r="B9" s="3206"/>
      <c r="C9" s="350"/>
      <c r="D9" s="351"/>
      <c r="E9" s="346" t="s">
        <v>1402</v>
      </c>
      <c r="F9" s="356">
        <f ca="1">INDIRECT("'数据-取费表'!w"&amp;$G$1)</f>
        <v>0.15</v>
      </c>
      <c r="G9" s="1850"/>
      <c r="H9" s="348"/>
      <c r="I9" s="3206"/>
      <c r="J9" s="350"/>
      <c r="K9" s="351"/>
      <c r="L9" s="357" t="s">
        <v>1402</v>
      </c>
      <c r="M9" s="358">
        <f ca="1">INDIRECT("'数据-取费表'!ab"&amp;$G$1)</f>
        <v>0</v>
      </c>
    </row>
    <row r="10" spans="1:37" ht="18" customHeight="1">
      <c r="A10" s="1290" t="s">
        <v>1035</v>
      </c>
      <c r="B10" s="1822" t="s">
        <v>1403</v>
      </c>
      <c r="C10" s="360">
        <f ca="1">ROUND(IF(F10="押一",C6/12*F11,IF(F10="押二",C6/12*2*F11,IF(F10="押三",C6/12*3*F11,C11*F11))),0)</f>
        <v>2769</v>
      </c>
      <c r="D10" s="1823" t="s">
        <v>3039</v>
      </c>
      <c r="E10" s="357" t="s">
        <v>1404</v>
      </c>
      <c r="F10" s="1365" t="s">
        <v>3099</v>
      </c>
      <c r="G10" s="1850"/>
      <c r="H10" s="1290" t="s">
        <v>1035</v>
      </c>
      <c r="I10" s="1822" t="s">
        <v>1403</v>
      </c>
      <c r="J10" s="345">
        <f ca="1">ROUND(IF(M10="押一",J6/12*M11,IF(M10="押二",J6/12*2*M11,IF(M10="押三",J6/12*3*M11,J11*M11))),0)</f>
        <v>0</v>
      </c>
      <c r="K10" s="1834" t="s">
        <v>3041</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14988971</v>
      </c>
      <c r="D13" s="1330" t="s">
        <v>1409</v>
      </c>
      <c r="E13" s="1330" t="s">
        <v>1410</v>
      </c>
      <c r="F13" s="1331">
        <f ca="1">INDIRECT("'数据-取费表'!y"&amp;$G$1)</f>
        <v>0.93</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11901840</v>
      </c>
      <c r="D14" s="1799" t="s">
        <v>1412</v>
      </c>
      <c r="E14" s="1793"/>
      <c r="F14" s="363"/>
      <c r="G14" s="1850"/>
      <c r="H14" s="1200" t="s">
        <v>1031</v>
      </c>
      <c r="I14" s="346" t="s">
        <v>1413</v>
      </c>
      <c r="J14" s="23">
        <f ca="1">C29</f>
        <v>16117173</v>
      </c>
      <c r="K14" s="14"/>
      <c r="L14" s="978"/>
      <c r="M14" s="979"/>
    </row>
    <row r="15" spans="1:37" s="1857" customFormat="1" ht="18" customHeight="1" thickBot="1">
      <c r="A15" s="1200" t="s">
        <v>1032</v>
      </c>
      <c r="B15" s="346" t="s">
        <v>1414</v>
      </c>
      <c r="C15" s="23">
        <f ca="1">ROUND(C14*F15,0)</f>
        <v>357055</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3">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383093</v>
      </c>
      <c r="K16" s="1336" t="s">
        <v>1419</v>
      </c>
      <c r="L16" s="1337"/>
      <c r="M16" s="1293"/>
    </row>
    <row r="17" spans="1:37" s="1857" customFormat="1" ht="18" customHeight="1">
      <c r="A17" s="1200" t="s">
        <v>1384</v>
      </c>
      <c r="B17" s="346" t="s">
        <v>1420</v>
      </c>
      <c r="C17" s="23">
        <f ca="1">ROUND(F17*(F43+INDIRECT("'数据-取费表'!S"&amp;$G$1)),0)</f>
        <v>595092</v>
      </c>
      <c r="D17" s="346" t="s">
        <v>1421</v>
      </c>
      <c r="E17" s="346" t="s">
        <v>1422</v>
      </c>
      <c r="F17" s="25">
        <f>'数据-取费表'!B35</f>
        <v>150</v>
      </c>
      <c r="G17" s="1853"/>
      <c r="H17" s="1200" t="s">
        <v>1031</v>
      </c>
      <c r="I17" s="346" t="s">
        <v>1423</v>
      </c>
      <c r="J17" s="23">
        <f ca="1">ROUND(IF(项目基本情况!B11="自然人",J6*M17/(1+'数据-取费表'!C42),J18+J19+J20),0)</f>
        <v>141335</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3">
        <f ca="1">ROUND(C14*F18,0)</f>
        <v>178528</v>
      </c>
      <c r="D18" s="346" t="s">
        <v>1415</v>
      </c>
      <c r="E18" s="346" t="s">
        <v>1416</v>
      </c>
      <c r="F18" s="366">
        <f>'数据-取费表'!B36</f>
        <v>1.4999999999999999E-2</v>
      </c>
      <c r="G18" s="1853"/>
      <c r="H18" s="1200" t="s">
        <v>1030</v>
      </c>
      <c r="I18" s="346" t="s">
        <v>1427</v>
      </c>
      <c r="J18" s="23">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3">
        <f ca="1">SUM(C14:C18)</f>
        <v>13032515</v>
      </c>
      <c r="D19" s="139" t="s">
        <v>1430</v>
      </c>
      <c r="E19" s="1817"/>
      <c r="F19" s="25"/>
      <c r="G19" s="1850"/>
      <c r="H19" s="1200" t="s">
        <v>1032</v>
      </c>
      <c r="I19" s="346" t="s">
        <v>1431</v>
      </c>
      <c r="J19" s="23">
        <f ca="1">IF(K19="按租金收入计税",ROUND(J6*M19/(1+'数据-取费表'!C42),0),ROUND(C29*M19*0.7,0))</f>
        <v>135384</v>
      </c>
      <c r="K19" s="1827" t="s">
        <v>1432</v>
      </c>
      <c r="L19" s="346" t="s">
        <v>1416</v>
      </c>
      <c r="M19" s="366">
        <f>IF(K19="按租金收入计税",'数据-取费表'!B51,'数据-取费表'!B50)</f>
        <v>1.2E-2</v>
      </c>
    </row>
    <row r="20" spans="1:37" s="1857" customFormat="1" ht="18" customHeight="1">
      <c r="A20" s="1200" t="s">
        <v>1035</v>
      </c>
      <c r="B20" s="346" t="s">
        <v>1433</v>
      </c>
      <c r="C20" s="23">
        <f ca="1">ROUND(C19*F20,0)</f>
        <v>260650</v>
      </c>
      <c r="D20" s="368" t="s">
        <v>1434</v>
      </c>
      <c r="E20" s="346" t="s">
        <v>1416</v>
      </c>
      <c r="F20" s="366">
        <f>'数据-取费表'!B37</f>
        <v>0.02</v>
      </c>
      <c r="G20" s="1853"/>
      <c r="H20" s="1200" t="s">
        <v>1383</v>
      </c>
      <c r="I20" s="163" t="s">
        <v>1435</v>
      </c>
      <c r="J20" s="24">
        <f ca="1">ROUND(M20*M21,0)</f>
        <v>5951</v>
      </c>
      <c r="K20" s="369" t="s">
        <v>1436</v>
      </c>
      <c r="L20" s="346" t="s">
        <v>1437</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3" t="s">
        <v>1</v>
      </c>
      <c r="D21" s="368" t="s">
        <v>1439</v>
      </c>
      <c r="E21" s="346" t="s">
        <v>1440</v>
      </c>
      <c r="F21" s="366">
        <f>'数据-取费表'!B38</f>
        <v>0.02</v>
      </c>
      <c r="G21" s="1853"/>
      <c r="H21" s="371"/>
      <c r="I21" s="355"/>
      <c r="J21" s="28"/>
      <c r="K21" s="372"/>
      <c r="L21" s="346" t="s">
        <v>1441</v>
      </c>
      <c r="M21" s="347">
        <f ca="1">INDIRECT("'数据-取费表'!r"&amp;$G$1)</f>
        <v>1983.64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3"/>
      <c r="D22" s="139" t="str">
        <f>IF(F23&lt;=1,"单利计息。","复利计息。")&amp;"建造成本、管理费用、销售费用产生的利息。"</f>
        <v>单利计息。建造成本、管理费用、销售费用产生的利息。</v>
      </c>
      <c r="E22" s="1817"/>
      <c r="F22" s="25"/>
      <c r="G22" s="1850"/>
      <c r="H22" s="1200" t="s">
        <v>1035</v>
      </c>
      <c r="I22" s="346" t="s">
        <v>1443</v>
      </c>
      <c r="J22" s="23">
        <f ca="1">ROUND(J14*M22,0)</f>
        <v>241758</v>
      </c>
      <c r="K22" s="1797" t="s">
        <v>1444</v>
      </c>
      <c r="L22" s="346" t="s">
        <v>1416</v>
      </c>
      <c r="M22" s="373">
        <f ca="1">INDIRECT("'数据-取费表'!Ak"&amp;$G$1)</f>
        <v>1.4999999999999999E-2</v>
      </c>
    </row>
    <row r="23" spans="1:37" s="1857" customFormat="1" ht="18" customHeight="1">
      <c r="A23" s="1200" t="s">
        <v>1030</v>
      </c>
      <c r="B23" s="346" t="s">
        <v>1445</v>
      </c>
      <c r="C23" s="23">
        <f ca="1">IF('数据-取费表'!B22&lt;=1,ROUND(C19*F24*F23/2,0)+ROUND(C20*F24*F23/2,0),ROUND(C19*(POWER((1+F24),F23/2)-1),0)+ROUND(C20*(POWER((1+F24),F23/2)-1),0))</f>
        <v>289126</v>
      </c>
      <c r="D23" s="374" t="str">
        <f>IF(F23&lt;=1,"(建造成本+管理费用)×利率×(建设周期÷2)","(建造成本+管理费用)×((1+利率)^(建设周期÷2)-1)")</f>
        <v>(建造成本+管理费用)×利率×(建设周期÷2)</v>
      </c>
      <c r="E23" s="346" t="s">
        <v>1446</v>
      </c>
      <c r="F23" s="370">
        <f>'数据-取费表'!B20</f>
        <v>1</v>
      </c>
      <c r="G23" s="1853"/>
      <c r="H23" s="1200" t="s">
        <v>1071</v>
      </c>
      <c r="I23" s="346" t="s">
        <v>1447</v>
      </c>
      <c r="J23" s="23">
        <f ca="1">ROUND(J13*M23,0)</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3">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53"/>
      <c r="H24" s="1338" t="s">
        <v>1387</v>
      </c>
      <c r="I24" s="1339" t="s">
        <v>1433</v>
      </c>
      <c r="J24" s="1340">
        <f ca="1">ROUND(J5*M24,0)</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3"/>
      <c r="D25" s="139" t="s">
        <v>1456</v>
      </c>
      <c r="E25" s="1817"/>
      <c r="F25" s="25"/>
      <c r="G25" s="1850"/>
      <c r="H25" s="1328" t="s">
        <v>1027</v>
      </c>
      <c r="I25" s="1343" t="s">
        <v>1457</v>
      </c>
      <c r="J25" s="354">
        <f ca="1">J5-J16</f>
        <v>-383093</v>
      </c>
      <c r="K25" s="1344" t="s">
        <v>1458</v>
      </c>
      <c r="L25" s="1345"/>
      <c r="M25" s="1346"/>
    </row>
    <row r="26" spans="1:37" ht="18" customHeight="1">
      <c r="A26" s="1200" t="s">
        <v>1030</v>
      </c>
      <c r="B26" s="346" t="s">
        <v>1459</v>
      </c>
      <c r="C26" s="23">
        <f ca="1">ROUND((C19+C20)*F26,0)</f>
        <v>1329317</v>
      </c>
      <c r="D26" s="368" t="s">
        <v>1460</v>
      </c>
      <c r="E26" s="357" t="s">
        <v>1461</v>
      </c>
      <c r="F26" s="356">
        <f ca="1">INDIRECT("'数据-取费表'!q"&amp;$G$1)</f>
        <v>0.1</v>
      </c>
      <c r="G26" s="1850"/>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3">
        <f ca="1">ROUND(F21*F26,4)</f>
        <v>2E-3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3">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16117173</v>
      </c>
      <c r="D29" s="1341"/>
      <c r="E29" s="1339"/>
      <c r="F29" s="1342"/>
      <c r="G29" s="1853"/>
      <c r="H29" s="379" t="s">
        <v>1029</v>
      </c>
      <c r="I29" s="380" t="s">
        <v>1473</v>
      </c>
      <c r="J29" s="381">
        <f ca="1">ROUND(J26/(1+F40)^F41,0)</f>
        <v>0</v>
      </c>
      <c r="K29" s="382" t="s">
        <v>1474</v>
      </c>
      <c r="L29" s="383"/>
      <c r="M29" s="384">
        <f ca="1">INDIRECT("'数据-取费表'!k"&amp;$G$1)</f>
        <v>3967.28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672721</v>
      </c>
      <c r="D30" s="1336" t="s">
        <v>1419</v>
      </c>
      <c r="E30" s="1337"/>
      <c r="F30" s="1293"/>
      <c r="G30" s="1850"/>
      <c r="H30" s="744"/>
      <c r="I30" s="745"/>
      <c r="J30" s="746"/>
      <c r="K30" s="747"/>
      <c r="L30" s="748"/>
      <c r="M30" s="749"/>
    </row>
    <row r="31" spans="1:37" ht="18" customHeight="1">
      <c r="A31" s="1200" t="s">
        <v>1031</v>
      </c>
      <c r="B31" s="346" t="s">
        <v>1423</v>
      </c>
      <c r="C31" s="23">
        <f ca="1">ROUND(IF(项目基本情况!B11="自然人",C6*F31/(1+'数据-取费表'!C42),C32+C33+C34),0)</f>
        <v>375205</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3">
        <f ca="1">IF(项目基本情况!B11="自然人","——",ROUND(C6*F32/(1+'数据-取费表'!C42),0))</f>
        <v>116051</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3">
        <f ca="1">IF(项目基本情况!B11="自然人","——",IF(D33="按租金收入计税",ROUND(C6*F33/(1+'数据-取费表'!C42),0),IF(D33="按房产原值计税",ROUND(C29*F33*0.7,0),INDIRECT("'数据-取费表'!Aj"&amp;$G$1))))</f>
        <v>253203</v>
      </c>
      <c r="D33" s="1827" t="s">
        <v>3100</v>
      </c>
      <c r="E33" s="346" t="s">
        <v>1416</v>
      </c>
      <c r="F33" s="366">
        <f>IF(D33="按票据","——",IF(D33="按租金收入计税",'数据-取费表'!B51,'数据-取费表'!B50))</f>
        <v>0.12</v>
      </c>
      <c r="G33" s="1850"/>
      <c r="H33" s="1858"/>
      <c r="I33" s="1859"/>
      <c r="J33" s="1860"/>
      <c r="K33" s="1861"/>
      <c r="L33" s="1858"/>
      <c r="M33" s="1858"/>
    </row>
    <row r="34" spans="1:18" ht="18" customHeight="1">
      <c r="A34" s="1290" t="s">
        <v>1383</v>
      </c>
      <c r="B34" s="163" t="s">
        <v>1435</v>
      </c>
      <c r="C34" s="24">
        <f ca="1">IF(项目基本情况!B11="自然人","——",ROUND(F34*F35,))</f>
        <v>5951</v>
      </c>
      <c r="D34" s="369" t="s">
        <v>1436</v>
      </c>
      <c r="E34" s="346" t="s">
        <v>1437</v>
      </c>
      <c r="F34" s="370">
        <f>'数据-取费表'!B52</f>
        <v>3</v>
      </c>
      <c r="G34" s="1850"/>
      <c r="H34" s="744"/>
      <c r="I34" s="1859"/>
      <c r="J34" s="1860"/>
      <c r="K34" s="1862"/>
      <c r="L34" s="1863"/>
      <c r="M34" s="1863"/>
    </row>
    <row r="35" spans="1:18" ht="18" customHeight="1">
      <c r="A35" s="1352"/>
      <c r="B35" s="1350"/>
      <c r="C35" s="28"/>
      <c r="D35" s="372"/>
      <c r="E35" s="346" t="s">
        <v>1441</v>
      </c>
      <c r="F35" s="347">
        <f ca="1">INDIRECT("'数据-取费表'!r"&amp;$G$1)</f>
        <v>1983.64</v>
      </c>
      <c r="G35" s="1850"/>
      <c r="H35" s="744"/>
      <c r="I35" s="1859"/>
      <c r="J35" s="1860"/>
      <c r="K35" s="1861"/>
      <c r="L35" s="1858"/>
      <c r="M35" s="1858"/>
    </row>
    <row r="36" spans="1:18" ht="18" customHeight="1">
      <c r="A36" s="1351" t="s">
        <v>1035</v>
      </c>
      <c r="B36" s="346" t="s">
        <v>1443</v>
      </c>
      <c r="C36" s="23">
        <f ca="1">ROUND(C29*F36,0)</f>
        <v>241758</v>
      </c>
      <c r="D36" s="1797" t="s">
        <v>1476</v>
      </c>
      <c r="E36" s="346" t="s">
        <v>1416</v>
      </c>
      <c r="F36" s="373">
        <f ca="1">INDIRECT("'数据-取费表'!Ak"&amp;$G$1)</f>
        <v>1.4999999999999999E-2</v>
      </c>
      <c r="G36" s="1850"/>
      <c r="H36" s="1858"/>
      <c r="I36" s="1859"/>
      <c r="J36" s="1860"/>
      <c r="K36" s="750"/>
      <c r="L36" s="1858"/>
      <c r="M36" s="1858"/>
    </row>
    <row r="37" spans="1:18" ht="18" customHeight="1">
      <c r="A37" s="1200" t="s">
        <v>1071</v>
      </c>
      <c r="B37" s="346" t="s">
        <v>1447</v>
      </c>
      <c r="C37" s="23">
        <f ca="1">ROUND(C13*F37,0)</f>
        <v>22483</v>
      </c>
      <c r="D37" s="1797" t="s">
        <v>1448</v>
      </c>
      <c r="E37" s="346" t="s">
        <v>1449</v>
      </c>
      <c r="F37" s="375">
        <f ca="1">INDIRECT("'数据-取费表'!Al"&amp;$G$1)</f>
        <v>1.5E-3</v>
      </c>
      <c r="G37" s="1850"/>
      <c r="H37" s="1858"/>
      <c r="I37" s="1859"/>
      <c r="J37" s="1860"/>
      <c r="K37" s="750"/>
      <c r="L37" s="1858"/>
      <c r="M37" s="1858"/>
    </row>
    <row r="38" spans="1:18" ht="18" customHeight="1" thickBot="1">
      <c r="A38" s="1338" t="s">
        <v>1387</v>
      </c>
      <c r="B38" s="1339" t="s">
        <v>1433</v>
      </c>
      <c r="C38" s="1340">
        <f ca="1">ROUND(C5*F38,1)</f>
        <v>33274.5</v>
      </c>
      <c r="D38" s="1341" t="s">
        <v>1453</v>
      </c>
      <c r="E38" s="1339" t="s">
        <v>1449</v>
      </c>
      <c r="F38" s="1335">
        <f ca="1">INDIRECT("'数据-取费表'!Am"&amp;$G$1)</f>
        <v>1.4999999999999999E-2</v>
      </c>
      <c r="G38" s="1850"/>
      <c r="H38" s="1858"/>
      <c r="I38" s="1859"/>
      <c r="J38" s="1860"/>
      <c r="K38" s="1864"/>
      <c r="L38" s="1858"/>
      <c r="M38" s="1858"/>
    </row>
    <row r="39" spans="1:18" ht="24.6" customHeight="1" thickTop="1">
      <c r="A39" s="1328" t="s">
        <v>1027</v>
      </c>
      <c r="B39" s="1343" t="s">
        <v>1477</v>
      </c>
      <c r="C39" s="354">
        <f ca="1">C5-C30</f>
        <v>1545576</v>
      </c>
      <c r="D39" s="1344" t="s">
        <v>1478</v>
      </c>
      <c r="E39" s="1345"/>
      <c r="F39" s="1346"/>
      <c r="G39" s="1850"/>
      <c r="H39" s="1858"/>
      <c r="I39" s="1859"/>
      <c r="J39" s="1860"/>
      <c r="K39" s="1864"/>
      <c r="L39" s="1858"/>
      <c r="M39" s="1858"/>
    </row>
    <row r="40" spans="1:18" ht="18" customHeight="1">
      <c r="A40" s="343" t="s">
        <v>1028</v>
      </c>
      <c r="B40" s="344" t="s">
        <v>1479</v>
      </c>
      <c r="C40" s="345">
        <f ca="1">ROUND(C39*(1-((1+F42)/(1+F40))^F41)/(F40-F42),0)</f>
        <v>30227111</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30.63</v>
      </c>
      <c r="G41" s="1850"/>
      <c r="H41" s="731"/>
      <c r="I41" s="1859"/>
      <c r="J41" s="1860"/>
      <c r="K41" s="750"/>
      <c r="L41" s="731"/>
      <c r="M41" s="731"/>
    </row>
    <row r="42" spans="1:18" ht="18" customHeight="1">
      <c r="A42" s="352"/>
      <c r="B42" s="353"/>
      <c r="C42" s="354"/>
      <c r="D42" s="372"/>
      <c r="E42" s="346" t="s">
        <v>1471</v>
      </c>
      <c r="F42" s="356">
        <f ca="1">INDIRECT("'数据-取费表'!v"&amp;$G$1)</f>
        <v>2.5000000000000001E-2</v>
      </c>
      <c r="G42" s="1850"/>
      <c r="H42" s="731"/>
      <c r="I42" s="1859"/>
      <c r="J42" s="1860"/>
      <c r="K42" s="750"/>
      <c r="L42" s="731"/>
      <c r="M42" s="731"/>
    </row>
    <row r="43" spans="1:18" ht="18" customHeight="1" thickBot="1">
      <c r="A43" s="379" t="s">
        <v>1029</v>
      </c>
      <c r="B43" s="380" t="s">
        <v>1481</v>
      </c>
      <c r="C43" s="381">
        <f ca="1">ROUND(C40/F43,0)</f>
        <v>7619</v>
      </c>
      <c r="D43" s="382" t="s">
        <v>1482</v>
      </c>
      <c r="E43" s="383" t="s">
        <v>1483</v>
      </c>
      <c r="F43" s="384">
        <f ca="1">INDIRECT("'数据-取费表'!k"&amp;$G$1)</f>
        <v>3967.28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f ca="1">C68-C40</f>
        <v>-61988659</v>
      </c>
      <c r="D45" s="1938" t="s">
        <v>1598</v>
      </c>
      <c r="E45" s="1865"/>
      <c r="F45" s="1865"/>
      <c r="O45" s="1868" t="s">
        <v>1513</v>
      </c>
      <c r="P45" s="1838"/>
      <c r="Q45" s="1838"/>
      <c r="R45" s="1838"/>
    </row>
    <row r="46" spans="1:18" s="1841" customFormat="1" ht="13.5" thickBot="1">
      <c r="A46" s="1869" t="s">
        <v>1514</v>
      </c>
      <c r="C46" s="1870">
        <f ca="1">ROUND(C45/10000,0)</f>
        <v>-6199</v>
      </c>
      <c r="D46" s="1871" t="str">
        <f>C2</f>
        <v>万元</v>
      </c>
      <c r="I46" s="1872" t="s">
        <v>1515</v>
      </c>
      <c r="J46" s="1873"/>
      <c r="K46" s="1874"/>
      <c r="L46" s="1875">
        <f ca="1">IF(M47="住宅",0,IF(L48&gt;J51,L60,J60))</f>
        <v>560294</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t="s">
        <v>3101</v>
      </c>
      <c r="K47" s="1881" t="s">
        <v>1521</v>
      </c>
      <c r="L47" s="1882">
        <f ca="1">INDIRECT("'数据-取费表'!d"&amp;$G$1)</f>
        <v>40</v>
      </c>
      <c r="M47" s="1837" t="str">
        <f>IF(ISNUMBER(FIND("住宅",C1)),"住宅","非住宅")</f>
        <v>非住宅</v>
      </c>
      <c r="O47" s="1883" t="s">
        <v>1036</v>
      </c>
      <c r="P47" s="1884" t="s">
        <v>1522</v>
      </c>
      <c r="Q47" s="1885">
        <f ca="1">C40+J29</f>
        <v>30227111</v>
      </c>
      <c r="R47" s="1885" t="s">
        <v>1523</v>
      </c>
    </row>
    <row r="48" spans="1:18" s="1841" customFormat="1" ht="28.5" thickBot="1">
      <c r="A48" s="1359" t="s">
        <v>1131</v>
      </c>
      <c r="B48" s="344" t="s">
        <v>1395</v>
      </c>
      <c r="C48" s="1816">
        <f ca="1">C49+C53+C55</f>
        <v>0</v>
      </c>
      <c r="D48" s="1361"/>
      <c r="E48" s="1362"/>
      <c r="F48" s="1180"/>
      <c r="G48" s="791"/>
      <c r="H48" s="792"/>
      <c r="I48" s="1886" t="s">
        <v>1524</v>
      </c>
      <c r="J48" s="1887" t="s">
        <v>3102</v>
      </c>
      <c r="K48" s="1888" t="s">
        <v>1525</v>
      </c>
      <c r="L48" s="1889">
        <f ca="1">INDIRECT("'数据-取费表'!f"&amp;$G$1)</f>
        <v>30.63</v>
      </c>
      <c r="O48" s="1883" t="s">
        <v>1037</v>
      </c>
      <c r="P48" s="1884" t="s">
        <v>1526</v>
      </c>
      <c r="Q48" s="1885">
        <f ca="1">J60</f>
        <v>560294</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v>2016</v>
      </c>
      <c r="K49" s="1888" t="s">
        <v>1529</v>
      </c>
      <c r="L49" s="1892"/>
      <c r="O49" s="1893" t="s">
        <v>1038</v>
      </c>
      <c r="P49" s="1884" t="s">
        <v>1530</v>
      </c>
      <c r="Q49" s="1885">
        <f ca="1">C29</f>
        <v>16117173</v>
      </c>
      <c r="R49" s="1885" t="s">
        <v>1523</v>
      </c>
    </row>
    <row r="50" spans="1:18" s="1841" customFormat="1" ht="13.5" thickBot="1">
      <c r="A50" s="1194"/>
      <c r="B50" s="1197"/>
      <c r="C50" s="1198"/>
      <c r="D50" s="1171"/>
      <c r="E50" s="1276" t="s">
        <v>1400</v>
      </c>
      <c r="F50" s="1277">
        <f ca="1">F7</f>
        <v>3967.28</v>
      </c>
      <c r="H50" s="792"/>
      <c r="I50" s="1886" t="s">
        <v>1531</v>
      </c>
      <c r="J50" s="1894">
        <f>SUMPRODUCT((I63:I65=J47)*(J62:L62=J48)*(J63:L65))</f>
        <v>60</v>
      </c>
      <c r="K50" s="1888" t="s">
        <v>1532</v>
      </c>
      <c r="L50" s="1892"/>
      <c r="M50" s="1895"/>
      <c r="O50" s="1893" t="s">
        <v>1039</v>
      </c>
      <c r="P50" s="1884" t="s">
        <v>1533</v>
      </c>
      <c r="Q50" s="1896">
        <f ca="1">J58</f>
        <v>0.42299999999999999</v>
      </c>
      <c r="R50" s="1885"/>
    </row>
    <row r="51" spans="1:18" s="1841" customFormat="1" ht="13.5" thickBot="1">
      <c r="A51" s="1195"/>
      <c r="B51" s="1197"/>
      <c r="C51" s="1198"/>
      <c r="D51" s="1171"/>
      <c r="E51" s="1199" t="s">
        <v>1401</v>
      </c>
      <c r="F51" s="347">
        <f ca="1">F8</f>
        <v>365</v>
      </c>
      <c r="I51" s="1897" t="s">
        <v>1534</v>
      </c>
      <c r="J51" s="1898">
        <f>IF(J49="",J50,J49+J50-YEAR('数据-取费表'!B2))</f>
        <v>56</v>
      </c>
      <c r="K51" s="1899" t="s">
        <v>1535</v>
      </c>
      <c r="L51" s="1900">
        <f ca="1">ROUND(-PV(INDIRECT("'数据-取费表'!h"&amp;$G$1),L48,(C39-C13*C76),0),0)</f>
        <v>5374444</v>
      </c>
      <c r="M51" s="1901"/>
      <c r="O51" s="1893" t="s">
        <v>1040</v>
      </c>
      <c r="P51" s="1884" t="s">
        <v>1536</v>
      </c>
      <c r="Q51" s="1896">
        <f>J52</f>
        <v>8.5000000000000006E-2</v>
      </c>
      <c r="R51" s="1885"/>
    </row>
    <row r="52" spans="1:18" s="1841" customFormat="1" ht="13.5" thickBot="1">
      <c r="A52" s="1195"/>
      <c r="B52" s="1197"/>
      <c r="C52" s="1198"/>
      <c r="D52" s="1171"/>
      <c r="E52" s="1199" t="s">
        <v>1402</v>
      </c>
      <c r="F52" s="1274"/>
      <c r="I52" s="1902" t="s">
        <v>1537</v>
      </c>
      <c r="J52" s="1903">
        <v>8.5000000000000006E-2</v>
      </c>
      <c r="K52" s="1902" t="s">
        <v>1538</v>
      </c>
      <c r="L52" s="1903"/>
      <c r="O52" s="1893" t="s">
        <v>1041</v>
      </c>
      <c r="P52" s="1884" t="s">
        <v>1539</v>
      </c>
      <c r="Q52" s="1885">
        <f ca="1">J53</f>
        <v>30.63</v>
      </c>
      <c r="R52" s="1885" t="s">
        <v>1540</v>
      </c>
    </row>
    <row r="53" spans="1:18" s="1841" customFormat="1" ht="30.75" customHeight="1" thickBot="1">
      <c r="A53" s="1360" t="s">
        <v>1133</v>
      </c>
      <c r="B53" s="368" t="s">
        <v>1403</v>
      </c>
      <c r="C53" s="360">
        <f ca="1">ROUND(IF(F53="押一",C49/12*F11,IF(F53="押二",C49/12*2*F11,IF(F53="押三",C49/12*3*F11,C54*F11))),0)</f>
        <v>0</v>
      </c>
      <c r="D53" s="1823" t="s">
        <v>3042</v>
      </c>
      <c r="E53" s="357" t="s">
        <v>1404</v>
      </c>
      <c r="F53" s="1365"/>
      <c r="I53" s="1904" t="s">
        <v>1541</v>
      </c>
      <c r="J53" s="2951">
        <f ca="1">IF(M47="住宅",IF(D1="——",MAX(J51,L48),MAX(J51,L48-'数据-取费表'!B24)),IF(D1="——",MIN(J51,L48),MIN(J51,L48-'数据-取费表'!B24)))</f>
        <v>30.63</v>
      </c>
      <c r="K53" s="3207" t="s">
        <v>1542</v>
      </c>
      <c r="L53" s="3208"/>
      <c r="O53" s="1883" t="s">
        <v>1042</v>
      </c>
      <c r="P53" s="1884" t="s">
        <v>1543</v>
      </c>
      <c r="Q53" s="1885">
        <f ca="1">Q47+Q48</f>
        <v>30787405</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f ca="1">ROUND(IF(J47="钢混",J57/J50,1-(1-2%)*(J50-J57)/J50),3)</f>
        <v>0.42299999999999999</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14988971</v>
      </c>
      <c r="D56" s="1912"/>
      <c r="E56" s="1913"/>
      <c r="F56" s="1905"/>
      <c r="I56" s="1914" t="s">
        <v>1548</v>
      </c>
      <c r="J56" s="1915" t="s">
        <v>3103</v>
      </c>
      <c r="K56" s="1886" t="s">
        <v>1549</v>
      </c>
      <c r="L56" s="1889" t="str">
        <f ca="1">IF(L48&lt;J51,"——",L48-J51)</f>
        <v>——</v>
      </c>
      <c r="O56" s="1883" t="s">
        <v>1036</v>
      </c>
      <c r="P56" s="1884" t="s">
        <v>1522</v>
      </c>
      <c r="Q56" s="1885">
        <f ca="1">C40+J29</f>
        <v>30227111</v>
      </c>
      <c r="R56" s="1885" t="s">
        <v>1523</v>
      </c>
    </row>
    <row r="57" spans="1:18" s="1841" customFormat="1" ht="24.75" thickBot="1">
      <c r="A57" s="1916"/>
      <c r="B57" s="1168" t="s">
        <v>1472</v>
      </c>
      <c r="C57" s="281">
        <f ca="1">C29</f>
        <v>16117173</v>
      </c>
      <c r="D57" s="1917"/>
      <c r="E57" s="1918"/>
      <c r="F57" s="1919"/>
      <c r="I57" s="1920" t="s">
        <v>1550</v>
      </c>
      <c r="J57" s="1921">
        <f ca="1">IF(OR(M47="住宅",J51&lt;L48,J56="是"),"——",J51-L48)</f>
        <v>25.37</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59" t="s">
        <v>1026</v>
      </c>
      <c r="B58" s="1176" t="s">
        <v>1418</v>
      </c>
      <c r="C58" s="360">
        <f ca="1">ROUND(C59+C64+C65+C66,0)</f>
        <v>1624035</v>
      </c>
      <c r="D58" s="1178" t="s">
        <v>1419</v>
      </c>
      <c r="E58" s="1179"/>
      <c r="F58" s="1180"/>
      <c r="I58" s="1920" t="s">
        <v>1554</v>
      </c>
      <c r="J58" s="1922">
        <f ca="1">IF(J55&lt;0.4,0.4,J55)</f>
        <v>0.42299999999999999</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3">
        <f ca="1">ROUND(IF(项目基本情况!B11="自然人",C48*F59,C60+C61+C62),0)</f>
        <v>1359794</v>
      </c>
      <c r="D59" s="1181" t="s">
        <v>1424</v>
      </c>
      <c r="E59" s="1182" t="s">
        <v>1425</v>
      </c>
      <c r="F59" s="367" t="str">
        <f ca="1">IF(项目基本情况!B11="企业","",IF(INDIRECT("'数据-取费表'!c"&amp;$G$1)="住宅",5%,IF(F49*F50*F51/12/(1+'数据-取费表'!C42)&gt;20000,12%,7%)))</f>
        <v/>
      </c>
      <c r="I59" s="1920" t="s">
        <v>1557</v>
      </c>
      <c r="J59" s="1921">
        <f ca="1">IF(OR(M47="住宅",J51&lt;L48,J56="是"),"——",ROUND(C29*J58,0))</f>
        <v>6817564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3">
        <f ca="1">IF(项目基本情况!B11="自然人","——",ROUND(C48*F60/(1+'数据-取费表'!C42),0))</f>
        <v>0</v>
      </c>
      <c r="D60" s="1182" t="s">
        <v>1428</v>
      </c>
      <c r="E60" s="1168" t="s">
        <v>1416</v>
      </c>
      <c r="F60" s="376">
        <f t="shared" ref="F60:F66" si="0">F32</f>
        <v>5.5000000000000007E-2</v>
      </c>
      <c r="I60" s="1923" t="s">
        <v>1559</v>
      </c>
      <c r="J60" s="1924">
        <f ca="1">IF(OR(M47="住宅",J51&lt;L48,J56="是"),"0",ROUND(J59/(1+J52)^J53,0))</f>
        <v>560294</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3">
        <f ca="1">IF(项目基本情况!B11="自然人","——",IF(D61="按租金收入计税",ROUND(C48*F61,0),IF(D61="按房产原值计税",ROUND(C57*F61*0.7,0),INDIRECT("'数据-取费表'!Aj"&amp;$G$1))))</f>
        <v>1353843</v>
      </c>
      <c r="D61" s="1827" t="s">
        <v>1432</v>
      </c>
      <c r="E61" s="1168" t="s">
        <v>1488</v>
      </c>
      <c r="F61" s="366">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4">
        <f ca="1">IF(项目基本情况!B11="自然人","——",ROUND(F62*F63,0))</f>
        <v>5951</v>
      </c>
      <c r="D62" s="1183" t="s">
        <v>1491</v>
      </c>
      <c r="E62" s="1168" t="s">
        <v>1492</v>
      </c>
      <c r="F62" s="370">
        <f t="shared" si="0"/>
        <v>3</v>
      </c>
      <c r="I62" s="1927" t="s">
        <v>1564</v>
      </c>
      <c r="J62" s="1928" t="s">
        <v>1565</v>
      </c>
      <c r="K62" s="1928" t="s">
        <v>1566</v>
      </c>
      <c r="L62" s="1928" t="s">
        <v>1567</v>
      </c>
      <c r="M62" s="1929" t="s">
        <v>1568</v>
      </c>
      <c r="O62" s="1883" t="s">
        <v>1042</v>
      </c>
      <c r="P62" s="1884" t="s">
        <v>1569</v>
      </c>
      <c r="Q62" s="1885">
        <f ca="1">Q56+Q57</f>
        <v>30227111</v>
      </c>
      <c r="R62" s="1885" t="s">
        <v>1043</v>
      </c>
    </row>
    <row r="63" spans="1:18" s="1841" customFormat="1" ht="13.5" thickBot="1">
      <c r="A63" s="371"/>
      <c r="B63" s="1174"/>
      <c r="C63" s="28"/>
      <c r="D63" s="1184"/>
      <c r="E63" s="1168" t="s">
        <v>1493</v>
      </c>
      <c r="F63" s="347">
        <f t="shared" ca="1" si="0"/>
        <v>1983.64</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3">
        <f ca="1">ROUND(C57*F64,0)</f>
        <v>241758</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3">
        <f ca="1">ROUND(C56*F65,0)</f>
        <v>22483</v>
      </c>
      <c r="D65" s="1182" t="s">
        <v>1448</v>
      </c>
      <c r="E65" s="1168" t="s">
        <v>1449</v>
      </c>
      <c r="F65" s="375">
        <f t="shared" ca="1" si="0"/>
        <v>1.5E-3</v>
      </c>
      <c r="I65" s="1927" t="s">
        <v>1573</v>
      </c>
      <c r="J65" s="1928">
        <v>40</v>
      </c>
      <c r="K65" s="1928">
        <v>30</v>
      </c>
      <c r="L65" s="1928">
        <v>50</v>
      </c>
      <c r="M65" s="1930">
        <v>0.02</v>
      </c>
      <c r="O65" s="1883" t="s">
        <v>1036</v>
      </c>
      <c r="P65" s="1884" t="s">
        <v>1574</v>
      </c>
      <c r="Q65" s="1885">
        <f ca="1">C40+J29</f>
        <v>30227111</v>
      </c>
      <c r="R65" s="1885" t="s">
        <v>1523</v>
      </c>
    </row>
    <row r="66" spans="1:18" s="1841" customFormat="1" ht="16.5" thickBot="1">
      <c r="A66" s="1200" t="s">
        <v>1498</v>
      </c>
      <c r="B66" s="1168" t="s">
        <v>1433</v>
      </c>
      <c r="C66" s="23">
        <f ca="1">ROUND(C48*F66,0)</f>
        <v>0</v>
      </c>
      <c r="D66" s="1182" t="s">
        <v>1499</v>
      </c>
      <c r="E66" s="1168" t="s">
        <v>1416</v>
      </c>
      <c r="F66" s="356">
        <f t="shared" ca="1" si="0"/>
        <v>1.4999999999999999E-2</v>
      </c>
      <c r="O66" s="1883" t="s">
        <v>1037</v>
      </c>
      <c r="P66" s="1884" t="s">
        <v>1552</v>
      </c>
      <c r="Q66" s="1885">
        <f ca="1">L60</f>
        <v>0</v>
      </c>
      <c r="R66" s="1885" t="s">
        <v>1575</v>
      </c>
    </row>
    <row r="67" spans="1:18" s="1841" customFormat="1" ht="16.5" thickBot="1">
      <c r="A67" s="1175" t="s">
        <v>1027</v>
      </c>
      <c r="B67" s="1185" t="s">
        <v>1457</v>
      </c>
      <c r="C67" s="360">
        <f ca="1">C48-C58</f>
        <v>-1624035</v>
      </c>
      <c r="D67" s="1181" t="s">
        <v>1458</v>
      </c>
      <c r="E67" s="1186"/>
      <c r="F67" s="1187"/>
      <c r="O67" s="1893" t="s">
        <v>1038</v>
      </c>
      <c r="P67" s="1884" t="s">
        <v>1556</v>
      </c>
      <c r="Q67" s="1931">
        <f ca="1">L51</f>
        <v>5374444</v>
      </c>
      <c r="R67" s="1885" t="s">
        <v>1576</v>
      </c>
    </row>
    <row r="68" spans="1:18" s="1841" customFormat="1" ht="16.5" thickBot="1">
      <c r="A68" s="1165" t="s">
        <v>1028</v>
      </c>
      <c r="B68" s="1166" t="s">
        <v>1479</v>
      </c>
      <c r="C68" s="345">
        <f ca="1">ROUND(C67*(1-((1+F70)/(1+F68))^F69)/(F68-F70),0)</f>
        <v>-31761548</v>
      </c>
      <c r="D68" s="1183" t="s">
        <v>1463</v>
      </c>
      <c r="E68" s="1168" t="s">
        <v>1464</v>
      </c>
      <c r="F68" s="356">
        <f ca="1">F40</f>
        <v>5.5E-2</v>
      </c>
      <c r="O68" s="1893" t="s">
        <v>1039</v>
      </c>
      <c r="P68" s="1932" t="s">
        <v>1577</v>
      </c>
      <c r="Q68" s="1885">
        <f ca="1">ROUND(Q69-Q70*Q71,0)</f>
        <v>346458</v>
      </c>
      <c r="R68" s="1885" t="s">
        <v>1047</v>
      </c>
    </row>
    <row r="69" spans="1:18" s="1841" customFormat="1" ht="13.5" thickBot="1">
      <c r="A69" s="1169"/>
      <c r="B69" s="1170"/>
      <c r="C69" s="350"/>
      <c r="D69" s="1188" t="s">
        <v>1467</v>
      </c>
      <c r="E69" s="1168" t="s">
        <v>1468</v>
      </c>
      <c r="F69" s="378">
        <f ca="1">F41</f>
        <v>30.63</v>
      </c>
      <c r="O69" s="1893" t="s">
        <v>1044</v>
      </c>
      <c r="P69" s="1932" t="s">
        <v>1578</v>
      </c>
      <c r="Q69" s="1885">
        <f ca="1">C39</f>
        <v>1545576</v>
      </c>
      <c r="R69" s="1885" t="s">
        <v>1523</v>
      </c>
    </row>
    <row r="70" spans="1:18" s="1841" customFormat="1" ht="13.5" thickBot="1">
      <c r="A70" s="1172"/>
      <c r="B70" s="1173"/>
      <c r="C70" s="354"/>
      <c r="D70" s="1184"/>
      <c r="E70" s="1168" t="s">
        <v>1471</v>
      </c>
      <c r="F70" s="1274">
        <f ca="1">F42</f>
        <v>2.5000000000000001E-2</v>
      </c>
      <c r="O70" s="1893" t="s">
        <v>1045</v>
      </c>
      <c r="P70" s="1932" t="s">
        <v>1579</v>
      </c>
      <c r="Q70" s="1885">
        <f ca="1">C13</f>
        <v>14988971</v>
      </c>
      <c r="R70" s="1885" t="s">
        <v>1523</v>
      </c>
    </row>
    <row r="71" spans="1:18" s="1841" customFormat="1" ht="13.5" thickBot="1">
      <c r="A71" s="1189" t="s">
        <v>1029</v>
      </c>
      <c r="B71" s="1190" t="s">
        <v>1481</v>
      </c>
      <c r="C71" s="381">
        <f ca="1">ROUND(C68/F71,0)</f>
        <v>-8006</v>
      </c>
      <c r="D71" s="1191" t="s">
        <v>1482</v>
      </c>
      <c r="E71" s="1192" t="s">
        <v>1483</v>
      </c>
      <c r="F71" s="384">
        <f ca="1">F43</f>
        <v>3967.28</v>
      </c>
      <c r="O71" s="1893" t="s">
        <v>1046</v>
      </c>
      <c r="P71" s="1932" t="s">
        <v>1580</v>
      </c>
      <c r="Q71" s="1896">
        <f ca="1">C76</f>
        <v>0.08</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5" t="s">
        <v>1500</v>
      </c>
      <c r="C75" s="386">
        <f ca="1">ROUND(C13*C76,0)</f>
        <v>1199118</v>
      </c>
      <c r="D75" s="1841"/>
      <c r="E75" s="1841"/>
      <c r="F75" s="1841"/>
      <c r="K75" s="1867"/>
      <c r="L75" s="1841"/>
      <c r="O75" s="1883" t="s">
        <v>1042</v>
      </c>
      <c r="P75" s="1884" t="s">
        <v>1543</v>
      </c>
      <c r="Q75" s="1885">
        <f ca="1">Q65+Q66</f>
        <v>30227111</v>
      </c>
      <c r="R75" s="1885" t="s">
        <v>1043</v>
      </c>
    </row>
    <row r="76" spans="1:18">
      <c r="B76" s="387" t="s">
        <v>1501</v>
      </c>
      <c r="C76" s="388">
        <f ca="1">INDIRECT("'数据-取费表'!j"&amp;$G$1)</f>
        <v>0.08</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0.22399999999999998</v>
      </c>
    </row>
    <row r="80" spans="1:18">
      <c r="B80" s="385" t="s">
        <v>1505</v>
      </c>
      <c r="C80" s="317">
        <f ca="1">ROUND(C75/C39,3)</f>
        <v>0.77600000000000002</v>
      </c>
    </row>
    <row r="81" spans="2:3">
      <c r="B81" s="313" t="s">
        <v>1506</v>
      </c>
      <c r="C81" s="281"/>
    </row>
    <row r="82" spans="2:3">
      <c r="B82" s="316" t="s">
        <v>1507</v>
      </c>
      <c r="C82" s="318">
        <f ca="1">1-C83</f>
        <v>0.504</v>
      </c>
    </row>
    <row r="83" spans="2:3">
      <c r="B83" s="316" t="s">
        <v>1508</v>
      </c>
      <c r="C83" s="317">
        <f ca="1">ROUND(C13/C40,3)</f>
        <v>0.496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5"/>
      <c r="C1" s="2554"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1585</v>
      </c>
      <c r="C2" s="242" t="s">
        <v>2327</v>
      </c>
      <c r="D2" s="2548" t="s">
        <v>70</v>
      </c>
      <c r="E2" s="1439" t="e">
        <f ca="1">SUMIF(INDIRECT("'"&amp;G2&amp;"'"&amp;"!A:A"),"承租人权益价值",INDIRECT("'"&amp;G2&amp;"'"&amp;"!c:c"))</f>
        <v>#REF!</v>
      </c>
      <c r="F2" s="2549" t="s">
        <v>2327</v>
      </c>
      <c r="G2" s="2550"/>
    </row>
    <row r="3" spans="1:8" s="243" customFormat="1" ht="18" customHeight="1" thickBot="1">
      <c r="A3" s="246" t="s">
        <v>2328</v>
      </c>
      <c r="B3" s="247">
        <f ca="1">ROUND(B2*10000/(IF(B1="",'数据-汇总表'!E3,INDIRECT("'数据-取费表'!k"&amp;$G$1))),0)</f>
        <v>3995</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85693</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4.0500000000000001E-2</v>
      </c>
      <c r="G7" s="262"/>
    </row>
    <row r="8" spans="1:8" s="266" customFormat="1">
      <c r="A8" s="948" t="s">
        <v>2340</v>
      </c>
      <c r="B8" s="258" t="s">
        <v>2341</v>
      </c>
      <c r="C8" s="263">
        <f ca="1">IF(G8="已包含在土地购买价格中",0,C9+C10)</f>
        <v>85693</v>
      </c>
      <c r="D8" s="265"/>
      <c r="E8" s="263"/>
      <c r="F8" s="264"/>
      <c r="G8" s="2551"/>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33.200000000000003</v>
      </c>
      <c r="F9" s="264"/>
      <c r="G9" s="269"/>
    </row>
    <row r="10" spans="1:8" s="257" customFormat="1" ht="13.5" customHeight="1">
      <c r="A10" s="949" t="s">
        <v>801</v>
      </c>
      <c r="B10" s="267" t="s">
        <v>2344</v>
      </c>
      <c r="C10" s="268">
        <f ca="1">ROUND(D10*E10,0)</f>
        <v>85693</v>
      </c>
      <c r="D10" s="1031">
        <f ca="1">IF(B1="",'数据-汇总表'!E6,IF(INDIRECT("'数据-取费表'!c"&amp;$G$1)="住宅",INDIRECT("'数据-取费表'!s"&amp;$G$1),INDIRECT("'数据-取费表'!k"&amp;$G$1)+INDIRECT("'数据-取费表'!s"&amp;$G$1)))</f>
        <v>3967.28</v>
      </c>
      <c r="E10" s="268">
        <f>'数据-取费表'!B28</f>
        <v>21.6</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595092</v>
      </c>
      <c r="D19" s="1035">
        <f ca="1">D9+D10</f>
        <v>3967.28</v>
      </c>
      <c r="E19" s="254">
        <f>'数据-取费表'!B31</f>
        <v>150</v>
      </c>
      <c r="F19" s="274"/>
      <c r="G19" s="2551"/>
    </row>
    <row r="20" spans="1:7" s="257" customFormat="1" ht="13.5" customHeight="1">
      <c r="A20" s="298" t="s">
        <v>2438</v>
      </c>
      <c r="B20" s="253" t="s">
        <v>2439</v>
      </c>
      <c r="C20" s="275">
        <f ca="1">ROUND((C5+C19)*F20,0)</f>
        <v>13616</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9">
        <f ca="1">ROUND(SUM(C23:C25),0)</f>
        <v>29911</v>
      </c>
      <c r="D22" s="278">
        <f ca="1">C26</f>
        <v>4.0000000000000002E-4</v>
      </c>
      <c r="E22" s="279" t="s">
        <v>2443</v>
      </c>
      <c r="F22" s="280">
        <f ca="1">'数据-取费表'!B40</f>
        <v>4.3499999999999997E-2</v>
      </c>
      <c r="G22" s="277" t="str">
        <f>IF('数据-取费表'!B22&lt;=1,"单利计息","复利计息")</f>
        <v>单利计息</v>
      </c>
    </row>
    <row r="23" spans="1:7" s="257" customFormat="1" ht="13.5" customHeight="1">
      <c r="A23" s="950" t="s">
        <v>2336</v>
      </c>
      <c r="B23" s="258" t="s">
        <v>2447</v>
      </c>
      <c r="C23" s="1380">
        <f ca="1">ROUND(IF('数据-取费表'!B22&lt;=1,C5*F22*'数据-取费表'!B22,C5*(POWER((1+F22),'数据-取费表'!B22)-1)),0)</f>
        <v>3728</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25887</v>
      </c>
      <c r="D24" s="281"/>
      <c r="E24" s="281"/>
      <c r="F24" s="282"/>
      <c r="G24" s="283" t="s">
        <v>2450</v>
      </c>
    </row>
    <row r="25" spans="1:7" s="257" customFormat="1" ht="24">
      <c r="A25" s="950" t="s">
        <v>2340</v>
      </c>
      <c r="B25" s="258" t="s">
        <v>2451</v>
      </c>
      <c r="C25" s="1380">
        <f ca="1">ROUND(IF('数据-取费表'!B22&lt;=1,C20*F22*'数据-取费表'!B22/2,C20*(POWER((1+F22),'数据-取费表'!B22/2)-1)),0)</f>
        <v>296</v>
      </c>
      <c r="D25" s="281"/>
      <c r="E25" s="284"/>
      <c r="F25" s="282"/>
      <c r="G25" s="285" t="s">
        <v>2452</v>
      </c>
    </row>
    <row r="26" spans="1:7" s="257" customFormat="1">
      <c r="A26" s="950" t="s">
        <v>795</v>
      </c>
      <c r="B26" s="258" t="s">
        <v>2375</v>
      </c>
      <c r="C26" s="281">
        <f ca="1">ROUND(IF('数据-取费表'!B22&lt;=1,F21*F22*'数据-取费表'!B22/2,F21*(POWER((1+F22),'数据-取费表'!B22/2)-1)),4)</f>
        <v>4.0000000000000002E-4</v>
      </c>
      <c r="D26" s="281"/>
      <c r="E26" s="284"/>
      <c r="F26" s="282"/>
      <c r="G26" s="286"/>
    </row>
    <row r="27" spans="1:7" s="257" customFormat="1" ht="24.75">
      <c r="A27" s="298" t="s">
        <v>2376</v>
      </c>
      <c r="B27" s="287" t="s">
        <v>2377</v>
      </c>
      <c r="C27" s="288">
        <f ca="1">C28</f>
        <v>69440</v>
      </c>
      <c r="D27" s="278">
        <f ca="1">C29</f>
        <v>2E-3</v>
      </c>
      <c r="E27" s="279" t="s">
        <v>2378</v>
      </c>
      <c r="F27" s="289">
        <f ca="1">IF(B1="",'数据-取费表'!Q16,INDIRECT("'数据-取费表'!q"&amp;$G$1))</f>
        <v>0.1</v>
      </c>
      <c r="G27" s="290" t="s">
        <v>2379</v>
      </c>
    </row>
    <row r="28" spans="1:7" s="257" customFormat="1" ht="13.5" customHeight="1">
      <c r="A28" s="950" t="s">
        <v>791</v>
      </c>
      <c r="B28" s="291" t="s">
        <v>2380</v>
      </c>
      <c r="C28" s="292">
        <f ca="1">ROUND((C5+C19+C20)*F27,0)</f>
        <v>69440</v>
      </c>
      <c r="D28" s="278"/>
      <c r="E28" s="279"/>
      <c r="F28" s="289"/>
      <c r="G28" s="290"/>
    </row>
    <row r="29" spans="1:7" s="257" customFormat="1" ht="13.5" customHeight="1">
      <c r="A29" s="950" t="s">
        <v>792</v>
      </c>
      <c r="B29" s="291" t="s">
        <v>2381</v>
      </c>
      <c r="C29" s="281">
        <f ca="1">ROUND(C21*F27,4)</f>
        <v>2E-3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857925</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13032515</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11901840</v>
      </c>
      <c r="D34" s="260"/>
      <c r="E34" s="263"/>
      <c r="F34" s="300"/>
      <c r="G34" s="262"/>
    </row>
    <row r="35" spans="1:7" ht="13.5" customHeight="1">
      <c r="A35" s="950" t="s">
        <v>796</v>
      </c>
      <c r="B35" s="258" t="s">
        <v>2391</v>
      </c>
      <c r="C35" s="263">
        <f ca="1">ROUND(C34*F35,0)</f>
        <v>357055</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595092</v>
      </c>
      <c r="D37" s="260">
        <f ca="1">D19</f>
        <v>3967.28</v>
      </c>
      <c r="E37" s="292">
        <f>'数据-取费表'!B35</f>
        <v>150</v>
      </c>
      <c r="F37" s="302"/>
      <c r="G37" s="304"/>
    </row>
    <row r="38" spans="1:7" ht="13.5" customHeight="1">
      <c r="A38" s="950" t="s">
        <v>799</v>
      </c>
      <c r="B38" s="258" t="s">
        <v>2397</v>
      </c>
      <c r="C38" s="263">
        <f ca="1">ROUND(C34*F38,0)</f>
        <v>178528</v>
      </c>
      <c r="D38" s="263"/>
      <c r="E38" s="263"/>
      <c r="F38" s="302">
        <f>'数据-取费表'!B36</f>
        <v>1.4999999999999999E-2</v>
      </c>
      <c r="G38" s="262" t="s">
        <v>2392</v>
      </c>
    </row>
    <row r="39" spans="1:7" s="257" customFormat="1" ht="13.5" customHeight="1">
      <c r="A39" s="298" t="s">
        <v>2398</v>
      </c>
      <c r="B39" s="253" t="s">
        <v>2399</v>
      </c>
      <c r="C39" s="275">
        <f ca="1">ROUND(C33*F20,0)</f>
        <v>260650</v>
      </c>
      <c r="D39" s="275"/>
      <c r="E39" s="275"/>
      <c r="F39" s="276"/>
      <c r="G39" s="277" t="s">
        <v>2400</v>
      </c>
    </row>
    <row r="40" spans="1:7" s="257" customFormat="1" ht="13.5" customHeight="1">
      <c r="A40" s="298" t="s">
        <v>2401</v>
      </c>
      <c r="B40" s="253" t="s">
        <v>2402</v>
      </c>
      <c r="C40" s="1727">
        <f>F21</f>
        <v>0.02</v>
      </c>
      <c r="D40" s="279" t="s">
        <v>2403</v>
      </c>
      <c r="E40" s="275"/>
      <c r="F40" s="276"/>
      <c r="G40" s="277" t="s">
        <v>2404</v>
      </c>
    </row>
    <row r="41" spans="1:7" s="257" customFormat="1" ht="13.5" customHeight="1">
      <c r="A41" s="298" t="s">
        <v>2405</v>
      </c>
      <c r="B41" s="253" t="s">
        <v>2406</v>
      </c>
      <c r="C41" s="275">
        <f ca="1">ROUND(SUM(C42:C43),0)</f>
        <v>289126</v>
      </c>
      <c r="D41" s="278">
        <f ca="1">C44</f>
        <v>4.0000000000000002E-4</v>
      </c>
      <c r="E41" s="279" t="s">
        <v>2403</v>
      </c>
      <c r="F41" s="280"/>
      <c r="G41" s="277" t="str">
        <f>IF('数据-取费表'!B22&lt;=1,"单利计息","复利计息")</f>
        <v>单利计息</v>
      </c>
    </row>
    <row r="42" spans="1:7" ht="13.5" customHeight="1">
      <c r="A42" s="950" t="s">
        <v>791</v>
      </c>
      <c r="B42" s="258" t="s">
        <v>2407</v>
      </c>
      <c r="C42" s="281">
        <f ca="1">ROUND(IF('数据-取费表'!B22&lt;=1,C33*F22*'数据-取费表'!B20/2,C33*(POWER((1+F22),'数据-取费表'!B20/2)-1)),0)</f>
        <v>283457</v>
      </c>
      <c r="D42" s="281"/>
      <c r="E42" s="281"/>
      <c r="F42" s="282"/>
      <c r="G42" s="3151" t="s">
        <v>2455</v>
      </c>
    </row>
    <row r="43" spans="1:7" ht="13.5" customHeight="1">
      <c r="A43" s="950" t="s">
        <v>792</v>
      </c>
      <c r="B43" s="258" t="s">
        <v>2409</v>
      </c>
      <c r="C43" s="281">
        <f ca="1">ROUND(IF('数据-取费表'!B22&lt;=1,C39*F22*'数据-取费表'!B20/2,C39*(POWER((1+F22),'数据-取费表'!B20/2)-1)),0)</f>
        <v>5669</v>
      </c>
      <c r="D43" s="281"/>
      <c r="E43" s="281"/>
      <c r="F43" s="282"/>
      <c r="G43" s="3152"/>
    </row>
    <row r="44" spans="1:7" ht="13.5" customHeight="1">
      <c r="A44" s="950" t="s">
        <v>793</v>
      </c>
      <c r="B44" s="258" t="s">
        <v>2410</v>
      </c>
      <c r="C44" s="281">
        <f ca="1">ROUND(IF('数据-取费表'!B22&lt;=1,C40*F22*'数据-取费表'!B20/2,C40*(POWER((1+F22),'数据-取费表'!B20/2)-1)),4)</f>
        <v>4.0000000000000002E-4</v>
      </c>
      <c r="D44" s="281"/>
      <c r="E44" s="281"/>
      <c r="F44" s="282"/>
      <c r="G44" s="3153"/>
    </row>
    <row r="45" spans="1:7" s="257" customFormat="1" ht="13.5" customHeight="1">
      <c r="A45" s="298" t="s">
        <v>2411</v>
      </c>
      <c r="B45" s="287" t="s">
        <v>2377</v>
      </c>
      <c r="C45" s="288">
        <f ca="1">C46</f>
        <v>1329317</v>
      </c>
      <c r="D45" s="278">
        <f ca="1">C47</f>
        <v>2E-3</v>
      </c>
      <c r="E45" s="279" t="s">
        <v>2403</v>
      </c>
      <c r="F45" s="289"/>
      <c r="G45" s="290" t="s">
        <v>2412</v>
      </c>
    </row>
    <row r="46" spans="1:7" s="257" customFormat="1" ht="13.5" customHeight="1">
      <c r="A46" s="950" t="s">
        <v>791</v>
      </c>
      <c r="B46" s="291" t="s">
        <v>2413</v>
      </c>
      <c r="C46" s="292">
        <f ca="1">ROUND((C33+C39)*F27,0)</f>
        <v>1329317</v>
      </c>
      <c r="D46" s="306"/>
      <c r="E46" s="279"/>
      <c r="F46" s="289"/>
      <c r="G46" s="290"/>
    </row>
    <row r="47" spans="1:7" s="257" customFormat="1" ht="13.5" customHeight="1">
      <c r="A47" s="950" t="s">
        <v>792</v>
      </c>
      <c r="B47" s="291" t="s">
        <v>2414</v>
      </c>
      <c r="C47" s="281">
        <f ca="1">ROUND(C40*F27,4)</f>
        <v>2E-3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16117173</v>
      </c>
      <c r="D49" s="275"/>
      <c r="E49" s="275"/>
      <c r="F49" s="307"/>
      <c r="G49" s="277" t="s">
        <v>2418</v>
      </c>
    </row>
    <row r="50" spans="1:7" s="301" customFormat="1">
      <c r="A50" s="298" t="s">
        <v>2419</v>
      </c>
      <c r="B50" s="253" t="s">
        <v>2420</v>
      </c>
      <c r="C50" s="275"/>
      <c r="D50" s="275"/>
      <c r="E50" s="275"/>
      <c r="F50" s="307">
        <f>IF('数据-取费表'!B24=0,'数据-取费表'!N16,1)</f>
        <v>0.93</v>
      </c>
      <c r="G50" s="290"/>
    </row>
    <row r="51" spans="1:7" ht="16.5" customHeight="1">
      <c r="A51" s="298" t="s">
        <v>2422</v>
      </c>
      <c r="B51" s="253" t="s">
        <v>2457</v>
      </c>
      <c r="C51" s="275">
        <f ca="1">ROUND(C49*F50,0)</f>
        <v>14988971</v>
      </c>
      <c r="D51" s="275"/>
      <c r="E51" s="275"/>
      <c r="F51" s="307"/>
      <c r="G51" s="277" t="s">
        <v>2424</v>
      </c>
    </row>
    <row r="52" spans="1:7" s="251" customFormat="1" ht="16.5" thickBot="1">
      <c r="A52" s="308" t="s">
        <v>2425</v>
      </c>
      <c r="B52" s="309"/>
      <c r="C52" s="310">
        <f ca="1">C31+C51</f>
        <v>15846896</v>
      </c>
      <c r="D52" s="309"/>
      <c r="E52" s="309"/>
      <c r="F52" s="309"/>
      <c r="G52" s="311"/>
    </row>
    <row r="55" spans="1:7" ht="15">
      <c r="B55" s="313" t="s">
        <v>2426</v>
      </c>
      <c r="C55" s="314"/>
    </row>
    <row r="56" spans="1:7">
      <c r="B56" s="316" t="s">
        <v>1507</v>
      </c>
      <c r="C56" s="318">
        <f ca="1">1-C57</f>
        <v>5.4000000000000048E-2</v>
      </c>
    </row>
    <row r="57" spans="1:7">
      <c r="B57" s="316" t="s">
        <v>1508</v>
      </c>
      <c r="C57" s="317">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7</v>
      </c>
    </row>
    <row r="2" spans="1:33" ht="18" customHeight="1">
      <c r="A2" s="244" t="s">
        <v>2326</v>
      </c>
      <c r="B2" s="247">
        <f ca="1">C32</f>
        <v>-10</v>
      </c>
      <c r="C2" s="319" t="s">
        <v>2459</v>
      </c>
      <c r="D2" s="319"/>
      <c r="E2" s="319"/>
      <c r="F2" s="319"/>
      <c r="G2" s="319"/>
      <c r="H2" s="319"/>
      <c r="I2" s="319"/>
      <c r="J2" s="319"/>
      <c r="K2" s="319"/>
    </row>
    <row r="3" spans="1:33" ht="18" customHeight="1" thickBot="1">
      <c r="A3" s="246" t="s">
        <v>2328</v>
      </c>
      <c r="B3" s="247">
        <f ca="1">ROUND(B2*10000/IF(C1="",'数据-汇总表'!E3,INDIRECT("'数据-取费表'!K"&amp;$K$1)),0)</f>
        <v>-25</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55" t="s">
        <v>2464</v>
      </c>
      <c r="D5" s="2555" t="s">
        <v>2465</v>
      </c>
      <c r="E5" s="2555" t="s">
        <v>2466</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3">
        <f ca="1">ROUND(C11*F12,0)</f>
        <v>0</v>
      </c>
      <c r="D12" s="972"/>
      <c r="E12" s="374"/>
      <c r="F12" s="975">
        <f>'数据-取费表'!B33</f>
        <v>0.03</v>
      </c>
      <c r="G12" s="8" t="s">
        <v>2481</v>
      </c>
      <c r="H12" s="967"/>
      <c r="I12" s="967"/>
      <c r="J12" s="967"/>
      <c r="K12" s="968"/>
    </row>
    <row r="13" spans="1:33" s="974" customFormat="1" ht="13.5" customHeight="1">
      <c r="A13" s="970" t="s">
        <v>1331</v>
      </c>
      <c r="B13" s="971" t="s">
        <v>2482</v>
      </c>
      <c r="C13" s="23">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3">
        <f ca="1">ROUND(D14*E14*F11/10000,0)</f>
        <v>0</v>
      </c>
      <c r="D14" s="1032">
        <f ca="1">IF(C1="",'数据-汇总表'!E3,INDIRECT("'数据-取费表'!K"&amp;$K$1)+INDIRECT("'数据-取费表'!S"&amp;$K$1))</f>
        <v>3967.28</v>
      </c>
      <c r="E14" s="23">
        <f>'数据-取费表'!B35</f>
        <v>150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3">
        <f ca="1">ROUND(D17*E17/10000,0)</f>
        <v>0</v>
      </c>
      <c r="D17" s="1032">
        <f ca="1">D14</f>
        <v>3967.28</v>
      </c>
      <c r="E17" s="23">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3">
        <f ca="1">C19+C20-IF(C1="",'数据-取费表'!B29,IF(G18="已全部缴纳",C19+C20,H18))</f>
        <v>9</v>
      </c>
      <c r="D18" s="1032"/>
      <c r="E18" s="23"/>
      <c r="F18" s="975"/>
      <c r="G18" s="2557"/>
      <c r="H18" s="1576"/>
      <c r="I18" s="2558" t="s">
        <v>2492</v>
      </c>
      <c r="J18" s="978"/>
      <c r="K18" s="979"/>
    </row>
    <row r="19" spans="1:33" s="974" customFormat="1" ht="13.5" customHeight="1">
      <c r="A19" s="970" t="s">
        <v>805</v>
      </c>
      <c r="B19" s="971" t="s">
        <v>2493</v>
      </c>
      <c r="C19" s="23">
        <f ca="1">ROUND(D19*E19/10000,0)</f>
        <v>0</v>
      </c>
      <c r="D19" s="1032">
        <f ca="1">IF(C1="",'数据-汇总表'!E5,IF(INDIRECT("'数据-取费表'!c"&amp;$K$1)="住宅",INDIRECT("'数据-取费表'!k"&amp;$K$1),0))</f>
        <v>0</v>
      </c>
      <c r="E19" s="23">
        <f>'数据-取费表'!B27</f>
        <v>33.200000000000003</v>
      </c>
      <c r="F19" s="975"/>
      <c r="G19" s="14"/>
      <c r="H19" s="1578"/>
      <c r="I19" s="980"/>
      <c r="J19" s="980"/>
      <c r="K19" s="981"/>
    </row>
    <row r="20" spans="1:33" s="974" customFormat="1" ht="13.5" customHeight="1">
      <c r="A20" s="970" t="s">
        <v>806</v>
      </c>
      <c r="B20" s="971" t="s">
        <v>2494</v>
      </c>
      <c r="C20" s="23">
        <f ca="1">ROUND(D20*E20/10000,0)</f>
        <v>9</v>
      </c>
      <c r="D20" s="1032">
        <f ca="1">IF(C1="",'数据-汇总表'!E6,IF(INDIRECT("'数据-取费表'!c"&amp;$K$1)="住宅",INDIRECT("'数据-取费表'!s"&amp;$K$1),INDIRECT("'数据-取费表'!k"&amp;$K$1)+INDIRECT("'数据-取费表'!s"&amp;$K$1)))</f>
        <v>3967.28</v>
      </c>
      <c r="E20" s="23">
        <f>'数据-取费表'!B28</f>
        <v>21.6</v>
      </c>
      <c r="F20" s="975"/>
      <c r="G20" s="14"/>
      <c r="H20" s="980"/>
      <c r="I20" s="980"/>
      <c r="J20" s="980"/>
      <c r="K20" s="981"/>
    </row>
    <row r="21" spans="1:33" s="974" customFormat="1" ht="13.5" customHeight="1">
      <c r="A21" s="960" t="s">
        <v>802</v>
      </c>
      <c r="B21" s="984" t="s">
        <v>2495</v>
      </c>
      <c r="C21" s="985">
        <f ca="1">C16+C17+C18</f>
        <v>9</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3.8600000000000002E-2</v>
      </c>
      <c r="D24" s="324" t="s">
        <v>15</v>
      </c>
      <c r="E24" s="324"/>
      <c r="F24" s="987">
        <f>IF(项目基本情况!B8="出让",0,'数据-取费表'!B48+'数据-取费表'!B49)</f>
        <v>4.0500000000000001E-2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9"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9" t="str">
        <f>IF('数据-取费表'!B22&lt;=1,"（1）-（3）项×年利率×建设期÷2","（1）-（3）项×((1+年利率)^(建设期÷2)-1)")</f>
        <v>（1）-（3）项×年利率×建设期÷2</v>
      </c>
      <c r="H27" s="978"/>
      <c r="I27" s="978"/>
      <c r="J27" s="978"/>
      <c r="K27" s="979"/>
    </row>
    <row r="28" spans="1:33" s="332" customFormat="1" ht="13.5" customHeight="1">
      <c r="A28" s="960" t="s">
        <v>2508</v>
      </c>
      <c r="B28" s="2560" t="s">
        <v>2509</v>
      </c>
      <c r="C28" s="330">
        <f ca="1">C30</f>
        <v>1</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1</v>
      </c>
      <c r="D30" s="327"/>
      <c r="E30" s="328"/>
      <c r="F30" s="333"/>
      <c r="G30" s="139"/>
      <c r="H30" s="978"/>
      <c r="I30" s="978"/>
      <c r="J30" s="978"/>
      <c r="K30" s="979"/>
    </row>
    <row r="31" spans="1:33" s="974" customFormat="1" ht="13.5" customHeight="1" thickBot="1">
      <c r="A31" s="2561"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-10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0</v>
      </c>
      <c r="D5" s="1821" t="s">
        <v>1396</v>
      </c>
      <c r="E5" s="1292"/>
      <c r="F5" s="1293"/>
      <c r="G5" s="1850"/>
      <c r="H5" s="343">
        <v>1</v>
      </c>
      <c r="I5" s="344" t="s">
        <v>1395</v>
      </c>
      <c r="J5" s="1291">
        <f ca="1">J6+J10+J12</f>
        <v>0</v>
      </c>
      <c r="K5" s="1821" t="s">
        <v>1396</v>
      </c>
      <c r="L5" s="1292"/>
      <c r="M5" s="1293"/>
    </row>
    <row r="6" spans="1:37" ht="18" customHeight="1">
      <c r="A6" s="1290" t="s">
        <v>1031</v>
      </c>
      <c r="B6" s="3204" t="s">
        <v>1397</v>
      </c>
      <c r="C6" s="1295">
        <f ca="1">ROUND(F6*F8*F7*(1-F9)/10000,0)</f>
        <v>0</v>
      </c>
      <c r="D6" s="163" t="s">
        <v>3031</v>
      </c>
      <c r="E6" s="346" t="s">
        <v>1399</v>
      </c>
      <c r="F6" s="347">
        <f ca="1">INDIRECT("'数据-取费表'!u"&amp;$G$1)</f>
        <v>0</v>
      </c>
      <c r="G6" s="1850"/>
      <c r="H6" s="1290" t="s">
        <v>1031</v>
      </c>
      <c r="I6" s="3204" t="s">
        <v>1397</v>
      </c>
      <c r="J6" s="345">
        <f ca="1">ROUND(M6*M8*M7*(1-M9)/10000,0)</f>
        <v>0</v>
      </c>
      <c r="K6" s="163" t="s">
        <v>3030</v>
      </c>
      <c r="L6" s="346" t="s">
        <v>1399</v>
      </c>
      <c r="M6" s="347">
        <f ca="1">INDIRECT("'数据-取费表'!z"&amp;$G$1)</f>
        <v>0</v>
      </c>
    </row>
    <row r="7" spans="1:37" ht="18" customHeight="1">
      <c r="A7" s="1294"/>
      <c r="B7" s="3205"/>
      <c r="C7" s="1296"/>
      <c r="D7" s="351"/>
      <c r="E7" s="1297" t="s">
        <v>1400</v>
      </c>
      <c r="F7" s="347">
        <f ca="1">IF(INDIRECT("'数据-取费表'!ah"&amp;$G$1)="",INDIRECT("'数据-取费表'!k"&amp;$G$1),INDIRECT("'数据-取费表'!ah"&amp;$G$1))</f>
        <v>0</v>
      </c>
      <c r="G7" s="1850"/>
      <c r="H7" s="348"/>
      <c r="I7" s="3205"/>
      <c r="J7" s="350"/>
      <c r="K7" s="351"/>
      <c r="L7" s="346" t="s">
        <v>1400</v>
      </c>
      <c r="M7" s="347">
        <f ca="1">F7</f>
        <v>0</v>
      </c>
    </row>
    <row r="8" spans="1:37" ht="18" customHeight="1">
      <c r="A8" s="348"/>
      <c r="B8" s="3205"/>
      <c r="C8" s="350"/>
      <c r="D8" s="351"/>
      <c r="E8" s="346" t="s">
        <v>1401</v>
      </c>
      <c r="F8" s="347">
        <f ca="1">INDIRECT("'数据-取费表'!ai"&amp;$G$1)</f>
        <v>0</v>
      </c>
      <c r="G8" s="1850"/>
      <c r="H8" s="348"/>
      <c r="I8" s="3205"/>
      <c r="J8" s="350"/>
      <c r="K8" s="351"/>
      <c r="L8" s="346" t="s">
        <v>1401</v>
      </c>
      <c r="M8" s="347">
        <f ca="1">INDIRECT("'数据-取费表'!ai"&amp;$G$1)</f>
        <v>0</v>
      </c>
    </row>
    <row r="9" spans="1:37" ht="18" customHeight="1">
      <c r="A9" s="348"/>
      <c r="B9" s="3206"/>
      <c r="C9" s="350"/>
      <c r="D9" s="351"/>
      <c r="E9" s="346" t="s">
        <v>1402</v>
      </c>
      <c r="F9" s="356">
        <f ca="1">INDIRECT("'数据-取费表'!w"&amp;$G$1)</f>
        <v>0</v>
      </c>
      <c r="G9" s="1850"/>
      <c r="H9" s="348"/>
      <c r="I9" s="3206"/>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3040</v>
      </c>
      <c r="E10" s="357" t="s">
        <v>1404</v>
      </c>
      <c r="F10" s="1365"/>
      <c r="G10" s="1850"/>
      <c r="H10" s="1290" t="s">
        <v>1035</v>
      </c>
      <c r="I10" s="1822" t="s">
        <v>1403</v>
      </c>
      <c r="J10" s="345">
        <f ca="1">ROUND(IF(M10="押一",J6/12*M11,IF(M10="押二",J6/12*2*M11,IF(M10="押三",J6/12*3*M11,J11*M11))),0)</f>
        <v>0</v>
      </c>
      <c r="K10" s="1823" t="s">
        <v>3039</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0</v>
      </c>
      <c r="D14" s="1799" t="s">
        <v>1412</v>
      </c>
      <c r="E14" s="1793"/>
      <c r="F14" s="363"/>
      <c r="G14" s="1850"/>
      <c r="H14" s="1200" t="s">
        <v>1031</v>
      </c>
      <c r="I14" s="346" t="s">
        <v>1413</v>
      </c>
      <c r="J14" s="23">
        <f ca="1">C29</f>
        <v>0</v>
      </c>
      <c r="K14" s="14"/>
      <c r="L14" s="978"/>
      <c r="M14" s="979"/>
    </row>
    <row r="15" spans="1:37" s="1857" customFormat="1" ht="18" customHeight="1" thickBot="1">
      <c r="A15" s="1200" t="s">
        <v>1032</v>
      </c>
      <c r="B15" s="346" t="s">
        <v>1414</v>
      </c>
      <c r="C15" s="23">
        <f ca="1">ROUND(C14*F15,0)</f>
        <v>0</v>
      </c>
      <c r="D15" s="364" t="s">
        <v>1415</v>
      </c>
      <c r="E15" s="364" t="s">
        <v>1416</v>
      </c>
      <c r="F15" s="365">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3">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3">
        <f ca="1">ROUND(F17*(F43+INDIRECT("'数据-取费表'!S"&amp;$G$1))/10000,0)</f>
        <v>0</v>
      </c>
      <c r="D17" s="346" t="s">
        <v>1421</v>
      </c>
      <c r="E17" s="346" t="s">
        <v>1422</v>
      </c>
      <c r="F17" s="25">
        <f>'数据-取费表'!B35</f>
        <v>150</v>
      </c>
      <c r="G17" s="1853"/>
      <c r="H17" s="1200" t="s">
        <v>1031</v>
      </c>
      <c r="I17" s="346" t="s">
        <v>1423</v>
      </c>
      <c r="J17" s="23">
        <f ca="1">ROUND(IF(项目基本情况!B11="自然人",J6*M17/(1+'数据-取费表'!C42),J18+J19+J20),1)</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3">
        <f ca="1">ROUND(C14*F18,0)</f>
        <v>0</v>
      </c>
      <c r="D18" s="346" t="s">
        <v>1415</v>
      </c>
      <c r="E18" s="346" t="s">
        <v>1416</v>
      </c>
      <c r="F18" s="366">
        <f>'数据-取费表'!B36</f>
        <v>1.4999999999999999E-2</v>
      </c>
      <c r="G18" s="1853"/>
      <c r="H18" s="1200" t="s">
        <v>1030</v>
      </c>
      <c r="I18" s="346" t="s">
        <v>1427</v>
      </c>
      <c r="J18" s="23">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3">
        <f ca="1">SUM(C14:C18)</f>
        <v>0</v>
      </c>
      <c r="D19" s="139" t="s">
        <v>1430</v>
      </c>
      <c r="E19" s="1817"/>
      <c r="F19" s="25"/>
      <c r="G19" s="1850"/>
      <c r="H19" s="1200" t="s">
        <v>1032</v>
      </c>
      <c r="I19" s="346" t="s">
        <v>1431</v>
      </c>
      <c r="J19" s="23">
        <f ca="1">IF(K19="按租金收入计税",ROUND(J6*M19/(1+'数据-取费表'!C42),2),ROUND(C29*M19*0.7,2))</f>
        <v>0</v>
      </c>
      <c r="K19" s="1827" t="s">
        <v>1432</v>
      </c>
      <c r="L19" s="346" t="s">
        <v>1416</v>
      </c>
      <c r="M19" s="366">
        <f>IF(K19="按租金收入计税",'数据-取费表'!B51,'数据-取费表'!B50)</f>
        <v>1.2E-2</v>
      </c>
    </row>
    <row r="20" spans="1:37" s="1857" customFormat="1" ht="18" customHeight="1">
      <c r="A20" s="1200" t="s">
        <v>1035</v>
      </c>
      <c r="B20" s="346" t="s">
        <v>1433</v>
      </c>
      <c r="C20" s="23">
        <f ca="1">ROUND(C19*F20,0)</f>
        <v>0</v>
      </c>
      <c r="D20" s="368" t="s">
        <v>1434</v>
      </c>
      <c r="E20" s="346" t="s">
        <v>1416</v>
      </c>
      <c r="F20" s="366">
        <f>'数据-取费表'!B37</f>
        <v>0.02</v>
      </c>
      <c r="G20" s="1853"/>
      <c r="H20" s="1200" t="s">
        <v>1383</v>
      </c>
      <c r="I20" s="163" t="s">
        <v>1435</v>
      </c>
      <c r="J20" s="24">
        <f ca="1">ROUND(M20*M21/10000,2)</f>
        <v>0</v>
      </c>
      <c r="K20" s="369" t="s">
        <v>1436</v>
      </c>
      <c r="L20" s="346" t="s">
        <v>1437</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3" t="s">
        <v>18</v>
      </c>
      <c r="D21" s="368" t="s">
        <v>1439</v>
      </c>
      <c r="E21" s="346" t="s">
        <v>1440</v>
      </c>
      <c r="F21" s="366">
        <f>'数据-取费表'!B38</f>
        <v>0.02</v>
      </c>
      <c r="G21" s="1853"/>
      <c r="H21" s="371"/>
      <c r="I21" s="355"/>
      <c r="J21" s="28"/>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3"/>
      <c r="D22" s="139" t="str">
        <f>IF(F23&lt;=1,"单利计息。","复利计息。")&amp;"建造成本、管理费用、销售费用产生的利息。"</f>
        <v>单利计息。建造成本、管理费用、销售费用产生的利息。</v>
      </c>
      <c r="E22" s="1817"/>
      <c r="F22" s="25"/>
      <c r="G22" s="1850"/>
      <c r="H22" s="1200" t="s">
        <v>1035</v>
      </c>
      <c r="I22" s="346" t="s">
        <v>1443</v>
      </c>
      <c r="J22" s="23">
        <f ca="1">ROUND(J14*M22,1)</f>
        <v>0</v>
      </c>
      <c r="K22" s="1797" t="s">
        <v>1444</v>
      </c>
      <c r="L22" s="346" t="s">
        <v>1416</v>
      </c>
      <c r="M22" s="373">
        <f ca="1">INDIRECT("'数据-取费表'!Ak"&amp;$G$1)</f>
        <v>0</v>
      </c>
    </row>
    <row r="23" spans="1:37" s="1857" customFormat="1" ht="18" customHeight="1">
      <c r="A23" s="1200" t="s">
        <v>1030</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1446</v>
      </c>
      <c r="F23" s="370">
        <f>'数据-取费表'!B20</f>
        <v>1</v>
      </c>
      <c r="G23" s="1853"/>
      <c r="H23" s="1200" t="s">
        <v>1071</v>
      </c>
      <c r="I23" s="346" t="s">
        <v>1447</v>
      </c>
      <c r="J23" s="23">
        <f ca="1">ROUND(J13*M23,1)</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3">
        <f ca="1">ROUND(IF('数据-取费表'!B22&lt;=1,F21*F24*F23/2,F21*(POWER((1+F24),F23/2)-1)),4)</f>
        <v>4.0000000000000002E-4</v>
      </c>
      <c r="D24" s="374" t="str">
        <f>IF(F23&lt;=1,"销售费用×利率×(建设周期÷2)","销售费用×((1+利率)^(建设周期÷2)-1)")</f>
        <v>销售费用×利率×(建设周期÷2)</v>
      </c>
      <c r="E24" s="346" t="s">
        <v>1452</v>
      </c>
      <c r="F24" s="376">
        <f ca="1">'数据-取费表'!B40</f>
        <v>4.3499999999999997E-2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3"/>
      <c r="D25" s="139" t="s">
        <v>1456</v>
      </c>
      <c r="E25" s="1817"/>
      <c r="F25" s="25"/>
      <c r="G25" s="1850"/>
      <c r="H25" s="1328" t="s">
        <v>1027</v>
      </c>
      <c r="I25" s="1343" t="s">
        <v>1457</v>
      </c>
      <c r="J25" s="354">
        <f ca="1">J5-J16</f>
        <v>0</v>
      </c>
      <c r="K25" s="1344" t="s">
        <v>1458</v>
      </c>
      <c r="L25" s="1345"/>
      <c r="M25" s="1346"/>
    </row>
    <row r="26" spans="1:37">
      <c r="A26" s="1200" t="s">
        <v>1030</v>
      </c>
      <c r="B26" s="346" t="s">
        <v>1459</v>
      </c>
      <c r="C26" s="23">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3">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3">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3">
        <f ca="1">ROUND(IF(项目基本情况!B11="自然人",C6*F31/(1+'数据-取费表'!C42),C32+C33+C34),1)</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6" t="s">
        <v>1427</v>
      </c>
      <c r="C32" s="23">
        <f ca="1">IF(项目基本情况!B11="自然人","——",ROUND(C6*F32/(1+'数据-取费表'!C42),2))</f>
        <v>0</v>
      </c>
      <c r="D32" s="1797" t="s">
        <v>1428</v>
      </c>
      <c r="E32" s="346" t="s">
        <v>1416</v>
      </c>
      <c r="F32" s="376">
        <f>'数据-取费表'!B41</f>
        <v>5.5000000000000007E-2</v>
      </c>
      <c r="G32" s="1850"/>
      <c r="H32" s="744"/>
      <c r="I32" s="745"/>
      <c r="J32" s="746"/>
      <c r="K32" s="747"/>
      <c r="L32" s="748"/>
      <c r="M32" s="749"/>
    </row>
    <row r="33" spans="1:18" ht="18" customHeight="1">
      <c r="A33" s="1200" t="s">
        <v>1032</v>
      </c>
      <c r="B33" s="346" t="s">
        <v>1431</v>
      </c>
      <c r="C33" s="23">
        <f ca="1">IF(项目基本情况!B11="自然人","——",IF(D33="按租金收入计税",ROUND(C6*F33/(1+'数据-取费表'!C42),2),IF(D33="按房产原值计税",ROUND(C29*F33*0.7,2),INDIRECT("'数据-取费表'!Aj"&amp;$G$1))))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4">
        <f ca="1">IF(项目基本情况!B11="自然人","——",ROUND(F34*F35/10000,2))</f>
        <v>0</v>
      </c>
      <c r="D34" s="369" t="s">
        <v>1436</v>
      </c>
      <c r="E34" s="346" t="s">
        <v>1437</v>
      </c>
      <c r="F34" s="370">
        <f>'数据-取费表'!B52</f>
        <v>3</v>
      </c>
      <c r="G34" s="1850"/>
      <c r="H34" s="744"/>
      <c r="I34" s="1859"/>
      <c r="J34" s="1860"/>
      <c r="K34" s="1862"/>
      <c r="L34" s="1863"/>
      <c r="M34" s="1863"/>
    </row>
    <row r="35" spans="1:18" ht="18" customHeight="1">
      <c r="A35" s="1352"/>
      <c r="B35" s="1350"/>
      <c r="C35" s="28"/>
      <c r="D35" s="372"/>
      <c r="E35" s="346" t="s">
        <v>1441</v>
      </c>
      <c r="F35" s="347">
        <f ca="1">INDIRECT("'数据-取费表'!r"&amp;$G$1)</f>
        <v>0</v>
      </c>
      <c r="G35" s="1850"/>
      <c r="H35" s="744"/>
      <c r="I35" s="1859"/>
      <c r="J35" s="1860"/>
      <c r="K35" s="1861"/>
      <c r="L35" s="1858"/>
      <c r="M35" s="1858"/>
    </row>
    <row r="36" spans="1:18" ht="18" customHeight="1">
      <c r="A36" s="1351" t="s">
        <v>1035</v>
      </c>
      <c r="B36" s="346" t="s">
        <v>1443</v>
      </c>
      <c r="C36" s="23">
        <f ca="1">ROUND(C29*F36,1)</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3">
        <f ca="1">ROUND(C13*F37,1)</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ROUND(C40*10000/F43,0)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3032</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0">
        <f ca="1">ROUND(IF(F53="押一",C49/12*F11,IF(F53="押二",C49/12*2*F11,IF(F53="押三",C49/12*3*F11,C54*F11))),0)</f>
        <v>0</v>
      </c>
      <c r="D53" s="1823" t="s">
        <v>3039</v>
      </c>
      <c r="E53" s="357" t="s">
        <v>1404</v>
      </c>
      <c r="F53" s="1365"/>
      <c r="I53" s="1904" t="s">
        <v>1541</v>
      </c>
      <c r="J53" s="2951">
        <f ca="1">IF(M47="住宅",IF(D1="——",MAX(J51,L48),MAX(J51,L48-'数据-取费表'!B24)),IF(D1="——",MIN(J51,L48),MIN(J51,L48-'数据-取费表'!B24)))</f>
        <v>0</v>
      </c>
      <c r="K53" s="3207" t="s">
        <v>1542</v>
      </c>
      <c r="L53" s="3208"/>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3">
        <f ca="1">ROUND(IF(项目基本情况!B11="自然人",C48*F59,C60+C61+C62),1)</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3">
        <f ca="1">IF(项目基本情况!B11="自然人","——",ROUND(C48*F60/(1+'数据-取费表'!C42),2))</f>
        <v>0</v>
      </c>
      <c r="D60" s="1182" t="s">
        <v>1428</v>
      </c>
      <c r="E60" s="1168" t="s">
        <v>1416</v>
      </c>
      <c r="F60" s="376">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3">
        <f ca="1">IF(项目基本情况!B11="自然人","——",IF(D61="按租金收入计税",ROUND(C48*F61,2),IF(D61="按房产原值计税",ROUND(C57*F61*0.7,2),INDIRECT("'数据-取费表'!Aj"&amp;$G$1))))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4">
        <f ca="1">IF(项目基本情况!B11="自然人","——",ROUND(F62*F63/10000,2))</f>
        <v>0</v>
      </c>
      <c r="D62" s="1183" t="s">
        <v>1491</v>
      </c>
      <c r="E62" s="1168" t="s">
        <v>1492</v>
      </c>
      <c r="F62" s="370">
        <f t="shared" si="0"/>
        <v>3</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8"/>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3">
        <f ca="1">ROUND(C57*F64,1)</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3">
        <f ca="1">ROUND(C56*F65,1)</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3">
        <f ca="1">ROUND(C48*F66,1)</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c r="O70" s="1893" t="s">
        <v>1045</v>
      </c>
      <c r="P70" s="1932" t="s">
        <v>1579</v>
      </c>
      <c r="Q70" s="1885">
        <f ca="1">C13</f>
        <v>0</v>
      </c>
      <c r="R70" s="1885" t="s">
        <v>1523</v>
      </c>
    </row>
    <row r="71" spans="1:18" s="1841" customFormat="1" ht="13.5" thickBot="1">
      <c r="A71" s="1189" t="s">
        <v>1029</v>
      </c>
      <c r="B71" s="1190" t="s">
        <v>1481</v>
      </c>
      <c r="C71" s="381" t="e">
        <f ca="1">ROUND(C68*10000/F71,0)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2525</v>
      </c>
      <c r="B1" s="2563"/>
      <c r="C1" s="2563"/>
      <c r="D1" s="2563"/>
      <c r="E1" s="2564"/>
    </row>
    <row r="2" spans="1:6" ht="15.75">
      <c r="A2" s="2565" t="s">
        <v>2326</v>
      </c>
      <c r="B2" s="2566">
        <f ca="1">SUMIF(B6:B13,"&lt;&gt;#ref!",B6:B13)</f>
        <v>3079</v>
      </c>
      <c r="C2" s="2567" t="s">
        <v>2518</v>
      </c>
      <c r="D2" s="2568" t="s">
        <v>2519</v>
      </c>
      <c r="E2" s="2569">
        <f>SUM(E6:E13)</f>
        <v>3967.28</v>
      </c>
    </row>
    <row r="3" spans="1:6" ht="15.75">
      <c r="A3" s="2565" t="s">
        <v>1389</v>
      </c>
      <c r="B3" s="2566">
        <f ca="1">ROUND(B2*10000/E2,0)</f>
        <v>7761</v>
      </c>
      <c r="C3" s="2567" t="s">
        <v>2526</v>
      </c>
      <c r="D3" s="2570"/>
      <c r="E3" s="2571"/>
    </row>
    <row r="4" spans="1:6" ht="15.75">
      <c r="A4" s="2572"/>
      <c r="B4" s="2570"/>
      <c r="C4" s="2570"/>
      <c r="D4" s="2570"/>
      <c r="E4" s="2571"/>
    </row>
    <row r="5" spans="1:6" ht="15">
      <c r="A5" s="2573" t="s">
        <v>2520</v>
      </c>
      <c r="B5" s="3209" t="s">
        <v>2521</v>
      </c>
      <c r="C5" s="3209"/>
      <c r="D5" s="2574"/>
      <c r="E5" s="2575" t="s">
        <v>2522</v>
      </c>
      <c r="F5" s="2576" t="s">
        <v>2523</v>
      </c>
    </row>
    <row r="6" spans="1:6">
      <c r="A6" s="2577" t="str">
        <f>'数据-取费表'!AN6</f>
        <v>收益法 (元)</v>
      </c>
      <c r="B6" s="2576">
        <f ca="1">IF(F6="是",'数据-取费表'!AO6,0)</f>
        <v>3079</v>
      </c>
      <c r="C6" s="2567" t="s">
        <v>2518</v>
      </c>
      <c r="D6" s="2570"/>
      <c r="E6" s="2578">
        <f>IF(OR(A6=0,F6="否"),0,'数据-取费表'!K6+'数据-取费表'!S6)</f>
        <v>3967.28</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1072</v>
      </c>
      <c r="B1" s="3211"/>
      <c r="C1" s="3212"/>
      <c r="D1" s="3213">
        <f>SUM(I10,I15,I20,I21,I23)</f>
        <v>0</v>
      </c>
      <c r="E1" s="3213"/>
      <c r="F1" s="3213"/>
      <c r="G1" s="3213"/>
      <c r="H1" s="3213"/>
      <c r="I1" s="3214"/>
    </row>
    <row r="2" spans="1:9">
      <c r="A2" s="3215" t="s">
        <v>1073</v>
      </c>
      <c r="B2" s="3216" t="s">
        <v>1074</v>
      </c>
      <c r="C2" s="3216"/>
      <c r="D2" s="1300" t="s">
        <v>1075</v>
      </c>
      <c r="E2" s="1300" t="s">
        <v>1076</v>
      </c>
      <c r="F2" s="1300" t="s">
        <v>1077</v>
      </c>
      <c r="G2" s="1300" t="s">
        <v>1078</v>
      </c>
      <c r="H2" s="1300" t="s">
        <v>1079</v>
      </c>
      <c r="I2" s="1301" t="s">
        <v>1080</v>
      </c>
    </row>
    <row r="3" spans="1:9">
      <c r="A3" s="3215"/>
      <c r="B3" s="3216" t="s">
        <v>1081</v>
      </c>
      <c r="C3" s="3216"/>
      <c r="D3" s="1302"/>
      <c r="E3" s="1300"/>
      <c r="F3" s="1303"/>
      <c r="G3" s="1303"/>
      <c r="H3" s="1304"/>
      <c r="I3" s="1305">
        <f>ROUND(D3*E3*F3*G3*H3/10000,0)</f>
        <v>0</v>
      </c>
    </row>
    <row r="4" spans="1:9">
      <c r="A4" s="3215"/>
      <c r="B4" s="3216" t="s">
        <v>1082</v>
      </c>
      <c r="C4" s="3216"/>
      <c r="D4" s="1302"/>
      <c r="E4" s="1300"/>
      <c r="F4" s="1303"/>
      <c r="G4" s="1303"/>
      <c r="H4" s="1304"/>
      <c r="I4" s="1305">
        <f t="shared" ref="I4:I9" si="0">ROUND(D4*E4*F4*G4*H4/10000,0)</f>
        <v>0</v>
      </c>
    </row>
    <row r="5" spans="1:9">
      <c r="A5" s="3215"/>
      <c r="B5" s="3216" t="s">
        <v>1083</v>
      </c>
      <c r="C5" s="3216"/>
      <c r="D5" s="1302"/>
      <c r="E5" s="1300"/>
      <c r="F5" s="1303"/>
      <c r="G5" s="1303"/>
      <c r="H5" s="1304"/>
      <c r="I5" s="1305">
        <f t="shared" si="0"/>
        <v>0</v>
      </c>
    </row>
    <row r="6" spans="1:9">
      <c r="A6" s="3215"/>
      <c r="B6" s="3216" t="s">
        <v>1084</v>
      </c>
      <c r="C6" s="3216"/>
      <c r="D6" s="1302"/>
      <c r="E6" s="1300"/>
      <c r="F6" s="1303"/>
      <c r="G6" s="1303"/>
      <c r="H6" s="1304"/>
      <c r="I6" s="1305">
        <f t="shared" si="0"/>
        <v>0</v>
      </c>
    </row>
    <row r="7" spans="1:9">
      <c r="A7" s="3215"/>
      <c r="B7" s="3216" t="s">
        <v>1085</v>
      </c>
      <c r="C7" s="3216"/>
      <c r="D7" s="1302"/>
      <c r="E7" s="1300"/>
      <c r="F7" s="1303"/>
      <c r="G7" s="1303"/>
      <c r="H7" s="1304"/>
      <c r="I7" s="1305">
        <f t="shared" si="0"/>
        <v>0</v>
      </c>
    </row>
    <row r="8" spans="1:9">
      <c r="A8" s="3215"/>
      <c r="B8" s="3216" t="s">
        <v>1086</v>
      </c>
      <c r="C8" s="3216"/>
      <c r="D8" s="1302"/>
      <c r="E8" s="1300"/>
      <c r="F8" s="1303"/>
      <c r="G8" s="1303"/>
      <c r="H8" s="1304"/>
      <c r="I8" s="1305">
        <f t="shared" si="0"/>
        <v>0</v>
      </c>
    </row>
    <row r="9" spans="1:9">
      <c r="A9" s="3215"/>
      <c r="B9" s="3216" t="s">
        <v>1087</v>
      </c>
      <c r="C9" s="3216"/>
      <c r="D9" s="1302"/>
      <c r="E9" s="1300"/>
      <c r="F9" s="1303"/>
      <c r="G9" s="1303"/>
      <c r="H9" s="1304"/>
      <c r="I9" s="1305">
        <f t="shared" si="0"/>
        <v>0</v>
      </c>
    </row>
    <row r="10" spans="1:9">
      <c r="A10" s="3215"/>
      <c r="B10" s="3217" t="s">
        <v>1088</v>
      </c>
      <c r="C10" s="3217"/>
      <c r="D10" s="1306"/>
      <c r="E10" s="1306" t="e">
        <f>ROUND(D1*10000/D10/H9,0)</f>
        <v>#DIV/0!</v>
      </c>
      <c r="F10" s="1307"/>
      <c r="G10" s="1307"/>
      <c r="H10" s="1308"/>
      <c r="I10" s="1309">
        <f>SUM(I3:I9)</f>
        <v>0</v>
      </c>
    </row>
    <row r="11" spans="1:9" ht="14.25">
      <c r="A11" s="3215" t="s">
        <v>1089</v>
      </c>
      <c r="B11" s="3216" t="s">
        <v>1090</v>
      </c>
      <c r="C11" s="3216"/>
      <c r="D11" s="1302" t="s">
        <v>1091</v>
      </c>
      <c r="E11" s="1302" t="s">
        <v>1092</v>
      </c>
      <c r="F11" s="1303" t="s">
        <v>1093</v>
      </c>
      <c r="G11" s="1303" t="s">
        <v>1079</v>
      </c>
      <c r="H11" s="1310" t="s">
        <v>1094</v>
      </c>
      <c r="I11" s="1301" t="s">
        <v>1080</v>
      </c>
    </row>
    <row r="12" spans="1:9">
      <c r="A12" s="3215"/>
      <c r="B12" s="3216" t="s">
        <v>1095</v>
      </c>
      <c r="C12" s="3216"/>
      <c r="D12" s="1302"/>
      <c r="E12" s="1302"/>
      <c r="F12" s="1303"/>
      <c r="G12" s="1304"/>
      <c r="H12" s="1311"/>
      <c r="I12" s="1301">
        <f>ROUND(D12*E12*F12*G12/10000,0)</f>
        <v>0</v>
      </c>
    </row>
    <row r="13" spans="1:9">
      <c r="A13" s="3215"/>
      <c r="B13" s="3216" t="s">
        <v>1096</v>
      </c>
      <c r="C13" s="3216"/>
      <c r="D13" s="1302"/>
      <c r="E13" s="1302"/>
      <c r="F13" s="1303"/>
      <c r="G13" s="1304"/>
      <c r="H13" s="1311"/>
      <c r="I13" s="1301">
        <f>ROUND(D13*E13*F13*G13/10000,0)</f>
        <v>0</v>
      </c>
    </row>
    <row r="14" spans="1:9">
      <c r="A14" s="3215"/>
      <c r="B14" s="3216" t="s">
        <v>1097</v>
      </c>
      <c r="C14" s="3216"/>
      <c r="D14" s="1302"/>
      <c r="E14" s="1302"/>
      <c r="F14" s="1303"/>
      <c r="G14" s="1304"/>
      <c r="H14" s="1311"/>
      <c r="I14" s="1301">
        <f>ROUND(D14*E14*F14*G14/10000,0)</f>
        <v>0</v>
      </c>
    </row>
    <row r="15" spans="1:9">
      <c r="A15" s="3215"/>
      <c r="B15" s="3217" t="s">
        <v>1088</v>
      </c>
      <c r="C15" s="3217"/>
      <c r="D15" s="1306"/>
      <c r="E15" s="1306">
        <f>SUM(E12:E14)</f>
        <v>0</v>
      </c>
      <c r="F15" s="1307"/>
      <c r="G15" s="1304"/>
      <c r="H15" s="1311"/>
      <c r="I15" s="1312">
        <f>SUM(I12:I14)</f>
        <v>0</v>
      </c>
    </row>
    <row r="16" spans="1:9" ht="24">
      <c r="A16" s="3215" t="s">
        <v>1098</v>
      </c>
      <c r="B16" s="3216" t="s">
        <v>1099</v>
      </c>
      <c r="C16" s="3216"/>
      <c r="D16" s="1302" t="s">
        <v>1075</v>
      </c>
      <c r="E16" s="1313" t="s">
        <v>1100</v>
      </c>
      <c r="F16" s="1303" t="s">
        <v>1101</v>
      </c>
      <c r="G16" s="1304" t="s">
        <v>1079</v>
      </c>
      <c r="H16" s="1310" t="s">
        <v>1094</v>
      </c>
      <c r="I16" s="1301" t="s">
        <v>1080</v>
      </c>
    </row>
    <row r="17" spans="1:9" ht="14.25">
      <c r="A17" s="3215"/>
      <c r="B17" s="3216" t="s">
        <v>1102</v>
      </c>
      <c r="C17" s="3216"/>
      <c r="D17" s="1302"/>
      <c r="E17" s="1302"/>
      <c r="F17" s="1303"/>
      <c r="G17" s="1304"/>
      <c r="H17" s="1314"/>
      <c r="I17" s="1315">
        <f>ROUND(D17*E17*F17*G17/10000,0)</f>
        <v>0</v>
      </c>
    </row>
    <row r="18" spans="1:9" ht="14.25">
      <c r="A18" s="3215"/>
      <c r="B18" s="3216" t="s">
        <v>1103</v>
      </c>
      <c r="C18" s="3216"/>
      <c r="D18" s="1302"/>
      <c r="E18" s="1302"/>
      <c r="F18" s="1303"/>
      <c r="G18" s="1304"/>
      <c r="H18" s="1314"/>
      <c r="I18" s="1315">
        <f>ROUND(D18*E18*F18*G18/10000,0)</f>
        <v>0</v>
      </c>
    </row>
    <row r="19" spans="1:9" ht="14.25">
      <c r="A19" s="3215"/>
      <c r="B19" s="3216" t="s">
        <v>1104</v>
      </c>
      <c r="C19" s="3216"/>
      <c r="D19" s="1302"/>
      <c r="E19" s="1302"/>
      <c r="F19" s="1303"/>
      <c r="G19" s="1304"/>
      <c r="H19" s="1314"/>
      <c r="I19" s="1315">
        <f>ROUND(D19*E19*F19*G19/10000,0)</f>
        <v>0</v>
      </c>
    </row>
    <row r="20" spans="1:9">
      <c r="A20" s="3215"/>
      <c r="B20" s="3217" t="s">
        <v>1088</v>
      </c>
      <c r="C20" s="3217"/>
      <c r="D20" s="1306">
        <f>SUM(D17:D19)</f>
        <v>0</v>
      </c>
      <c r="E20" s="1306"/>
      <c r="F20" s="1307"/>
      <c r="G20" s="1304"/>
      <c r="H20" s="1311"/>
      <c r="I20" s="1312">
        <f>SUM(I17:I19)</f>
        <v>0</v>
      </c>
    </row>
    <row r="21" spans="1:9">
      <c r="A21" s="3215" t="s">
        <v>1105</v>
      </c>
      <c r="B21" s="3219"/>
      <c r="C21" s="3219"/>
      <c r="D21" s="3219"/>
      <c r="E21" s="3219"/>
      <c r="F21" s="3219"/>
      <c r="G21" s="3219"/>
      <c r="H21" s="1764">
        <v>0.1</v>
      </c>
      <c r="I21" s="1309">
        <f>ROUND(I10*H21,0)</f>
        <v>0</v>
      </c>
    </row>
    <row r="22" spans="1:9" ht="14.25">
      <c r="A22" s="3220" t="s">
        <v>1106</v>
      </c>
      <c r="B22" s="3221"/>
      <c r="C22" s="3222"/>
      <c r="D22" s="1316" t="s">
        <v>1107</v>
      </c>
      <c r="E22" s="1316" t="s">
        <v>1108</v>
      </c>
      <c r="F22" s="1317" t="s">
        <v>1109</v>
      </c>
      <c r="G22" s="1317" t="s">
        <v>1110</v>
      </c>
      <c r="H22" s="1310" t="s">
        <v>1111</v>
      </c>
      <c r="I22" s="1301" t="s">
        <v>1112</v>
      </c>
    </row>
    <row r="23" spans="1:9" ht="14.25" thickBot="1">
      <c r="A23" s="3223"/>
      <c r="B23" s="3224"/>
      <c r="C23" s="3225"/>
      <c r="D23" s="1318"/>
      <c r="E23" s="1318"/>
      <c r="F23" s="1318"/>
      <c r="G23" s="1319"/>
      <c r="H23" s="1320"/>
      <c r="I23" s="1321">
        <f>ROUND(E23*D23*F23*(1-G23)/10000,0)</f>
        <v>0</v>
      </c>
    </row>
    <row r="26" spans="1:9">
      <c r="A26" s="1322" t="s">
        <v>1113</v>
      </c>
      <c r="B26" s="1322"/>
      <c r="C26" s="1322"/>
      <c r="D26" s="1322"/>
      <c r="E26" s="3226">
        <f>C27-C30-C31-C32</f>
        <v>0</v>
      </c>
      <c r="F26" s="3226"/>
      <c r="G26" s="3226"/>
      <c r="H26" s="1736" t="s">
        <v>1335</v>
      </c>
    </row>
    <row r="27" spans="1:9">
      <c r="A27" s="1323">
        <v>1</v>
      </c>
      <c r="B27" s="1324" t="s">
        <v>1114</v>
      </c>
      <c r="C27" s="1324">
        <f>C28+C29</f>
        <v>0</v>
      </c>
      <c r="D27" s="1324"/>
      <c r="E27" s="3227"/>
      <c r="F27" s="3227"/>
      <c r="G27" s="3227"/>
    </row>
    <row r="28" spans="1:9">
      <c r="A28" s="1325" t="s">
        <v>1115</v>
      </c>
      <c r="B28" s="1324" t="s">
        <v>1116</v>
      </c>
      <c r="C28" s="1324"/>
      <c r="D28" s="1324"/>
      <c r="E28" s="3227"/>
      <c r="F28" s="3227"/>
      <c r="G28" s="3227"/>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8"/>
      <c r="F32" s="3218"/>
      <c r="G32" s="3218"/>
    </row>
    <row r="33" spans="1:7" hidden="1">
      <c r="A33" s="3228" t="s">
        <v>1125</v>
      </c>
      <c r="B33" s="3229"/>
      <c r="C33" s="3229"/>
      <c r="D33" s="3230"/>
      <c r="E33" s="3226"/>
      <c r="F33" s="3226"/>
      <c r="G33" s="3226"/>
    </row>
    <row r="34" spans="1:7" hidden="1">
      <c r="A34" s="1327">
        <v>1</v>
      </c>
      <c r="B34" s="1324" t="s">
        <v>1126</v>
      </c>
      <c r="C34" s="1324"/>
      <c r="D34" s="1324"/>
      <c r="E34" s="3227"/>
      <c r="F34" s="3227"/>
      <c r="G34" s="3227"/>
    </row>
    <row r="35" spans="1:7" hidden="1">
      <c r="A35" s="1327">
        <v>2</v>
      </c>
      <c r="B35" s="1324" t="s">
        <v>1127</v>
      </c>
      <c r="C35" s="1324"/>
      <c r="D35" s="1324"/>
      <c r="E35" s="3227"/>
      <c r="F35" s="3227"/>
      <c r="G35" s="3227"/>
    </row>
    <row r="36" spans="1:7" hidden="1">
      <c r="A36" s="1327">
        <v>3</v>
      </c>
      <c r="B36" s="1324" t="s">
        <v>1128</v>
      </c>
      <c r="C36" s="1324"/>
      <c r="D36" s="1324"/>
      <c r="E36" s="3227"/>
      <c r="F36" s="3227"/>
      <c r="G36" s="3227"/>
    </row>
    <row r="37" spans="1:7" hidden="1">
      <c r="A37" s="1327">
        <v>4</v>
      </c>
      <c r="B37" s="1324" t="s">
        <v>1129</v>
      </c>
      <c r="C37" s="1324"/>
      <c r="D37" s="1324"/>
      <c r="E37" s="3227"/>
      <c r="F37" s="3227"/>
      <c r="G37" s="3227"/>
    </row>
    <row r="38" spans="1:7" hidden="1">
      <c r="A38" s="3228" t="s">
        <v>1130</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1606</v>
      </c>
    </row>
    <row r="6" spans="1:1" ht="18.75">
      <c r="A6" s="1948" t="s">
        <v>1607</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估价对象为房地产，为所有。根据《国有土地使用证》[]，估价对象（分摊）出让国有建设用地使用权面积为1983.64平方米，建筑面积为3967.28平方米。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估价对象为房地产,属开发建设的，该项目尚在开发建设中。根据《国有土地使用证》[]，估价对象（分摊）出让国有建设用地使用权面积为1983.64平方米，规划建筑面积为3967.28平方米。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2020年5月18日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本次评估采用的主估价方法为收益法和比较法。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83" t="s">
        <v>2528</v>
      </c>
      <c r="C1" s="1633" t="s">
        <v>2529</v>
      </c>
      <c r="D1" s="1620"/>
      <c r="E1" s="2584"/>
      <c r="F1" s="2585" t="s">
        <v>2530</v>
      </c>
      <c r="G1" s="1630" t="s">
        <v>2531</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7"/>
      <c r="D2" s="1364" t="e">
        <f ca="1">SUMIF(INDIRECT("'"&amp;F2&amp;"'"&amp;"!A:A"),"承租人权益价值",INDIRECT("'"&amp;F2&amp;"'"&amp;"!c:c"))</f>
        <v>#REF!</v>
      </c>
      <c r="E2" s="2588" t="s">
        <v>2532</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1389</v>
      </c>
      <c r="B3" s="398" t="e">
        <f ca="1">IF(C2="——",C49,ROUND(B2*10000/D3,0))</f>
        <v>#DIV/0!</v>
      </c>
      <c r="C3" s="399" t="s">
        <v>2533</v>
      </c>
      <c r="D3" s="398">
        <f>IF(D1="",'数据-汇总表'!E3,SUMIF('数据-汇总表'!$C19:$C33,D1,'数据-汇总表'!$E19:$E33))</f>
        <v>3967.28</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0" t="s">
        <v>2534</v>
      </c>
      <c r="B4" s="401"/>
      <c r="C4" s="3173" t="s">
        <v>2535</v>
      </c>
      <c r="D4" s="3174"/>
      <c r="E4" s="3175" t="s">
        <v>2536</v>
      </c>
      <c r="F4" s="3176"/>
      <c r="G4" s="3173" t="s">
        <v>2537</v>
      </c>
      <c r="H4" s="3174"/>
      <c r="I4" s="3173" t="s">
        <v>2538</v>
      </c>
      <c r="J4" s="3174"/>
      <c r="K4" s="2597" t="s">
        <v>2539</v>
      </c>
      <c r="L4" s="1129"/>
      <c r="M4" s="1130"/>
      <c r="N4" s="1130"/>
      <c r="O4" s="1130"/>
      <c r="P4" s="3177" t="s">
        <v>2540</v>
      </c>
      <c r="Q4" s="3178"/>
      <c r="R4" s="3160" t="s">
        <v>2536</v>
      </c>
      <c r="S4" s="3161"/>
      <c r="T4" s="3160" t="s">
        <v>2537</v>
      </c>
      <c r="U4" s="3161"/>
      <c r="V4" s="3157" t="s">
        <v>2538</v>
      </c>
      <c r="W4" s="3157"/>
      <c r="X4" s="1812"/>
      <c r="Y4" s="3160" t="s">
        <v>2540</v>
      </c>
      <c r="Z4" s="3161"/>
      <c r="AA4" s="3154" t="s">
        <v>2536</v>
      </c>
      <c r="AB4" s="3154" t="s">
        <v>2537</v>
      </c>
      <c r="AC4" s="3154" t="s">
        <v>2538</v>
      </c>
    </row>
    <row r="5" spans="1:29" ht="15">
      <c r="A5" s="403"/>
      <c r="B5" s="404"/>
      <c r="C5" s="3166" t="s">
        <v>2541</v>
      </c>
      <c r="D5" s="3167"/>
      <c r="E5" s="3164" t="s">
        <v>2542</v>
      </c>
      <c r="F5" s="3165"/>
      <c r="G5" s="3166" t="s">
        <v>2543</v>
      </c>
      <c r="H5" s="3167"/>
      <c r="I5" s="3166" t="s">
        <v>2544</v>
      </c>
      <c r="J5" s="3167"/>
      <c r="K5" s="2598"/>
      <c r="L5" s="1129"/>
      <c r="M5" s="1130"/>
      <c r="N5" s="1130"/>
      <c r="O5" s="1130"/>
      <c r="P5" s="3179"/>
      <c r="Q5" s="3180"/>
      <c r="R5" s="3162"/>
      <c r="S5" s="3163"/>
      <c r="T5" s="3162"/>
      <c r="U5" s="3163"/>
      <c r="V5" s="3157"/>
      <c r="W5" s="3157"/>
      <c r="X5" s="1812"/>
      <c r="Y5" s="3162"/>
      <c r="Z5" s="3163"/>
      <c r="AA5" s="3155"/>
      <c r="AB5" s="3155"/>
      <c r="AC5" s="3155"/>
    </row>
    <row r="6" spans="1:29" ht="15.75" thickBot="1">
      <c r="A6" s="405"/>
      <c r="B6" s="406"/>
      <c r="C6" s="3168" t="s">
        <v>2545</v>
      </c>
      <c r="D6" s="3169"/>
      <c r="E6" s="3170" t="s">
        <v>2545</v>
      </c>
      <c r="F6" s="3171"/>
      <c r="G6" s="3168" t="s">
        <v>2545</v>
      </c>
      <c r="H6" s="3169"/>
      <c r="I6" s="3168" t="s">
        <v>2545</v>
      </c>
      <c r="J6" s="3169"/>
      <c r="K6" s="2598" t="s">
        <v>2546</v>
      </c>
      <c r="L6" s="1129"/>
      <c r="M6" s="1130"/>
      <c r="N6" s="1130"/>
      <c r="O6" s="1130"/>
      <c r="P6" s="3181"/>
      <c r="Q6" s="3182"/>
      <c r="R6" s="3162"/>
      <c r="S6" s="3163"/>
      <c r="T6" s="3183"/>
      <c r="U6" s="3184"/>
      <c r="V6" s="3157"/>
      <c r="W6" s="3157"/>
      <c r="X6" s="1812"/>
      <c r="Y6" s="3183"/>
      <c r="Z6" s="3184"/>
      <c r="AA6" s="3156"/>
      <c r="AB6" s="3156"/>
      <c r="AC6" s="3156"/>
    </row>
    <row r="7" spans="1:29" s="116" customFormat="1" ht="15.75" thickBot="1">
      <c r="A7" s="407" t="s">
        <v>2547</v>
      </c>
      <c r="B7" s="408"/>
      <c r="C7" s="409">
        <f>'数据-取费表'!B2</f>
        <v>43969</v>
      </c>
      <c r="D7" s="410">
        <v>100</v>
      </c>
      <c r="E7" s="411"/>
      <c r="F7" s="412">
        <f>SUMIF(58:58,YEAR(E7)&amp;"-"&amp;MONTH(E7),59:59)</f>
        <v>0</v>
      </c>
      <c r="G7" s="411"/>
      <c r="H7" s="410">
        <f>SUMIF(58:58,YEAR(G7)&amp;"-"&amp;MONTH(G7),59:59)</f>
        <v>0</v>
      </c>
      <c r="I7" s="411"/>
      <c r="J7" s="410">
        <f>SUMIF(58:58,YEAR(I7)&amp;"-"&amp;MONTH(I7),59:59)</f>
        <v>0</v>
      </c>
      <c r="K7" s="2599"/>
      <c r="L7" s="1131"/>
      <c r="M7" s="1132"/>
      <c r="N7" s="1132"/>
      <c r="O7" s="1132"/>
      <c r="P7" s="3158" t="s">
        <v>2548</v>
      </c>
      <c r="Q7" s="3185"/>
      <c r="R7" s="769" t="s">
        <v>23</v>
      </c>
      <c r="S7" s="770">
        <f t="shared" ref="S7:S15" si="0">F7</f>
        <v>0</v>
      </c>
      <c r="T7" s="769" t="s">
        <v>23</v>
      </c>
      <c r="U7" s="770">
        <f t="shared" ref="U7:U15" si="1">H7</f>
        <v>0</v>
      </c>
      <c r="V7" s="769" t="s">
        <v>23</v>
      </c>
      <c r="W7" s="770">
        <f t="shared" ref="W7:W15" si="2">J7</f>
        <v>0</v>
      </c>
      <c r="X7" s="771"/>
      <c r="Y7" s="3158" t="s">
        <v>2548</v>
      </c>
      <c r="Z7" s="3159"/>
      <c r="AA7" s="772" t="e">
        <f>D7/F7</f>
        <v>#DIV/0!</v>
      </c>
      <c r="AB7" s="772" t="e">
        <f>D7/H7</f>
        <v>#DIV/0!</v>
      </c>
      <c r="AC7" s="772" t="e">
        <f>D7/J7</f>
        <v>#DIV/0!</v>
      </c>
    </row>
    <row r="8" spans="1:29" s="116" customFormat="1" ht="15.75" thickBot="1">
      <c r="A8" s="407" t="s">
        <v>2549</v>
      </c>
      <c r="B8" s="408"/>
      <c r="C8" s="413" t="s">
        <v>2550</v>
      </c>
      <c r="D8" s="410">
        <v>100</v>
      </c>
      <c r="E8" s="2600"/>
      <c r="F8" s="412">
        <f>SUMIF(61:61,E8,62:62)-SUMIF(61:61,C8,62:62)+100</f>
        <v>0</v>
      </c>
      <c r="G8" s="413"/>
      <c r="H8" s="410">
        <f>SUMIF(61:61,G8,62:62)-SUMIF(61:61,C8,62:62)+100</f>
        <v>0</v>
      </c>
      <c r="I8" s="2600"/>
      <c r="J8" s="410">
        <f>SUMIF(61:61,I8,62:62)-SUMIF(61:61,C8,62:62)+100</f>
        <v>0</v>
      </c>
      <c r="K8" s="2599"/>
      <c r="L8" s="1131"/>
      <c r="M8" s="1132"/>
      <c r="N8" s="1132"/>
      <c r="O8" s="1132"/>
      <c r="P8" s="3158" t="s">
        <v>2551</v>
      </c>
      <c r="Q8" s="3159"/>
      <c r="R8" s="769" t="s">
        <v>23</v>
      </c>
      <c r="S8" s="770">
        <f t="shared" si="0"/>
        <v>0</v>
      </c>
      <c r="T8" s="769" t="s">
        <v>23</v>
      </c>
      <c r="U8" s="770">
        <f t="shared" si="1"/>
        <v>0</v>
      </c>
      <c r="V8" s="769" t="s">
        <v>23</v>
      </c>
      <c r="W8" s="770">
        <f t="shared" si="2"/>
        <v>0</v>
      </c>
      <c r="X8" s="771"/>
      <c r="Y8" s="3158" t="s">
        <v>2551</v>
      </c>
      <c r="Z8" s="3159"/>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9"/>
      <c r="L9" s="1131"/>
      <c r="M9" s="1132"/>
      <c r="N9" s="1132"/>
      <c r="O9" s="1132"/>
      <c r="P9" s="3172" t="s">
        <v>2554</v>
      </c>
      <c r="Q9" s="1794" t="str">
        <f t="shared" ref="Q9:Q15" si="6">B9</f>
        <v>用途</v>
      </c>
      <c r="R9" s="769" t="s">
        <v>17</v>
      </c>
      <c r="S9" s="770">
        <f t="shared" si="0"/>
        <v>100</v>
      </c>
      <c r="T9" s="769" t="s">
        <v>17</v>
      </c>
      <c r="U9" s="770">
        <f t="shared" si="1"/>
        <v>100</v>
      </c>
      <c r="V9" s="769" t="s">
        <v>17</v>
      </c>
      <c r="W9" s="770">
        <f t="shared" si="2"/>
        <v>100</v>
      </c>
      <c r="X9" s="771"/>
      <c r="Y9" s="303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72"/>
      <c r="Q10" s="1794"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72"/>
      <c r="Q11" s="1794" t="str">
        <f t="shared" si="6"/>
        <v>容积率</v>
      </c>
      <c r="R11" s="769" t="s">
        <v>21</v>
      </c>
      <c r="S11" s="770" t="e">
        <f t="shared" si="0"/>
        <v>#N/A</v>
      </c>
      <c r="T11" s="769" t="s">
        <v>21</v>
      </c>
      <c r="U11" s="770" t="e">
        <f t="shared" si="1"/>
        <v>#N/A</v>
      </c>
      <c r="V11" s="769" t="s">
        <v>21</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1"/>
      <c r="M12" s="1132"/>
      <c r="N12" s="1132"/>
      <c r="O12" s="1132"/>
      <c r="P12" s="3172"/>
      <c r="Q12" s="1794">
        <f t="shared" si="6"/>
        <v>111</v>
      </c>
      <c r="R12" s="769" t="s">
        <v>21</v>
      </c>
      <c r="S12" s="770">
        <f t="shared" si="0"/>
        <v>100</v>
      </c>
      <c r="T12" s="769" t="s">
        <v>21</v>
      </c>
      <c r="U12" s="770">
        <f t="shared" si="1"/>
        <v>100</v>
      </c>
      <c r="V12" s="769" t="s">
        <v>21</v>
      </c>
      <c r="W12" s="770">
        <f t="shared" si="2"/>
        <v>100</v>
      </c>
      <c r="X12" s="771"/>
      <c r="Y12" s="3031"/>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39"/>
      <c r="M13" s="1130"/>
      <c r="N13" s="1130"/>
      <c r="O13" s="1130"/>
      <c r="P13" s="3172"/>
      <c r="Q13" s="1794">
        <f t="shared" si="6"/>
        <v>111</v>
      </c>
      <c r="R13" s="769" t="s">
        <v>21</v>
      </c>
      <c r="S13" s="770">
        <f t="shared" si="0"/>
        <v>100</v>
      </c>
      <c r="T13" s="769" t="s">
        <v>21</v>
      </c>
      <c r="U13" s="770">
        <f t="shared" si="1"/>
        <v>100</v>
      </c>
      <c r="V13" s="769" t="s">
        <v>21</v>
      </c>
      <c r="W13" s="770">
        <f t="shared" si="2"/>
        <v>100</v>
      </c>
      <c r="X13" s="771"/>
      <c r="Y13" s="3031"/>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39"/>
      <c r="M14" s="1130"/>
      <c r="N14" s="1130"/>
      <c r="O14" s="1130"/>
      <c r="P14" s="3172"/>
      <c r="Q14" s="1794">
        <f t="shared" si="6"/>
        <v>111</v>
      </c>
      <c r="R14" s="769" t="s">
        <v>21</v>
      </c>
      <c r="S14" s="770">
        <f t="shared" si="0"/>
        <v>100</v>
      </c>
      <c r="T14" s="769" t="s">
        <v>21</v>
      </c>
      <c r="U14" s="770">
        <f t="shared" si="1"/>
        <v>100</v>
      </c>
      <c r="V14" s="769" t="s">
        <v>21</v>
      </c>
      <c r="W14" s="770">
        <f t="shared" si="2"/>
        <v>100</v>
      </c>
      <c r="X14" s="771"/>
      <c r="Y14" s="3031"/>
      <c r="Z14" s="54">
        <f t="shared" si="7"/>
        <v>111</v>
      </c>
      <c r="AA14" s="772">
        <f t="shared" si="3"/>
        <v>1</v>
      </c>
      <c r="AB14" s="772">
        <f t="shared" si="4"/>
        <v>1</v>
      </c>
      <c r="AC14" s="772">
        <f t="shared" si="5"/>
        <v>1</v>
      </c>
    </row>
    <row r="15" spans="1:29" ht="99.75">
      <c r="A15" s="439" t="s">
        <v>2558</v>
      </c>
      <c r="B15" s="68" t="s">
        <v>2083</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86" t="s">
        <v>2559</v>
      </c>
      <c r="Q15" s="1809" t="str">
        <f t="shared" si="6"/>
        <v>居住社区成熟度</v>
      </c>
      <c r="R15" s="773" t="s">
        <v>21</v>
      </c>
      <c r="S15" s="774">
        <f t="shared" si="0"/>
        <v>100</v>
      </c>
      <c r="T15" s="773" t="s">
        <v>21</v>
      </c>
      <c r="U15" s="774">
        <f t="shared" si="1"/>
        <v>100</v>
      </c>
      <c r="V15" s="773" t="s">
        <v>21</v>
      </c>
      <c r="W15" s="774">
        <f t="shared" si="2"/>
        <v>100</v>
      </c>
      <c r="X15" s="1812"/>
      <c r="Y15" s="3188" t="s">
        <v>2559</v>
      </c>
      <c r="Z15" s="1813" t="str">
        <f t="shared" si="7"/>
        <v>居住社区成熟度</v>
      </c>
      <c r="AA15" s="1810">
        <f t="shared" si="3"/>
        <v>1</v>
      </c>
      <c r="AB15" s="1810">
        <f t="shared" si="4"/>
        <v>1</v>
      </c>
      <c r="AC15" s="1810">
        <f t="shared" si="5"/>
        <v>1</v>
      </c>
    </row>
    <row r="16" spans="1:29" ht="15">
      <c r="A16" s="427"/>
      <c r="B16" s="445"/>
      <c r="C16" s="446"/>
      <c r="D16" s="447"/>
      <c r="E16" s="2605"/>
      <c r="F16" s="447"/>
      <c r="G16" s="2606"/>
      <c r="H16" s="449"/>
      <c r="I16" s="2606"/>
      <c r="J16" s="447"/>
      <c r="K16" s="2607"/>
      <c r="L16" s="1139"/>
      <c r="M16" s="1130"/>
      <c r="N16" s="1130"/>
      <c r="O16" s="1130"/>
      <c r="P16" s="3187"/>
      <c r="Q16" s="1809"/>
      <c r="R16" s="773"/>
      <c r="S16" s="774"/>
      <c r="T16" s="773"/>
      <c r="U16" s="774"/>
      <c r="V16" s="773"/>
      <c r="W16" s="774"/>
      <c r="X16" s="1812"/>
      <c r="Y16" s="3189"/>
      <c r="Z16" s="1813"/>
      <c r="AA16" s="1810">
        <v>1</v>
      </c>
      <c r="AB16" s="1810">
        <v>1</v>
      </c>
      <c r="AC16" s="1810">
        <v>1</v>
      </c>
    </row>
    <row r="17" spans="1:29" ht="85.5">
      <c r="A17" s="427"/>
      <c r="B17" s="450" t="s">
        <v>2095</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87"/>
      <c r="Q17" s="1809" t="str">
        <f>B17</f>
        <v>交通便捷度</v>
      </c>
      <c r="R17" s="773" t="s">
        <v>21</v>
      </c>
      <c r="S17" s="774">
        <f>F17</f>
        <v>100</v>
      </c>
      <c r="T17" s="773" t="s">
        <v>21</v>
      </c>
      <c r="U17" s="774">
        <f>H17</f>
        <v>100</v>
      </c>
      <c r="V17" s="773" t="s">
        <v>21</v>
      </c>
      <c r="W17" s="774">
        <f>J17</f>
        <v>100</v>
      </c>
      <c r="X17" s="1812"/>
      <c r="Y17" s="3189"/>
      <c r="Z17" s="1813" t="str">
        <f>Q17</f>
        <v>交通便捷度</v>
      </c>
      <c r="AA17" s="1810">
        <f t="shared" si="3"/>
        <v>1</v>
      </c>
      <c r="AB17" s="1810">
        <f t="shared" si="4"/>
        <v>1</v>
      </c>
      <c r="AC17" s="1810">
        <f t="shared" si="5"/>
        <v>1</v>
      </c>
    </row>
    <row r="18" spans="1:29" ht="15">
      <c r="A18" s="427"/>
      <c r="B18" s="455"/>
      <c r="C18" s="2609"/>
      <c r="D18" s="449"/>
      <c r="E18" s="2610"/>
      <c r="F18" s="449"/>
      <c r="G18" s="2611"/>
      <c r="H18" s="447"/>
      <c r="I18" s="2611"/>
      <c r="J18" s="447"/>
      <c r="K18" s="2607"/>
      <c r="L18" s="1139"/>
      <c r="M18" s="1130"/>
      <c r="N18" s="1130"/>
      <c r="O18" s="1130"/>
      <c r="P18" s="3187"/>
      <c r="Q18" s="1809"/>
      <c r="R18" s="773"/>
      <c r="S18" s="774"/>
      <c r="T18" s="773"/>
      <c r="U18" s="774"/>
      <c r="V18" s="773"/>
      <c r="W18" s="774"/>
      <c r="X18" s="1812"/>
      <c r="Y18" s="3189"/>
      <c r="Z18" s="1813"/>
      <c r="AA18" s="1810">
        <v>1</v>
      </c>
      <c r="AB18" s="1810">
        <v>1</v>
      </c>
      <c r="AC18" s="1810">
        <v>1</v>
      </c>
    </row>
    <row r="19" spans="1:29" ht="42.75">
      <c r="A19" s="427"/>
      <c r="B19" s="450" t="s">
        <v>2093</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87"/>
      <c r="Q19" s="1809" t="str">
        <f>B19</f>
        <v>公共配套设施</v>
      </c>
      <c r="R19" s="773" t="s">
        <v>21</v>
      </c>
      <c r="S19" s="774">
        <f>F19</f>
        <v>100</v>
      </c>
      <c r="T19" s="773" t="s">
        <v>21</v>
      </c>
      <c r="U19" s="774">
        <f>H19</f>
        <v>100</v>
      </c>
      <c r="V19" s="773" t="s">
        <v>21</v>
      </c>
      <c r="W19" s="774">
        <f>J19</f>
        <v>100</v>
      </c>
      <c r="X19" s="1812"/>
      <c r="Y19" s="3189"/>
      <c r="Z19" s="1813" t="str">
        <f>Q19</f>
        <v>公共配套设施</v>
      </c>
      <c r="AA19" s="1810">
        <f t="shared" si="3"/>
        <v>1</v>
      </c>
      <c r="AB19" s="1810">
        <f t="shared" si="4"/>
        <v>1</v>
      </c>
      <c r="AC19" s="1810">
        <f t="shared" si="5"/>
        <v>1</v>
      </c>
    </row>
    <row r="20" spans="1:29" ht="15">
      <c r="A20" s="427"/>
      <c r="B20" s="455"/>
      <c r="C20" s="446"/>
      <c r="D20" s="447"/>
      <c r="E20" s="2605"/>
      <c r="F20" s="447"/>
      <c r="G20" s="2606"/>
      <c r="H20" s="447"/>
      <c r="I20" s="2606"/>
      <c r="J20" s="447"/>
      <c r="K20" s="2607"/>
      <c r="L20" s="1139"/>
      <c r="M20" s="1130"/>
      <c r="N20" s="1130"/>
      <c r="O20" s="1130"/>
      <c r="P20" s="3187"/>
      <c r="Q20" s="1809"/>
      <c r="R20" s="773"/>
      <c r="S20" s="774"/>
      <c r="T20" s="773"/>
      <c r="U20" s="774"/>
      <c r="V20" s="773"/>
      <c r="W20" s="774"/>
      <c r="X20" s="1812"/>
      <c r="Y20" s="3189"/>
      <c r="Z20" s="1813"/>
      <c r="AA20" s="1810">
        <v>1</v>
      </c>
      <c r="AB20" s="1810">
        <v>1</v>
      </c>
      <c r="AC20" s="1810">
        <v>1</v>
      </c>
    </row>
    <row r="21" spans="1:29" ht="28.5">
      <c r="A21" s="427"/>
      <c r="B21" s="1383" t="s">
        <v>2096</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87"/>
      <c r="Q21" s="1809" t="str">
        <f>B21</f>
        <v>基础设施水平</v>
      </c>
      <c r="R21" s="773" t="s">
        <v>17</v>
      </c>
      <c r="S21" s="774">
        <f>F21</f>
        <v>100</v>
      </c>
      <c r="T21" s="773" t="s">
        <v>17</v>
      </c>
      <c r="U21" s="774">
        <f>H21</f>
        <v>100</v>
      </c>
      <c r="V21" s="773" t="s">
        <v>17</v>
      </c>
      <c r="W21" s="774">
        <f>J21</f>
        <v>100</v>
      </c>
      <c r="X21" s="1812"/>
      <c r="Y21" s="3189"/>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7"/>
      <c r="G22" s="2612"/>
      <c r="H22" s="447"/>
      <c r="I22" s="446"/>
      <c r="J22" s="447"/>
      <c r="K22" s="2613"/>
      <c r="L22" s="1139"/>
      <c r="M22" s="1130"/>
      <c r="N22" s="1130"/>
      <c r="O22" s="1130"/>
      <c r="P22" s="3187"/>
      <c r="Q22" s="1809"/>
      <c r="R22" s="773"/>
      <c r="S22" s="774"/>
      <c r="T22" s="773"/>
      <c r="U22" s="774"/>
      <c r="V22" s="773"/>
      <c r="W22" s="774"/>
      <c r="X22" s="1812"/>
      <c r="Y22" s="3189"/>
      <c r="Z22" s="1813"/>
      <c r="AA22" s="1810">
        <v>1</v>
      </c>
      <c r="AB22" s="1810">
        <v>1</v>
      </c>
      <c r="AC22" s="1810">
        <v>1</v>
      </c>
    </row>
    <row r="23" spans="1:29" ht="57">
      <c r="A23" s="427"/>
      <c r="B23" s="450" t="s">
        <v>2100</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87"/>
      <c r="Q23" s="1809" t="str">
        <f>B23</f>
        <v>自然及人文环境</v>
      </c>
      <c r="R23" s="773" t="s">
        <v>21</v>
      </c>
      <c r="S23" s="774">
        <f>F23</f>
        <v>100</v>
      </c>
      <c r="T23" s="773" t="s">
        <v>21</v>
      </c>
      <c r="U23" s="774">
        <f>H23</f>
        <v>100</v>
      </c>
      <c r="V23" s="773" t="s">
        <v>21</v>
      </c>
      <c r="W23" s="774">
        <f>J23</f>
        <v>100</v>
      </c>
      <c r="X23" s="1812"/>
      <c r="Y23" s="3189"/>
      <c r="Z23" s="1813" t="str">
        <f>Q23</f>
        <v>自然及人文环境</v>
      </c>
      <c r="AA23" s="1810">
        <f>D23/F23</f>
        <v>1</v>
      </c>
      <c r="AB23" s="1810">
        <f>D23/H23</f>
        <v>1</v>
      </c>
      <c r="AC23" s="1810">
        <f>D23/J23</f>
        <v>1</v>
      </c>
    </row>
    <row r="24" spans="1:29" ht="15">
      <c r="A24" s="427"/>
      <c r="B24" s="455"/>
      <c r="C24" s="446"/>
      <c r="D24" s="447"/>
      <c r="E24" s="2605"/>
      <c r="F24" s="447"/>
      <c r="G24" s="2606"/>
      <c r="H24" s="447"/>
      <c r="I24" s="2606"/>
      <c r="J24" s="447"/>
      <c r="K24" s="2607"/>
      <c r="L24" s="1139"/>
      <c r="M24" s="1130"/>
      <c r="N24" s="1130"/>
      <c r="O24" s="1130"/>
      <c r="P24" s="3187"/>
      <c r="Q24" s="1809"/>
      <c r="R24" s="773"/>
      <c r="S24" s="774"/>
      <c r="T24" s="773"/>
      <c r="U24" s="774"/>
      <c r="V24" s="773"/>
      <c r="W24" s="774"/>
      <c r="X24" s="1812"/>
      <c r="Y24" s="3189"/>
      <c r="Z24" s="1813"/>
      <c r="AA24" s="1810">
        <v>1</v>
      </c>
      <c r="AB24" s="1810">
        <v>1</v>
      </c>
      <c r="AC24" s="1810">
        <v>1</v>
      </c>
    </row>
    <row r="25" spans="1:29" ht="15">
      <c r="A25" s="427"/>
      <c r="B25" s="421" t="s">
        <v>2560</v>
      </c>
      <c r="C25" s="459"/>
      <c r="D25" s="434">
        <v>100</v>
      </c>
      <c r="E25" s="2614"/>
      <c r="F25" s="434">
        <f>SUMIF(86:86,E25,87:87)-SUMIF(86:86,C25,87:87)+100</f>
        <v>100</v>
      </c>
      <c r="G25" s="2615"/>
      <c r="H25" s="434">
        <f>SUMIF(86:86,G25,87:87)-SUMIF(86:86,C25,87:87)+100</f>
        <v>100</v>
      </c>
      <c r="I25" s="2615"/>
      <c r="J25" s="434">
        <f>SUMIF(86:86,I25,87:87)-SUMIF(86:86,C25,87:87)+100</f>
        <v>100</v>
      </c>
      <c r="K25" s="425"/>
      <c r="L25" s="1139"/>
      <c r="M25" s="1130"/>
      <c r="N25" s="1130"/>
      <c r="O25" s="1130"/>
      <c r="P25" s="318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9"/>
      <c r="Z25" s="1813" t="str">
        <f>Q25</f>
        <v>楼层-1</v>
      </c>
      <c r="AA25" s="1810">
        <f t="shared" ref="AA25:AA46" si="15">D25/F25</f>
        <v>1</v>
      </c>
      <c r="AB25" s="1810">
        <f t="shared" ref="AB25:AB46" si="16">D25/H25</f>
        <v>1</v>
      </c>
      <c r="AC25" s="1810">
        <f t="shared" ref="AC25:AC46" si="17">D25/J25</f>
        <v>1</v>
      </c>
    </row>
    <row r="26" spans="1:29" ht="15">
      <c r="A26" s="427"/>
      <c r="B26" s="421" t="s">
        <v>2561</v>
      </c>
      <c r="C26" s="459"/>
      <c r="D26" s="434">
        <v>100</v>
      </c>
      <c r="E26" s="2614"/>
      <c r="F26" s="434">
        <f>SUMIF(88:88,E26,89:89)-SUMIF(88:88,C26,89:89)+100</f>
        <v>100</v>
      </c>
      <c r="G26" s="2615"/>
      <c r="H26" s="434">
        <f>SUMIF(88:88,G26,89:89)-SUMIF(88:88,C26,89:89)+100</f>
        <v>100</v>
      </c>
      <c r="I26" s="2615"/>
      <c r="J26" s="434">
        <f>SUMIF(88:88,I26,89:89)-SUMIF(88:88,C26,89:89)+100</f>
        <v>100</v>
      </c>
      <c r="K26" s="425"/>
      <c r="L26" s="1139"/>
      <c r="M26" s="1130"/>
      <c r="N26" s="1130"/>
      <c r="O26" s="1130"/>
      <c r="P26" s="3187"/>
      <c r="Q26" s="1809" t="str">
        <f t="shared" si="11"/>
        <v>朝向</v>
      </c>
      <c r="R26" s="773" t="s">
        <v>21</v>
      </c>
      <c r="S26" s="774">
        <f t="shared" si="12"/>
        <v>100</v>
      </c>
      <c r="T26" s="773" t="s">
        <v>21</v>
      </c>
      <c r="U26" s="774">
        <f t="shared" si="13"/>
        <v>100</v>
      </c>
      <c r="V26" s="773" t="s">
        <v>21</v>
      </c>
      <c r="W26" s="774">
        <f t="shared" si="14"/>
        <v>100</v>
      </c>
      <c r="X26" s="1812"/>
      <c r="Y26" s="3189"/>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2"/>
      <c r="L27" s="1131"/>
      <c r="M27" s="1132"/>
      <c r="N27" s="1132"/>
      <c r="O27" s="1132"/>
      <c r="P27" s="3187"/>
      <c r="Q27" s="1794">
        <f t="shared" si="11"/>
        <v>111</v>
      </c>
      <c r="R27" s="769" t="s">
        <v>21</v>
      </c>
      <c r="S27" s="770">
        <f t="shared" si="12"/>
        <v>100</v>
      </c>
      <c r="T27" s="769" t="s">
        <v>21</v>
      </c>
      <c r="U27" s="770">
        <f t="shared" si="13"/>
        <v>100</v>
      </c>
      <c r="V27" s="769" t="s">
        <v>21</v>
      </c>
      <c r="W27" s="770">
        <f t="shared" si="14"/>
        <v>100</v>
      </c>
      <c r="X27" s="771"/>
      <c r="Y27" s="3189"/>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6"/>
      <c r="H28" s="434">
        <f>SUMIF(92:92,G28,93:93)-SUMIF(92:92,C28,93:93)+100</f>
        <v>100</v>
      </c>
      <c r="I28" s="433"/>
      <c r="J28" s="434">
        <f>SUMIF(92:92,I28,93:93)-SUMIF(92:92,C28,93:93)+100</f>
        <v>100</v>
      </c>
      <c r="K28" s="2602"/>
      <c r="L28" s="1139"/>
      <c r="M28" s="1130"/>
      <c r="N28" s="1130"/>
      <c r="O28" s="1130"/>
      <c r="P28" s="3187"/>
      <c r="Q28" s="1809">
        <f t="shared" si="11"/>
        <v>111</v>
      </c>
      <c r="R28" s="773" t="s">
        <v>21</v>
      </c>
      <c r="S28" s="774">
        <f t="shared" si="12"/>
        <v>100</v>
      </c>
      <c r="T28" s="773" t="s">
        <v>21</v>
      </c>
      <c r="U28" s="774">
        <f t="shared" si="13"/>
        <v>100</v>
      </c>
      <c r="V28" s="773" t="s">
        <v>21</v>
      </c>
      <c r="W28" s="774">
        <f t="shared" si="14"/>
        <v>100</v>
      </c>
      <c r="X28" s="1812"/>
      <c r="Y28" s="3189"/>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6"/>
      <c r="H29" s="434">
        <f>SUMIF(94:94,G29,95:95)-SUMIF(94:94,C29,95:95)+100</f>
        <v>100</v>
      </c>
      <c r="I29" s="433"/>
      <c r="J29" s="434">
        <f>SUMIF(94:94,I29,95:95)-SUMIF(94:94,C29,95:95)+100</f>
        <v>100</v>
      </c>
      <c r="K29" s="2602"/>
      <c r="L29" s="1139"/>
      <c r="M29" s="1130"/>
      <c r="N29" s="1130"/>
      <c r="O29" s="1130"/>
      <c r="P29" s="3187"/>
      <c r="Q29" s="1809">
        <f t="shared" si="11"/>
        <v>111</v>
      </c>
      <c r="R29" s="773" t="s">
        <v>21</v>
      </c>
      <c r="S29" s="774">
        <f t="shared" si="12"/>
        <v>100</v>
      </c>
      <c r="T29" s="773" t="s">
        <v>21</v>
      </c>
      <c r="U29" s="774">
        <f t="shared" si="13"/>
        <v>100</v>
      </c>
      <c r="V29" s="773" t="s">
        <v>21</v>
      </c>
      <c r="W29" s="774">
        <f t="shared" si="14"/>
        <v>100</v>
      </c>
      <c r="X29" s="1812"/>
      <c r="Y29" s="3189"/>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6"/>
      <c r="H30" s="434">
        <f>SUMIF(96:96,G30,97:97)-SUMIF(96:96,C30,97:97)+100</f>
        <v>100</v>
      </c>
      <c r="I30" s="433"/>
      <c r="J30" s="434">
        <f>SUMIF(96:96,I30,97:97)-SUMIF(96:96,C30,97:97)+100</f>
        <v>100</v>
      </c>
      <c r="K30" s="2602"/>
      <c r="L30" s="1139"/>
      <c r="M30" s="1130"/>
      <c r="N30" s="1130"/>
      <c r="O30" s="1130"/>
      <c r="P30" s="3187"/>
      <c r="Q30" s="1809">
        <f t="shared" si="11"/>
        <v>111</v>
      </c>
      <c r="R30" s="773" t="s">
        <v>21</v>
      </c>
      <c r="S30" s="774">
        <f t="shared" si="12"/>
        <v>100</v>
      </c>
      <c r="T30" s="773" t="s">
        <v>21</v>
      </c>
      <c r="U30" s="774">
        <f t="shared" si="13"/>
        <v>100</v>
      </c>
      <c r="V30" s="773" t="s">
        <v>21</v>
      </c>
      <c r="W30" s="774">
        <f t="shared" si="14"/>
        <v>100</v>
      </c>
      <c r="X30" s="1812"/>
      <c r="Y30" s="3189"/>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7"/>
      <c r="H31" s="437">
        <f>SUMIF(98:98,G31,99:99)-SUMIF(98:98,C31,99:99)+100</f>
        <v>100</v>
      </c>
      <c r="I31" s="436"/>
      <c r="J31" s="437">
        <f>SUMIF(98:98,I31,99:99)-SUMIF(98:98,C31,99:99)+100</f>
        <v>100</v>
      </c>
      <c r="K31" s="2602"/>
      <c r="L31" s="1139"/>
      <c r="M31" s="1130"/>
      <c r="N31" s="1130"/>
      <c r="O31" s="1130"/>
      <c r="P31" s="3187"/>
      <c r="Q31" s="1809">
        <f t="shared" si="11"/>
        <v>111</v>
      </c>
      <c r="R31" s="773" t="s">
        <v>21</v>
      </c>
      <c r="S31" s="774">
        <f t="shared" si="12"/>
        <v>100</v>
      </c>
      <c r="T31" s="773" t="s">
        <v>21</v>
      </c>
      <c r="U31" s="774">
        <f t="shared" si="13"/>
        <v>100</v>
      </c>
      <c r="V31" s="773" t="s">
        <v>21</v>
      </c>
      <c r="W31" s="774">
        <f t="shared" si="14"/>
        <v>100</v>
      </c>
      <c r="X31" s="1812"/>
      <c r="Y31" s="3189"/>
      <c r="Z31" s="1813">
        <f t="shared" si="18"/>
        <v>111</v>
      </c>
      <c r="AA31" s="1810">
        <f t="shared" si="15"/>
        <v>1</v>
      </c>
      <c r="AB31" s="1810">
        <f t="shared" si="16"/>
        <v>1</v>
      </c>
      <c r="AC31" s="1810">
        <f t="shared" si="17"/>
        <v>1</v>
      </c>
    </row>
    <row r="32" spans="1:29" ht="15">
      <c r="A32" s="439" t="s">
        <v>2562</v>
      </c>
      <c r="B32" s="70" t="s">
        <v>2563</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39"/>
      <c r="M32" s="1130"/>
      <c r="N32" s="1130"/>
      <c r="O32" s="1130"/>
      <c r="P32" s="3190" t="s">
        <v>2564</v>
      </c>
      <c r="Q32" s="1809" t="str">
        <f t="shared" si="11"/>
        <v>建筑类型</v>
      </c>
      <c r="R32" s="773" t="s">
        <v>21</v>
      </c>
      <c r="S32" s="774">
        <f t="shared" si="12"/>
        <v>100</v>
      </c>
      <c r="T32" s="773" t="s">
        <v>21</v>
      </c>
      <c r="U32" s="774">
        <f t="shared" si="13"/>
        <v>100</v>
      </c>
      <c r="V32" s="773" t="s">
        <v>21</v>
      </c>
      <c r="W32" s="774">
        <f t="shared" si="14"/>
        <v>100</v>
      </c>
      <c r="X32" s="1812"/>
      <c r="Y32" s="3193" t="s">
        <v>2564</v>
      </c>
      <c r="Z32" s="1813" t="str">
        <f t="shared" si="18"/>
        <v>建筑类型</v>
      </c>
      <c r="AA32" s="1810">
        <f t="shared" si="15"/>
        <v>1</v>
      </c>
      <c r="AB32" s="1810">
        <f t="shared" si="16"/>
        <v>1</v>
      </c>
      <c r="AC32" s="1810">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37"/>
      <c r="M33" s="1140"/>
      <c r="N33" s="1140"/>
      <c r="O33" s="1140"/>
      <c r="P33" s="3191"/>
      <c r="Q33" s="775" t="str">
        <f t="shared" si="11"/>
        <v>项目建筑规模</v>
      </c>
      <c r="R33" s="776" t="s">
        <v>21</v>
      </c>
      <c r="S33" s="777" t="e">
        <f t="shared" si="12"/>
        <v>#N/A</v>
      </c>
      <c r="T33" s="776" t="s">
        <v>21</v>
      </c>
      <c r="U33" s="777" t="e">
        <f t="shared" si="13"/>
        <v>#N/A</v>
      </c>
      <c r="V33" s="776" t="s">
        <v>21</v>
      </c>
      <c r="W33" s="777" t="e">
        <f t="shared" si="14"/>
        <v>#N/A</v>
      </c>
      <c r="X33" s="778"/>
      <c r="Y33" s="3193"/>
      <c r="Z33" s="779" t="str">
        <f t="shared" si="18"/>
        <v>项目建筑规模</v>
      </c>
      <c r="AA33" s="1810" t="e">
        <f t="shared" si="15"/>
        <v>#N/A</v>
      </c>
      <c r="AB33" s="1810" t="e">
        <f t="shared" si="16"/>
        <v>#N/A</v>
      </c>
      <c r="AC33" s="1810" t="e">
        <f t="shared" si="17"/>
        <v>#N/A</v>
      </c>
    </row>
    <row r="34" spans="1:29" ht="15">
      <c r="A34" s="471"/>
      <c r="B34" s="421" t="s">
        <v>2566</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39"/>
      <c r="M34" s="1130"/>
      <c r="N34" s="1130"/>
      <c r="O34" s="1130"/>
      <c r="P34" s="3191"/>
      <c r="Q34" s="1809" t="str">
        <f t="shared" si="11"/>
        <v>建筑结构</v>
      </c>
      <c r="R34" s="773" t="s">
        <v>21</v>
      </c>
      <c r="S34" s="774">
        <f t="shared" si="12"/>
        <v>100</v>
      </c>
      <c r="T34" s="773" t="s">
        <v>21</v>
      </c>
      <c r="U34" s="774">
        <f t="shared" si="13"/>
        <v>100</v>
      </c>
      <c r="V34" s="773" t="s">
        <v>21</v>
      </c>
      <c r="W34" s="774">
        <f t="shared" si="14"/>
        <v>100</v>
      </c>
      <c r="X34" s="1812"/>
      <c r="Y34" s="3193"/>
      <c r="Z34" s="1813" t="str">
        <f t="shared" si="18"/>
        <v>建筑结构</v>
      </c>
      <c r="AA34" s="1810">
        <f t="shared" si="15"/>
        <v>1</v>
      </c>
      <c r="AB34" s="1810">
        <f t="shared" si="16"/>
        <v>1</v>
      </c>
      <c r="AC34" s="1810">
        <f t="shared" si="17"/>
        <v>1</v>
      </c>
    </row>
    <row r="35" spans="1:29" ht="15">
      <c r="A35" s="471"/>
      <c r="B35" s="421" t="s">
        <v>2567</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39"/>
      <c r="M35" s="1130"/>
      <c r="N35" s="1130"/>
      <c r="O35" s="1130"/>
      <c r="P35" s="3191"/>
      <c r="Q35" s="1809" t="str">
        <f t="shared" si="11"/>
        <v>建筑品质</v>
      </c>
      <c r="R35" s="773" t="s">
        <v>21</v>
      </c>
      <c r="S35" s="774">
        <f t="shared" si="12"/>
        <v>100</v>
      </c>
      <c r="T35" s="773" t="s">
        <v>21</v>
      </c>
      <c r="U35" s="774">
        <f t="shared" si="13"/>
        <v>100</v>
      </c>
      <c r="V35" s="773" t="s">
        <v>21</v>
      </c>
      <c r="W35" s="774">
        <f t="shared" si="14"/>
        <v>100</v>
      </c>
      <c r="X35" s="1812"/>
      <c r="Y35" s="3193"/>
      <c r="Z35" s="1813" t="str">
        <f t="shared" si="18"/>
        <v>建筑品质</v>
      </c>
      <c r="AA35" s="1810">
        <f t="shared" si="15"/>
        <v>1</v>
      </c>
      <c r="AB35" s="1810">
        <f t="shared" si="16"/>
        <v>1</v>
      </c>
      <c r="AC35" s="1810">
        <f t="shared" si="17"/>
        <v>1</v>
      </c>
    </row>
    <row r="36" spans="1:29" ht="15">
      <c r="A36" s="471"/>
      <c r="B36" s="421" t="s">
        <v>2568</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39"/>
      <c r="M36" s="1130"/>
      <c r="N36" s="1130"/>
      <c r="O36" s="1130"/>
      <c r="P36" s="3191"/>
      <c r="Q36" s="1809" t="str">
        <f t="shared" si="11"/>
        <v>公共部分装修</v>
      </c>
      <c r="R36" s="773" t="s">
        <v>21</v>
      </c>
      <c r="S36" s="774">
        <f t="shared" si="12"/>
        <v>100</v>
      </c>
      <c r="T36" s="773" t="s">
        <v>21</v>
      </c>
      <c r="U36" s="774">
        <f t="shared" si="13"/>
        <v>100</v>
      </c>
      <c r="V36" s="773" t="s">
        <v>21</v>
      </c>
      <c r="W36" s="774">
        <f t="shared" si="14"/>
        <v>100</v>
      </c>
      <c r="X36" s="1812"/>
      <c r="Y36" s="3193"/>
      <c r="Z36" s="1813" t="str">
        <f t="shared" si="18"/>
        <v>公共部分装修</v>
      </c>
      <c r="AA36" s="1810">
        <f t="shared" si="15"/>
        <v>1</v>
      </c>
      <c r="AB36" s="1810">
        <f t="shared" si="16"/>
        <v>1</v>
      </c>
      <c r="AC36" s="1810">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91"/>
      <c r="Q37" s="1794" t="str">
        <f t="shared" si="11"/>
        <v>成新度</v>
      </c>
      <c r="R37" s="769" t="s">
        <v>21</v>
      </c>
      <c r="S37" s="770" t="e">
        <f t="shared" si="12"/>
        <v>#N/A</v>
      </c>
      <c r="T37" s="769" t="s">
        <v>21</v>
      </c>
      <c r="U37" s="770" t="e">
        <f t="shared" si="13"/>
        <v>#N/A</v>
      </c>
      <c r="V37" s="769" t="s">
        <v>21</v>
      </c>
      <c r="W37" s="770" t="e">
        <f t="shared" si="14"/>
        <v>#N/A</v>
      </c>
      <c r="X37" s="771"/>
      <c r="Y37" s="3193"/>
      <c r="Z37" s="54" t="str">
        <f t="shared" si="18"/>
        <v>成新度</v>
      </c>
      <c r="AA37" s="772" t="e">
        <f t="shared" si="15"/>
        <v>#N/A</v>
      </c>
      <c r="AB37" s="772" t="e">
        <f t="shared" si="16"/>
        <v>#N/A</v>
      </c>
      <c r="AC37" s="772" t="e">
        <f t="shared" si="17"/>
        <v>#N/A</v>
      </c>
    </row>
    <row r="38" spans="1:29" ht="15">
      <c r="A38" s="471"/>
      <c r="B38" s="421" t="s">
        <v>2570</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39"/>
      <c r="M38" s="1130"/>
      <c r="N38" s="1130"/>
      <c r="O38" s="1130"/>
      <c r="P38" s="3191" t="s">
        <v>2564</v>
      </c>
      <c r="Q38" s="1809" t="str">
        <f t="shared" si="11"/>
        <v>物业管理</v>
      </c>
      <c r="R38" s="773" t="s">
        <v>21</v>
      </c>
      <c r="S38" s="774">
        <f t="shared" si="12"/>
        <v>100</v>
      </c>
      <c r="T38" s="773" t="s">
        <v>21</v>
      </c>
      <c r="U38" s="774">
        <f t="shared" si="13"/>
        <v>100</v>
      </c>
      <c r="V38" s="773" t="s">
        <v>21</v>
      </c>
      <c r="W38" s="774">
        <f t="shared" si="14"/>
        <v>100</v>
      </c>
      <c r="X38" s="1812"/>
      <c r="Y38" s="3193" t="s">
        <v>2564</v>
      </c>
      <c r="Z38" s="1813" t="str">
        <f t="shared" si="18"/>
        <v>物业管理</v>
      </c>
      <c r="AA38" s="1810">
        <f t="shared" si="15"/>
        <v>1</v>
      </c>
      <c r="AB38" s="1810">
        <f t="shared" si="16"/>
        <v>1</v>
      </c>
      <c r="AC38" s="1810">
        <f t="shared" si="17"/>
        <v>1</v>
      </c>
    </row>
    <row r="39" spans="1:29" ht="15">
      <c r="A39" s="471"/>
      <c r="B39" s="421" t="s">
        <v>2571</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39"/>
      <c r="M39" s="1130"/>
      <c r="N39" s="1130"/>
      <c r="O39" s="1130"/>
      <c r="P39" s="3191"/>
      <c r="Q39" s="1809" t="str">
        <f t="shared" si="11"/>
        <v>市政基础设施</v>
      </c>
      <c r="R39" s="773" t="s">
        <v>21</v>
      </c>
      <c r="S39" s="774">
        <f t="shared" si="12"/>
        <v>100</v>
      </c>
      <c r="T39" s="773" t="s">
        <v>21</v>
      </c>
      <c r="U39" s="774">
        <f t="shared" si="13"/>
        <v>100</v>
      </c>
      <c r="V39" s="773" t="s">
        <v>21</v>
      </c>
      <c r="W39" s="774">
        <f t="shared" si="14"/>
        <v>100</v>
      </c>
      <c r="X39" s="1812"/>
      <c r="Y39" s="3193"/>
      <c r="Z39" s="1813" t="str">
        <f t="shared" si="18"/>
        <v>市政基础设施</v>
      </c>
      <c r="AA39" s="1810">
        <f t="shared" si="15"/>
        <v>1</v>
      </c>
      <c r="AB39" s="1810">
        <f t="shared" si="16"/>
        <v>1</v>
      </c>
      <c r="AC39" s="1810">
        <f t="shared" si="17"/>
        <v>1</v>
      </c>
    </row>
    <row r="40" spans="1:29" ht="15">
      <c r="A40" s="471"/>
      <c r="B40" s="421" t="s">
        <v>2572</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39"/>
      <c r="M40" s="1130"/>
      <c r="N40" s="1130"/>
      <c r="O40" s="1130"/>
      <c r="P40" s="3191"/>
      <c r="Q40" s="1809" t="str">
        <f t="shared" si="11"/>
        <v>房型</v>
      </c>
      <c r="R40" s="773" t="s">
        <v>21</v>
      </c>
      <c r="S40" s="774">
        <f t="shared" si="12"/>
        <v>100</v>
      </c>
      <c r="T40" s="773" t="s">
        <v>21</v>
      </c>
      <c r="U40" s="774">
        <f t="shared" si="13"/>
        <v>100</v>
      </c>
      <c r="V40" s="773" t="s">
        <v>21</v>
      </c>
      <c r="W40" s="774">
        <f t="shared" si="14"/>
        <v>100</v>
      </c>
      <c r="X40" s="1812"/>
      <c r="Y40" s="3193"/>
      <c r="Z40" s="1813" t="str">
        <f t="shared" si="18"/>
        <v>房型</v>
      </c>
      <c r="AA40" s="1810">
        <f t="shared" si="15"/>
        <v>1</v>
      </c>
      <c r="AB40" s="1810">
        <f t="shared" si="16"/>
        <v>1</v>
      </c>
      <c r="AC40" s="1810">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37"/>
      <c r="M41" s="1140"/>
      <c r="N41" s="1140"/>
      <c r="O41" s="1140"/>
      <c r="P41" s="3191"/>
      <c r="Q41" s="775" t="str">
        <f t="shared" si="11"/>
        <v>单套/主力户型建筑面积</v>
      </c>
      <c r="R41" s="776" t="s">
        <v>21</v>
      </c>
      <c r="S41" s="777">
        <f t="shared" si="12"/>
        <v>100</v>
      </c>
      <c r="T41" s="776" t="s">
        <v>21</v>
      </c>
      <c r="U41" s="777">
        <f t="shared" si="13"/>
        <v>100</v>
      </c>
      <c r="V41" s="776" t="s">
        <v>21</v>
      </c>
      <c r="W41" s="777">
        <f t="shared" si="14"/>
        <v>100</v>
      </c>
      <c r="X41" s="778"/>
      <c r="Y41" s="3193"/>
      <c r="Z41" s="779" t="str">
        <f t="shared" si="18"/>
        <v>单套/主力户型建筑面积</v>
      </c>
      <c r="AA41" s="1810">
        <f t="shared" si="15"/>
        <v>1</v>
      </c>
      <c r="AB41" s="1810">
        <f t="shared" si="16"/>
        <v>1</v>
      </c>
      <c r="AC41" s="1810">
        <f t="shared" si="17"/>
        <v>1</v>
      </c>
    </row>
    <row r="42" spans="1:29" ht="15">
      <c r="A42" s="471"/>
      <c r="B42" s="421" t="s">
        <v>2574</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39"/>
      <c r="M42" s="1130"/>
      <c r="N42" s="1130"/>
      <c r="O42" s="1130"/>
      <c r="P42" s="3191"/>
      <c r="Q42" s="1809" t="str">
        <f t="shared" si="11"/>
        <v>内部装修</v>
      </c>
      <c r="R42" s="773" t="s">
        <v>21</v>
      </c>
      <c r="S42" s="774">
        <f t="shared" si="12"/>
        <v>100</v>
      </c>
      <c r="T42" s="773" t="s">
        <v>21</v>
      </c>
      <c r="U42" s="774">
        <f t="shared" si="13"/>
        <v>100</v>
      </c>
      <c r="V42" s="773" t="s">
        <v>21</v>
      </c>
      <c r="W42" s="774">
        <f t="shared" si="14"/>
        <v>100</v>
      </c>
      <c r="X42" s="1812"/>
      <c r="Y42" s="3193"/>
      <c r="Z42" s="1813" t="str">
        <f t="shared" si="18"/>
        <v>内部装修</v>
      </c>
      <c r="AA42" s="1810">
        <f t="shared" si="15"/>
        <v>1</v>
      </c>
      <c r="AB42" s="1810">
        <f t="shared" si="16"/>
        <v>1</v>
      </c>
      <c r="AC42" s="1810">
        <f t="shared" si="17"/>
        <v>1</v>
      </c>
    </row>
    <row r="43" spans="1:29" ht="15">
      <c r="A43" s="471"/>
      <c r="B43" s="421" t="s">
        <v>2575</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39"/>
      <c r="M43" s="1130"/>
      <c r="N43" s="1130"/>
      <c r="O43" s="1130"/>
      <c r="P43" s="3191"/>
      <c r="Q43" s="1809" t="str">
        <f t="shared" si="11"/>
        <v>内部装修维护情况</v>
      </c>
      <c r="R43" s="773" t="s">
        <v>21</v>
      </c>
      <c r="S43" s="774">
        <f t="shared" si="12"/>
        <v>100</v>
      </c>
      <c r="T43" s="773" t="s">
        <v>21</v>
      </c>
      <c r="U43" s="774">
        <f t="shared" si="13"/>
        <v>100</v>
      </c>
      <c r="V43" s="773" t="s">
        <v>21</v>
      </c>
      <c r="W43" s="774">
        <f t="shared" si="14"/>
        <v>100</v>
      </c>
      <c r="X43" s="1812"/>
      <c r="Y43" s="3193"/>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1"/>
      <c r="M44" s="1132"/>
      <c r="N44" s="1132"/>
      <c r="O44" s="1132"/>
      <c r="P44" s="3191"/>
      <c r="Q44" s="1794">
        <f t="shared" si="11"/>
        <v>111</v>
      </c>
      <c r="R44" s="769" t="s">
        <v>21</v>
      </c>
      <c r="S44" s="770">
        <f t="shared" si="12"/>
        <v>100</v>
      </c>
      <c r="T44" s="769" t="s">
        <v>21</v>
      </c>
      <c r="U44" s="770">
        <f t="shared" si="13"/>
        <v>100</v>
      </c>
      <c r="V44" s="769" t="s">
        <v>21</v>
      </c>
      <c r="W44" s="770">
        <f t="shared" si="14"/>
        <v>100</v>
      </c>
      <c r="X44" s="771"/>
      <c r="Y44" s="3193"/>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39"/>
      <c r="M45" s="1130"/>
      <c r="N45" s="1130"/>
      <c r="O45" s="1130"/>
      <c r="P45" s="3191"/>
      <c r="Q45" s="1809">
        <f t="shared" si="11"/>
        <v>111</v>
      </c>
      <c r="R45" s="773" t="s">
        <v>21</v>
      </c>
      <c r="S45" s="774">
        <f t="shared" si="12"/>
        <v>100</v>
      </c>
      <c r="T45" s="773" t="s">
        <v>21</v>
      </c>
      <c r="U45" s="774">
        <f t="shared" si="13"/>
        <v>100</v>
      </c>
      <c r="V45" s="773" t="s">
        <v>21</v>
      </c>
      <c r="W45" s="774">
        <f t="shared" si="14"/>
        <v>100</v>
      </c>
      <c r="X45" s="1812"/>
      <c r="Y45" s="3193"/>
      <c r="Z45" s="1813">
        <f t="shared" si="18"/>
        <v>111</v>
      </c>
      <c r="AA45" s="1810">
        <f t="shared" si="15"/>
        <v>1</v>
      </c>
      <c r="AB45" s="1810">
        <f t="shared" si="16"/>
        <v>1</v>
      </c>
      <c r="AC45" s="1810">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39"/>
      <c r="M46" s="1130"/>
      <c r="N46" s="1130"/>
      <c r="O46" s="1130"/>
      <c r="P46" s="3192"/>
      <c r="Q46" s="1809">
        <f t="shared" si="11"/>
        <v>111</v>
      </c>
      <c r="R46" s="773" t="s">
        <v>20</v>
      </c>
      <c r="S46" s="774">
        <f t="shared" si="12"/>
        <v>100</v>
      </c>
      <c r="T46" s="773" t="s">
        <v>20</v>
      </c>
      <c r="U46" s="774">
        <f t="shared" si="13"/>
        <v>100</v>
      </c>
      <c r="V46" s="773" t="s">
        <v>20</v>
      </c>
      <c r="W46" s="774">
        <f t="shared" si="14"/>
        <v>100</v>
      </c>
      <c r="X46" s="1812"/>
      <c r="Y46" s="3194"/>
      <c r="Z46" s="1813">
        <f t="shared" si="18"/>
        <v>111</v>
      </c>
      <c r="AA46" s="1810">
        <f t="shared" si="15"/>
        <v>1</v>
      </c>
      <c r="AB46" s="1810">
        <f t="shared" si="16"/>
        <v>1</v>
      </c>
      <c r="AC46" s="1810">
        <f t="shared" si="17"/>
        <v>1</v>
      </c>
    </row>
    <row r="47" spans="1:29" ht="15">
      <c r="A47" s="478" t="s">
        <v>2576</v>
      </c>
      <c r="B47" s="479"/>
      <c r="C47" s="1406" t="s">
        <v>19</v>
      </c>
      <c r="D47" s="1407"/>
      <c r="E47" s="1408"/>
      <c r="F47" s="1409"/>
      <c r="G47" s="1410"/>
      <c r="H47" s="1411"/>
      <c r="I47" s="1408"/>
      <c r="J47" s="1411"/>
      <c r="K47" s="2622"/>
      <c r="L47" s="1142"/>
      <c r="M47" s="1143"/>
      <c r="N47" s="1130"/>
      <c r="O47" s="1143"/>
      <c r="P47" s="3195" t="str">
        <f>A47</f>
        <v>成交单价（元/平方米）</v>
      </c>
      <c r="Q47" s="3195"/>
      <c r="R47" s="3196">
        <f>E47</f>
        <v>0</v>
      </c>
      <c r="S47" s="3196"/>
      <c r="T47" s="3196">
        <f>G47</f>
        <v>0</v>
      </c>
      <c r="U47" s="3196"/>
      <c r="V47" s="3196">
        <f>I47</f>
        <v>0</v>
      </c>
      <c r="W47" s="3196"/>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23"/>
      <c r="L48" s="1142"/>
      <c r="M48" s="1143"/>
      <c r="N48" s="1143"/>
      <c r="O48" s="1143"/>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24"/>
      <c r="L49" s="1142"/>
      <c r="M49" s="1143"/>
      <c r="N49" s="1143"/>
      <c r="O49" s="1143"/>
      <c r="P49" s="3197" t="str">
        <f>A49</f>
        <v>估价对象XX用房的比较价值（楼面单价，元/平方米）</v>
      </c>
      <c r="Q49" s="3198"/>
      <c r="R49" s="3199" t="e">
        <f>IF(F1="售价",ROUND(AVERAGE(R48:V48),0),ROUND(AVERAGE(R48:V48),1))</f>
        <v>#DIV/0!</v>
      </c>
      <c r="S49" s="3199"/>
      <c r="T49" s="3199"/>
      <c r="U49" s="3199"/>
      <c r="V49" s="3199"/>
      <c r="W49" s="319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6"/>
    </row>
    <row r="55" spans="1:29" s="501"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7"/>
      <c r="Q57" s="503"/>
    </row>
    <row r="58" spans="1:29" s="507" customFormat="1" ht="15">
      <c r="A58" s="504" t="s">
        <v>2583</v>
      </c>
      <c r="B58" s="505"/>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6" customFormat="1" ht="15">
      <c r="A59" s="508"/>
      <c r="B59" s="2628"/>
      <c r="C59" s="1572">
        <v>100</v>
      </c>
      <c r="D59" s="510"/>
      <c r="E59" s="511"/>
      <c r="F59" s="511"/>
      <c r="G59" s="511"/>
      <c r="H59" s="511"/>
      <c r="I59" s="511"/>
      <c r="J59" s="511"/>
      <c r="K59" s="511"/>
      <c r="L59" s="511"/>
      <c r="M59" s="512"/>
      <c r="N59" s="511"/>
      <c r="O59" s="512"/>
      <c r="P59" s="2629"/>
    </row>
    <row r="60" spans="1:29" s="116" customFormat="1" ht="15.75" thickBot="1">
      <c r="A60" s="514" t="s">
        <v>2584</v>
      </c>
      <c r="B60" s="515"/>
      <c r="C60" s="516"/>
      <c r="D60" s="517"/>
      <c r="E60" s="517"/>
      <c r="F60" s="517"/>
      <c r="G60" s="517"/>
      <c r="H60" s="517"/>
      <c r="I60" s="517"/>
      <c r="J60" s="517"/>
      <c r="K60" s="517"/>
      <c r="L60" s="517"/>
      <c r="M60" s="518"/>
      <c r="N60" s="517"/>
      <c r="O60" s="518"/>
      <c r="P60" s="2629"/>
      <c r="Q60" s="503"/>
    </row>
    <row r="61" spans="1:29" s="116" customFormat="1" ht="15">
      <c r="A61" s="520" t="s">
        <v>2585</v>
      </c>
      <c r="B61" s="509"/>
      <c r="C61" s="521" t="s">
        <v>2586</v>
      </c>
      <c r="D61" s="522"/>
      <c r="E61" s="522"/>
      <c r="F61" s="522"/>
      <c r="G61" s="522"/>
      <c r="H61" s="522"/>
      <c r="I61" s="522"/>
      <c r="J61" s="522"/>
      <c r="K61" s="522"/>
      <c r="L61" s="523"/>
      <c r="M61" s="524"/>
      <c r="N61" s="1150"/>
      <c r="O61" s="1150"/>
      <c r="P61" s="2630"/>
      <c r="Q61" s="503"/>
    </row>
    <row r="62" spans="1:29" s="116" customFormat="1" ht="15.75" thickBot="1">
      <c r="A62" s="520"/>
      <c r="B62" s="509"/>
      <c r="C62" s="510">
        <v>100</v>
      </c>
      <c r="D62" s="511"/>
      <c r="E62" s="511"/>
      <c r="F62" s="511"/>
      <c r="G62" s="511"/>
      <c r="H62" s="511"/>
      <c r="I62" s="511"/>
      <c r="J62" s="511"/>
      <c r="K62" s="511"/>
      <c r="L62" s="511"/>
      <c r="M62" s="513"/>
      <c r="N62" s="1150"/>
      <c r="O62" s="1150"/>
      <c r="P62" s="2629"/>
      <c r="Q62" s="503"/>
    </row>
    <row r="63" spans="1:29">
      <c r="A63" s="526" t="s">
        <v>2587</v>
      </c>
      <c r="B63" s="527" t="s">
        <v>2553</v>
      </c>
      <c r="C63" s="528">
        <f>C9</f>
        <v>0</v>
      </c>
      <c r="D63" s="529"/>
      <c r="E63" s="529"/>
      <c r="F63" s="529"/>
      <c r="G63" s="529"/>
      <c r="H63" s="529"/>
      <c r="I63" s="529"/>
      <c r="J63" s="529"/>
      <c r="K63" s="530"/>
      <c r="L63" s="531"/>
      <c r="M63" s="532"/>
      <c r="N63" s="1151"/>
      <c r="O63" s="1151"/>
      <c r="P63" s="2631"/>
      <c r="Q63" s="503"/>
    </row>
    <row r="64" spans="1:29" ht="15.75" thickBot="1">
      <c r="A64" s="533"/>
      <c r="B64" s="534"/>
      <c r="C64" s="535">
        <v>100</v>
      </c>
      <c r="D64" s="535"/>
      <c r="E64" s="535"/>
      <c r="F64" s="535"/>
      <c r="G64" s="535"/>
      <c r="H64" s="535"/>
      <c r="I64" s="535"/>
      <c r="J64" s="535"/>
      <c r="K64" s="535"/>
      <c r="L64" s="535"/>
      <c r="M64" s="536"/>
      <c r="N64" s="1152"/>
      <c r="O64" s="1152"/>
      <c r="P64" s="263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1"/>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1"/>
      <c r="Q67" s="503"/>
    </row>
    <row r="68" spans="1:17" ht="15">
      <c r="A68" s="533"/>
      <c r="B68" s="547"/>
      <c r="C68" s="548"/>
      <c r="D68" s="548"/>
      <c r="E68" s="548"/>
      <c r="F68" s="548"/>
      <c r="G68" s="548"/>
      <c r="H68" s="548"/>
      <c r="I68" s="548"/>
      <c r="J68" s="548"/>
      <c r="K68" s="549"/>
      <c r="L68" s="550"/>
      <c r="M68" s="551"/>
      <c r="N68" s="1151"/>
      <c r="O68" s="1151"/>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1"/>
      <c r="Q69" s="503"/>
    </row>
    <row r="70" spans="1:17" s="470" customFormat="1" ht="15.75" thickTop="1">
      <c r="A70" s="552"/>
      <c r="B70" s="537">
        <f>B12</f>
        <v>111</v>
      </c>
      <c r="C70" s="553"/>
      <c r="D70" s="553"/>
      <c r="E70" s="553"/>
      <c r="F70" s="553"/>
      <c r="G70" s="553"/>
      <c r="H70" s="554"/>
      <c r="I70" s="554"/>
      <c r="J70" s="554"/>
      <c r="K70" s="554"/>
      <c r="L70" s="555"/>
      <c r="M70" s="556"/>
      <c r="N70" s="1153"/>
      <c r="O70" s="1153"/>
      <c r="P70" s="2632"/>
      <c r="Q70" s="558"/>
    </row>
    <row r="71" spans="1:17" s="470" customFormat="1" ht="15.75" thickBot="1">
      <c r="A71" s="552"/>
      <c r="B71" s="542"/>
      <c r="C71" s="559"/>
      <c r="D71" s="535"/>
      <c r="E71" s="535"/>
      <c r="F71" s="535"/>
      <c r="G71" s="535"/>
      <c r="H71" s="535"/>
      <c r="I71" s="535"/>
      <c r="J71" s="535"/>
      <c r="K71" s="535"/>
      <c r="L71" s="535"/>
      <c r="M71" s="536"/>
      <c r="N71" s="1152"/>
      <c r="O71" s="1152"/>
      <c r="P71" s="2632"/>
      <c r="Q71" s="558"/>
    </row>
    <row r="72" spans="1:17" s="470" customFormat="1" ht="15.75" thickTop="1">
      <c r="A72" s="552"/>
      <c r="B72" s="537">
        <f>B13</f>
        <v>111</v>
      </c>
      <c r="C72" s="553"/>
      <c r="D72" s="553"/>
      <c r="E72" s="553"/>
      <c r="F72" s="553"/>
      <c r="G72" s="553"/>
      <c r="H72" s="554"/>
      <c r="I72" s="554"/>
      <c r="J72" s="554"/>
      <c r="K72" s="554"/>
      <c r="L72" s="555"/>
      <c r="M72" s="556"/>
      <c r="N72" s="1153"/>
      <c r="O72" s="1153"/>
      <c r="P72" s="2633"/>
      <c r="Q72" s="560"/>
    </row>
    <row r="73" spans="1:17" s="470" customFormat="1" ht="15.75" thickBot="1">
      <c r="A73" s="552"/>
      <c r="B73" s="542"/>
      <c r="C73" s="559"/>
      <c r="D73" s="559"/>
      <c r="E73" s="559"/>
      <c r="F73" s="559"/>
      <c r="G73" s="559"/>
      <c r="H73" s="561"/>
      <c r="I73" s="561"/>
      <c r="J73" s="561"/>
      <c r="K73" s="561"/>
      <c r="L73" s="561"/>
      <c r="M73" s="562"/>
      <c r="N73" s="1153"/>
      <c r="O73" s="1153"/>
      <c r="P73" s="2632"/>
      <c r="Q73" s="558"/>
    </row>
    <row r="74" spans="1:17" s="470" customFormat="1" ht="15.75" thickTop="1">
      <c r="A74" s="552"/>
      <c r="B74" s="545">
        <f>B14</f>
        <v>111</v>
      </c>
      <c r="C74" s="553"/>
      <c r="D74" s="553"/>
      <c r="E74" s="553"/>
      <c r="F74" s="553"/>
      <c r="G74" s="522"/>
      <c r="H74" s="563"/>
      <c r="I74" s="563"/>
      <c r="J74" s="563"/>
      <c r="K74" s="563"/>
      <c r="L74" s="564"/>
      <c r="M74" s="565"/>
      <c r="N74" s="1153"/>
      <c r="O74" s="1153"/>
      <c r="P74" s="2634"/>
      <c r="Q74" s="558"/>
    </row>
    <row r="75" spans="1:17" s="470" customFormat="1" ht="15.75" thickBot="1">
      <c r="A75" s="567"/>
      <c r="B75" s="568"/>
      <c r="C75" s="569"/>
      <c r="D75" s="569"/>
      <c r="E75" s="569"/>
      <c r="F75" s="569"/>
      <c r="G75" s="569"/>
      <c r="H75" s="570"/>
      <c r="I75" s="570"/>
      <c r="J75" s="570"/>
      <c r="K75" s="570"/>
      <c r="L75" s="570"/>
      <c r="M75" s="571"/>
      <c r="N75" s="1153"/>
      <c r="O75" s="1153"/>
      <c r="P75" s="263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1"/>
      <c r="Q81" s="503"/>
    </row>
    <row r="82" spans="1:17" ht="15.75" thickTop="1">
      <c r="A82" s="533"/>
      <c r="B82" s="545" t="s">
        <v>2096</v>
      </c>
      <c r="C82" s="538" t="s">
        <v>2603</v>
      </c>
      <c r="D82" s="538" t="s">
        <v>2604</v>
      </c>
      <c r="E82" s="538" t="s">
        <v>2605</v>
      </c>
      <c r="F82" s="538" t="s">
        <v>2606</v>
      </c>
      <c r="G82" s="538" t="s">
        <v>2607</v>
      </c>
      <c r="H82" s="538"/>
      <c r="I82" s="538"/>
      <c r="J82" s="538"/>
      <c r="K82" s="538"/>
      <c r="L82" s="538"/>
      <c r="M82" s="1381"/>
      <c r="N82" s="1152"/>
      <c r="O82" s="1152"/>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1"/>
      <c r="Q85" s="503"/>
    </row>
    <row r="86" spans="1:17" s="116" customFormat="1" ht="15.75" thickTop="1">
      <c r="A86" s="578"/>
      <c r="B86" s="537" t="s">
        <v>2609</v>
      </c>
      <c r="C86" s="553"/>
      <c r="D86" s="553"/>
      <c r="E86" s="553"/>
      <c r="F86" s="553"/>
      <c r="G86" s="553"/>
      <c r="H86" s="553"/>
      <c r="I86" s="553"/>
      <c r="J86" s="553"/>
      <c r="K86" s="553"/>
      <c r="L86" s="579"/>
      <c r="M86" s="580"/>
      <c r="N86" s="1150"/>
      <c r="O86" s="1150"/>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1"/>
      <c r="Q87" s="503"/>
    </row>
    <row r="88" spans="1:17" s="116" customFormat="1" ht="15.75" thickTop="1">
      <c r="A88" s="578"/>
      <c r="B88" s="537" t="s">
        <v>2610</v>
      </c>
      <c r="C88" s="553"/>
      <c r="D88" s="553"/>
      <c r="E88" s="553"/>
      <c r="F88" s="2636"/>
      <c r="G88" s="553"/>
      <c r="H88" s="553"/>
      <c r="I88" s="553"/>
      <c r="J88" s="553"/>
      <c r="K88" s="553"/>
      <c r="L88" s="553"/>
      <c r="M88" s="580"/>
      <c r="N88" s="1150"/>
      <c r="O88" s="1150"/>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1"/>
      <c r="Q89" s="503"/>
    </row>
    <row r="90" spans="1:17" s="470" customFormat="1" ht="15.75" thickTop="1">
      <c r="A90" s="552"/>
      <c r="B90" s="537">
        <f>B27</f>
        <v>111</v>
      </c>
      <c r="C90" s="553"/>
      <c r="D90" s="553"/>
      <c r="E90" s="553"/>
      <c r="F90" s="553"/>
      <c r="G90" s="553"/>
      <c r="H90" s="554"/>
      <c r="I90" s="554"/>
      <c r="J90" s="554"/>
      <c r="K90" s="554"/>
      <c r="L90" s="555"/>
      <c r="M90" s="556"/>
      <c r="N90" s="1153"/>
      <c r="O90" s="1153"/>
      <c r="P90" s="2632"/>
      <c r="Q90" s="558"/>
    </row>
    <row r="91" spans="1:17" s="470" customFormat="1" ht="15.75" thickBot="1">
      <c r="A91" s="552"/>
      <c r="B91" s="542"/>
      <c r="C91" s="559"/>
      <c r="D91" s="559"/>
      <c r="E91" s="559"/>
      <c r="F91" s="559"/>
      <c r="G91" s="559"/>
      <c r="H91" s="561"/>
      <c r="I91" s="561"/>
      <c r="J91" s="561"/>
      <c r="K91" s="561"/>
      <c r="L91" s="561"/>
      <c r="M91" s="562"/>
      <c r="N91" s="1153"/>
      <c r="O91" s="1153"/>
      <c r="P91" s="2632"/>
      <c r="Q91" s="558"/>
    </row>
    <row r="92" spans="1:17" ht="15.75" thickTop="1">
      <c r="A92" s="533"/>
      <c r="B92" s="537">
        <f>B28</f>
        <v>111</v>
      </c>
      <c r="C92" s="553"/>
      <c r="D92" s="553"/>
      <c r="E92" s="553"/>
      <c r="F92" s="553"/>
      <c r="G92" s="582"/>
      <c r="H92" s="582"/>
      <c r="I92" s="582"/>
      <c r="J92" s="582"/>
      <c r="K92" s="583"/>
      <c r="L92" s="584"/>
      <c r="M92" s="585"/>
      <c r="N92" s="1151"/>
      <c r="O92" s="1151"/>
      <c r="P92" s="2631"/>
      <c r="Q92" s="503"/>
    </row>
    <row r="93" spans="1:17" ht="15.75" thickBot="1">
      <c r="A93" s="533"/>
      <c r="B93" s="542"/>
      <c r="C93" s="559"/>
      <c r="D93" s="535"/>
      <c r="E93" s="535"/>
      <c r="F93" s="535"/>
      <c r="G93" s="535"/>
      <c r="H93" s="535"/>
      <c r="I93" s="535"/>
      <c r="J93" s="535"/>
      <c r="K93" s="535"/>
      <c r="L93" s="535"/>
      <c r="M93" s="536"/>
      <c r="N93" s="1152"/>
      <c r="O93" s="1152"/>
      <c r="P93" s="2631"/>
      <c r="Q93" s="503"/>
    </row>
    <row r="94" spans="1:17" ht="15.75" thickTop="1">
      <c r="A94" s="533"/>
      <c r="B94" s="537">
        <f>B29</f>
        <v>111</v>
      </c>
      <c r="C94" s="553"/>
      <c r="D94" s="553"/>
      <c r="E94" s="553"/>
      <c r="F94" s="553"/>
      <c r="G94" s="582"/>
      <c r="H94" s="582"/>
      <c r="I94" s="582"/>
      <c r="J94" s="582"/>
      <c r="K94" s="583"/>
      <c r="L94" s="584"/>
      <c r="M94" s="585"/>
      <c r="N94" s="1151"/>
      <c r="O94" s="1151"/>
      <c r="P94" s="2631"/>
      <c r="Q94" s="503"/>
    </row>
    <row r="95" spans="1:17" ht="15.75" thickBot="1">
      <c r="A95" s="533"/>
      <c r="B95" s="542"/>
      <c r="C95" s="559"/>
      <c r="D95" s="559"/>
      <c r="E95" s="559"/>
      <c r="F95" s="559"/>
      <c r="G95" s="535"/>
      <c r="H95" s="535"/>
      <c r="I95" s="535"/>
      <c r="J95" s="535"/>
      <c r="K95" s="535"/>
      <c r="L95" s="535"/>
      <c r="M95" s="536"/>
      <c r="N95" s="1152"/>
      <c r="O95" s="1152"/>
      <c r="P95" s="2631"/>
      <c r="Q95" s="503"/>
    </row>
    <row r="96" spans="1:17" ht="15.75" thickTop="1">
      <c r="A96" s="533"/>
      <c r="B96" s="537">
        <f>B30</f>
        <v>111</v>
      </c>
      <c r="C96" s="553"/>
      <c r="D96" s="553"/>
      <c r="E96" s="553"/>
      <c r="F96" s="553"/>
      <c r="G96" s="582"/>
      <c r="H96" s="582"/>
      <c r="I96" s="582"/>
      <c r="J96" s="582"/>
      <c r="K96" s="583"/>
      <c r="L96" s="584"/>
      <c r="M96" s="585"/>
      <c r="N96" s="1151"/>
      <c r="O96" s="1151"/>
      <c r="P96" s="2631"/>
      <c r="Q96" s="503"/>
    </row>
    <row r="97" spans="1:17" ht="15.75" thickBot="1">
      <c r="A97" s="533"/>
      <c r="B97" s="542"/>
      <c r="C97" s="569"/>
      <c r="D97" s="569"/>
      <c r="E97" s="569"/>
      <c r="F97" s="569"/>
      <c r="G97" s="535"/>
      <c r="H97" s="535"/>
      <c r="I97" s="535"/>
      <c r="J97" s="535"/>
      <c r="K97" s="535"/>
      <c r="L97" s="535"/>
      <c r="M97" s="536"/>
      <c r="N97" s="1152"/>
      <c r="O97" s="1152"/>
      <c r="P97" s="2631"/>
      <c r="Q97" s="503"/>
    </row>
    <row r="98" spans="1:17" ht="15.75" thickTop="1">
      <c r="A98" s="533"/>
      <c r="B98" s="545">
        <f>B31</f>
        <v>111</v>
      </c>
      <c r="C98" s="586"/>
      <c r="D98" s="586"/>
      <c r="E98" s="586"/>
      <c r="F98" s="586"/>
      <c r="G98" s="586"/>
      <c r="H98" s="586"/>
      <c r="I98" s="586"/>
      <c r="J98" s="586"/>
      <c r="K98" s="587"/>
      <c r="L98" s="588"/>
      <c r="M98" s="589"/>
      <c r="N98" s="1151"/>
      <c r="O98" s="1151"/>
      <c r="P98" s="2631"/>
      <c r="Q98" s="503"/>
    </row>
    <row r="99" spans="1:17" ht="15.75" thickBot="1">
      <c r="A99" s="2637"/>
      <c r="B99" s="568"/>
      <c r="C99" s="590"/>
      <c r="D99" s="590"/>
      <c r="E99" s="590"/>
      <c r="F99" s="590"/>
      <c r="G99" s="590"/>
      <c r="H99" s="590"/>
      <c r="I99" s="590"/>
      <c r="J99" s="590"/>
      <c r="K99" s="590"/>
      <c r="L99" s="590"/>
      <c r="M99" s="591"/>
      <c r="N99" s="1152"/>
      <c r="O99" s="1152"/>
      <c r="P99" s="2631"/>
      <c r="Q99" s="503"/>
    </row>
    <row r="100" spans="1:17">
      <c r="A100" s="526" t="s">
        <v>2562</v>
      </c>
      <c r="B100" s="527" t="s">
        <v>2611</v>
      </c>
      <c r="C100" s="529"/>
      <c r="D100" s="529"/>
      <c r="E100" s="529"/>
      <c r="F100" s="529"/>
      <c r="G100" s="529"/>
      <c r="H100" s="529"/>
      <c r="I100" s="529"/>
      <c r="J100" s="529"/>
      <c r="K100" s="530"/>
      <c r="L100" s="531"/>
      <c r="M100" s="532"/>
      <c r="N100" s="1151"/>
      <c r="O100" s="1151"/>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1"/>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1"/>
      <c r="Q102" s="503"/>
    </row>
    <row r="103" spans="1:17" s="470" customFormat="1">
      <c r="A103" s="592"/>
      <c r="B103" s="593"/>
      <c r="C103" s="594"/>
      <c r="D103" s="594"/>
      <c r="E103" s="594"/>
      <c r="F103" s="594"/>
      <c r="G103" s="594"/>
      <c r="H103" s="594"/>
      <c r="I103" s="594"/>
      <c r="J103" s="595"/>
      <c r="K103" s="595"/>
      <c r="L103" s="596"/>
      <c r="M103" s="597"/>
      <c r="N103" s="1153"/>
      <c r="O103" s="1153"/>
      <c r="P103" s="2632"/>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2"/>
      <c r="Q104" s="558"/>
    </row>
    <row r="105" spans="1:17" ht="15" thickTop="1">
      <c r="A105" s="598"/>
      <c r="B105" s="537" t="s">
        <v>2613</v>
      </c>
      <c r="C105" s="553"/>
      <c r="D105" s="553"/>
      <c r="E105" s="582"/>
      <c r="F105" s="582"/>
      <c r="G105" s="582"/>
      <c r="H105" s="582"/>
      <c r="I105" s="582"/>
      <c r="J105" s="582"/>
      <c r="K105" s="583"/>
      <c r="L105" s="584"/>
      <c r="M105" s="585"/>
      <c r="N105" s="1151"/>
      <c r="O105" s="1151"/>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1"/>
      <c r="Q106" s="503"/>
    </row>
    <row r="107" spans="1:17" ht="15" thickTop="1">
      <c r="A107" s="598"/>
      <c r="B107" s="537" t="s">
        <v>2614</v>
      </c>
      <c r="C107" s="582"/>
      <c r="D107" s="582"/>
      <c r="E107" s="582"/>
      <c r="F107" s="582"/>
      <c r="G107" s="582"/>
      <c r="H107" s="582"/>
      <c r="I107" s="582"/>
      <c r="J107" s="582"/>
      <c r="K107" s="583"/>
      <c r="L107" s="584"/>
      <c r="M107" s="585"/>
      <c r="N107" s="1151"/>
      <c r="O107" s="1151"/>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1"/>
      <c r="Q108" s="503"/>
    </row>
    <row r="109" spans="1:17" ht="15" thickTop="1">
      <c r="A109" s="598"/>
      <c r="B109" s="537" t="s">
        <v>2615</v>
      </c>
      <c r="C109" s="553"/>
      <c r="D109" s="553"/>
      <c r="E109" s="553"/>
      <c r="F109" s="582"/>
      <c r="G109" s="582"/>
      <c r="H109" s="582"/>
      <c r="I109" s="582"/>
      <c r="J109" s="582"/>
      <c r="K109" s="583"/>
      <c r="L109" s="584"/>
      <c r="M109" s="585"/>
      <c r="N109" s="1151"/>
      <c r="O109" s="1151"/>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1"/>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2"/>
      <c r="Q113" s="558"/>
    </row>
    <row r="114" spans="1:17" ht="15" thickTop="1">
      <c r="A114" s="598"/>
      <c r="B114" s="537" t="s">
        <v>2616</v>
      </c>
      <c r="C114" s="553"/>
      <c r="D114" s="553"/>
      <c r="E114" s="582"/>
      <c r="F114" s="582"/>
      <c r="G114" s="582"/>
      <c r="H114" s="582"/>
      <c r="I114" s="582"/>
      <c r="J114" s="582"/>
      <c r="K114" s="583"/>
      <c r="L114" s="584"/>
      <c r="M114" s="585"/>
      <c r="N114" s="1151"/>
      <c r="O114" s="1151"/>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1"/>
      <c r="Q115" s="503"/>
    </row>
    <row r="116" spans="1:17" ht="15" thickTop="1">
      <c r="A116" s="598"/>
      <c r="B116" s="537" t="s">
        <v>2617</v>
      </c>
      <c r="C116" s="553"/>
      <c r="D116" s="553"/>
      <c r="E116" s="553"/>
      <c r="F116" s="553"/>
      <c r="G116" s="553"/>
      <c r="H116" s="582"/>
      <c r="I116" s="582"/>
      <c r="J116" s="582"/>
      <c r="K116" s="583"/>
      <c r="L116" s="584"/>
      <c r="M116" s="585"/>
      <c r="N116" s="1151"/>
      <c r="O116" s="1151"/>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1"/>
      <c r="Q117" s="503"/>
    </row>
    <row r="118" spans="1:17" ht="15" thickTop="1">
      <c r="A118" s="598"/>
      <c r="B118" s="537" t="s">
        <v>2618</v>
      </c>
      <c r="C118" s="582"/>
      <c r="D118" s="582"/>
      <c r="E118" s="582"/>
      <c r="F118" s="582"/>
      <c r="G118" s="582"/>
      <c r="H118" s="582"/>
      <c r="I118" s="582"/>
      <c r="J118" s="582"/>
      <c r="K118" s="583"/>
      <c r="L118" s="584"/>
      <c r="M118" s="585"/>
      <c r="N118" s="1151"/>
      <c r="O118" s="1151"/>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1"/>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32"/>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2"/>
      <c r="Q121" s="558"/>
    </row>
    <row r="122" spans="1:17" ht="15" thickTop="1">
      <c r="A122" s="598"/>
      <c r="B122" s="537" t="s">
        <v>2619</v>
      </c>
      <c r="C122" s="553"/>
      <c r="D122" s="553"/>
      <c r="E122" s="553"/>
      <c r="F122" s="582"/>
      <c r="G122" s="582"/>
      <c r="H122" s="582"/>
      <c r="I122" s="582"/>
      <c r="J122" s="582"/>
      <c r="K122" s="583"/>
      <c r="L122" s="584"/>
      <c r="M122" s="585"/>
      <c r="N122" s="1151"/>
      <c r="O122" s="1151"/>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1"/>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2"/>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2"/>
      <c r="Q127" s="558"/>
    </row>
    <row r="128" spans="1:17" ht="15" thickTop="1">
      <c r="A128" s="598"/>
      <c r="B128" s="537">
        <f>B45</f>
        <v>111</v>
      </c>
      <c r="C128" s="553"/>
      <c r="D128" s="553"/>
      <c r="E128" s="553"/>
      <c r="F128" s="553"/>
      <c r="G128" s="582"/>
      <c r="H128" s="582"/>
      <c r="I128" s="582"/>
      <c r="J128" s="582"/>
      <c r="K128" s="583"/>
      <c r="L128" s="584"/>
      <c r="M128" s="585"/>
      <c r="N128" s="1151"/>
      <c r="O128" s="1151"/>
      <c r="P128" s="2631"/>
      <c r="Q128" s="503"/>
    </row>
    <row r="129" spans="1:17" ht="15.75" thickBot="1">
      <c r="A129" s="533"/>
      <c r="B129" s="542"/>
      <c r="C129" s="559"/>
      <c r="D129" s="559"/>
      <c r="E129" s="559"/>
      <c r="F129" s="559"/>
      <c r="G129" s="535"/>
      <c r="H129" s="535"/>
      <c r="I129" s="535"/>
      <c r="J129" s="535"/>
      <c r="K129" s="535"/>
      <c r="L129" s="535"/>
      <c r="M129" s="536"/>
      <c r="N129" s="1152"/>
      <c r="O129" s="1152"/>
      <c r="P129" s="2631"/>
      <c r="Q129" s="503"/>
    </row>
    <row r="130" spans="1:17" ht="15" thickTop="1">
      <c r="A130" s="598"/>
      <c r="B130" s="545">
        <f>B46</f>
        <v>111</v>
      </c>
      <c r="C130" s="553"/>
      <c r="D130" s="553"/>
      <c r="E130" s="553"/>
      <c r="F130" s="553"/>
      <c r="G130" s="586"/>
      <c r="H130" s="586"/>
      <c r="I130" s="586"/>
      <c r="J130" s="586"/>
      <c r="K130" s="522"/>
      <c r="L130" s="523"/>
      <c r="M130" s="589"/>
      <c r="N130" s="1151"/>
      <c r="O130" s="1151"/>
      <c r="P130" s="2631"/>
      <c r="Q130" s="503"/>
    </row>
    <row r="131" spans="1:17" ht="15.75" thickBot="1">
      <c r="A131" s="2637"/>
      <c r="B131" s="568"/>
      <c r="C131" s="569"/>
      <c r="D131" s="569"/>
      <c r="E131" s="569"/>
      <c r="F131" s="569"/>
      <c r="G131" s="590"/>
      <c r="H131" s="590"/>
      <c r="I131" s="590"/>
      <c r="J131" s="590"/>
      <c r="K131" s="590"/>
      <c r="L131" s="590"/>
      <c r="M131" s="591"/>
      <c r="N131" s="1152"/>
      <c r="O131" s="1152"/>
      <c r="P131" s="2631"/>
      <c r="Q131" s="503"/>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5" t="s">
        <v>2624</v>
      </c>
      <c r="D138" s="145" t="s">
        <v>2625</v>
      </c>
      <c r="E138" s="2646" t="s">
        <v>2626</v>
      </c>
      <c r="F138" s="2647" t="s">
        <v>2627</v>
      </c>
      <c r="G138" s="145" t="s">
        <v>2625</v>
      </c>
      <c r="H138" s="146" t="s">
        <v>2626</v>
      </c>
      <c r="I138" s="2648"/>
      <c r="J138" s="145" t="s">
        <v>2628</v>
      </c>
      <c r="K138" s="146" t="s">
        <v>2629</v>
      </c>
    </row>
    <row r="139" spans="1:17" ht="15">
      <c r="B139" s="1083">
        <v>6</v>
      </c>
      <c r="C139" s="1084">
        <v>96</v>
      </c>
      <c r="D139" s="2649" t="s">
        <v>2630</v>
      </c>
      <c r="E139" s="1085">
        <v>100</v>
      </c>
      <c r="F139" s="1086">
        <v>102.5</v>
      </c>
      <c r="G139" s="2649" t="s">
        <v>2630</v>
      </c>
      <c r="H139" s="1087">
        <v>105</v>
      </c>
      <c r="I139" s="2650" t="s">
        <v>2631</v>
      </c>
      <c r="J139" s="1084">
        <v>20</v>
      </c>
      <c r="K139" s="1088">
        <f>C145/(J139-2)</f>
        <v>4.0555555555555553E-3</v>
      </c>
    </row>
    <row r="140" spans="1:17" ht="15">
      <c r="B140" s="1089">
        <v>5</v>
      </c>
      <c r="C140" s="1090">
        <v>100</v>
      </c>
      <c r="D140" s="1090"/>
      <c r="E140" s="1091"/>
      <c r="F140" s="1092">
        <v>102</v>
      </c>
      <c r="G140" s="1090"/>
      <c r="H140" s="1093"/>
      <c r="I140" s="2651" t="s">
        <v>2632</v>
      </c>
      <c r="J140" s="314">
        <f>ROUNDUP((J139-1)/2,0)</f>
        <v>10</v>
      </c>
      <c r="K140" s="1094">
        <v>100</v>
      </c>
    </row>
    <row r="141" spans="1:17" ht="15">
      <c r="B141" s="1089">
        <v>4</v>
      </c>
      <c r="C141" s="1090">
        <v>102</v>
      </c>
      <c r="D141" s="1090"/>
      <c r="E141" s="1091"/>
      <c r="F141" s="1092">
        <v>101.5</v>
      </c>
      <c r="G141" s="1090"/>
      <c r="H141" s="1093"/>
      <c r="I141" s="2651" t="s">
        <v>2633</v>
      </c>
      <c r="J141" s="314">
        <v>1</v>
      </c>
      <c r="K141" s="1095">
        <f>ROUND(100+(J141-J140)*K139*100,1)</f>
        <v>96.4</v>
      </c>
    </row>
    <row r="142" spans="1:17" ht="15">
      <c r="B142" s="1089">
        <v>3</v>
      </c>
      <c r="C142" s="1090">
        <v>103</v>
      </c>
      <c r="D142" s="1090"/>
      <c r="E142" s="1091"/>
      <c r="F142" s="1092">
        <v>101</v>
      </c>
      <c r="G142" s="1090"/>
      <c r="H142" s="1093"/>
      <c r="I142" s="2651" t="s">
        <v>2634</v>
      </c>
      <c r="J142" s="314">
        <f>J139</f>
        <v>20</v>
      </c>
      <c r="K142" s="1096">
        <v>95</v>
      </c>
    </row>
    <row r="143" spans="1:17" ht="15">
      <c r="B143" s="1089">
        <v>2</v>
      </c>
      <c r="C143" s="1090">
        <v>100</v>
      </c>
      <c r="D143" s="1090"/>
      <c r="E143" s="1091"/>
      <c r="F143" s="1092">
        <v>100.5</v>
      </c>
      <c r="G143" s="1090"/>
      <c r="H143" s="1093"/>
      <c r="I143" s="2651" t="s">
        <v>2635</v>
      </c>
      <c r="J143" s="1090">
        <v>15</v>
      </c>
      <c r="K143" s="1095">
        <f>ROUND(100+(J143-J140)*K139*100,1)</f>
        <v>102</v>
      </c>
    </row>
    <row r="144" spans="1:17" ht="15">
      <c r="B144" s="1089">
        <v>1</v>
      </c>
      <c r="C144" s="1090">
        <v>98</v>
      </c>
      <c r="D144" s="2652" t="s">
        <v>2636</v>
      </c>
      <c r="E144" s="1091">
        <v>102</v>
      </c>
      <c r="F144" s="1097">
        <v>100</v>
      </c>
      <c r="G144" s="2652" t="s">
        <v>2636</v>
      </c>
      <c r="H144" s="1093">
        <v>105</v>
      </c>
      <c r="I144" s="2651" t="s">
        <v>2635</v>
      </c>
      <c r="J144" s="1090">
        <v>18</v>
      </c>
      <c r="K144" s="1095">
        <f>ROUND(100+(J144-J140)*K139*100,1)</f>
        <v>103.2</v>
      </c>
    </row>
    <row r="145" spans="2:11" ht="15.75" thickBot="1">
      <c r="B145" s="2653" t="s">
        <v>2637</v>
      </c>
      <c r="C145" s="1098">
        <f>ROUND(MAX(C139:C144)/MIN(C139:C144)-1,3)</f>
        <v>7.2999999999999995E-2</v>
      </c>
      <c r="D145" s="1099"/>
      <c r="E145" s="1099"/>
      <c r="F145" s="2654" t="s">
        <v>2638</v>
      </c>
      <c r="G145" s="2655"/>
      <c r="H145" s="2656"/>
      <c r="I145" s="2657" t="s">
        <v>2635</v>
      </c>
      <c r="J145" s="1100">
        <v>8</v>
      </c>
      <c r="K145" s="1101">
        <f>ROUND(100+(J145-J140)*K139*100,1)</f>
        <v>99.2</v>
      </c>
    </row>
    <row r="147" spans="2:11">
      <c r="B147" s="2638" t="s">
        <v>2639</v>
      </c>
    </row>
    <row r="148" spans="2:11">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2685</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87"/>
      <c r="D2" s="1364"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3967.28</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173" t="s">
        <v>2645</v>
      </c>
      <c r="D4" s="3174"/>
      <c r="E4" s="3175" t="s">
        <v>2646</v>
      </c>
      <c r="F4" s="3176"/>
      <c r="G4" s="3173" t="s">
        <v>2647</v>
      </c>
      <c r="H4" s="3174"/>
      <c r="I4" s="3173" t="s">
        <v>2648</v>
      </c>
      <c r="J4" s="3174"/>
      <c r="K4" s="609" t="s">
        <v>2649</v>
      </c>
      <c r="L4" s="1129"/>
      <c r="M4" s="1130"/>
      <c r="N4" s="1130"/>
      <c r="O4" s="1130"/>
      <c r="P4" s="3237" t="s">
        <v>2650</v>
      </c>
      <c r="Q4" s="3238"/>
      <c r="R4" s="3232" t="s">
        <v>2646</v>
      </c>
      <c r="S4" s="3233"/>
      <c r="T4" s="3232" t="s">
        <v>2647</v>
      </c>
      <c r="U4" s="3233"/>
      <c r="V4" s="3241" t="s">
        <v>2648</v>
      </c>
      <c r="W4" s="3241"/>
      <c r="X4" s="2671"/>
      <c r="Y4" s="3232" t="s">
        <v>2650</v>
      </c>
      <c r="Z4" s="3233"/>
      <c r="AA4" s="3231" t="s">
        <v>2646</v>
      </c>
      <c r="AB4" s="3231" t="s">
        <v>2647</v>
      </c>
      <c r="AC4" s="3234" t="s">
        <v>2648</v>
      </c>
    </row>
    <row r="5" spans="1:29" ht="15">
      <c r="A5" s="403"/>
      <c r="B5" s="404"/>
      <c r="C5" s="3166" t="s">
        <v>2541</v>
      </c>
      <c r="D5" s="3167"/>
      <c r="E5" s="3164" t="s">
        <v>2542</v>
      </c>
      <c r="F5" s="3165"/>
      <c r="G5" s="3166" t="s">
        <v>2543</v>
      </c>
      <c r="H5" s="3167"/>
      <c r="I5" s="3166" t="s">
        <v>2544</v>
      </c>
      <c r="J5" s="3167"/>
      <c r="K5" s="609"/>
      <c r="L5" s="1129"/>
      <c r="M5" s="1130"/>
      <c r="N5" s="1130"/>
      <c r="O5" s="1130"/>
      <c r="P5" s="3239"/>
      <c r="Q5" s="3180"/>
      <c r="R5" s="3162"/>
      <c r="S5" s="3163"/>
      <c r="T5" s="3162"/>
      <c r="U5" s="3163"/>
      <c r="V5" s="3157"/>
      <c r="W5" s="3157"/>
      <c r="X5" s="1812"/>
      <c r="Y5" s="3162"/>
      <c r="Z5" s="3163"/>
      <c r="AA5" s="3155"/>
      <c r="AB5" s="3155"/>
      <c r="AC5" s="3235"/>
    </row>
    <row r="6" spans="1:29" ht="15.75" thickBot="1">
      <c r="A6" s="405"/>
      <c r="B6" s="406"/>
      <c r="C6" s="3168" t="s">
        <v>2545</v>
      </c>
      <c r="D6" s="3169"/>
      <c r="E6" s="3170" t="s">
        <v>2545</v>
      </c>
      <c r="F6" s="3171"/>
      <c r="G6" s="3168" t="s">
        <v>2545</v>
      </c>
      <c r="H6" s="3169"/>
      <c r="I6" s="3168" t="s">
        <v>2545</v>
      </c>
      <c r="J6" s="3169"/>
      <c r="K6" s="609" t="s">
        <v>2546</v>
      </c>
      <c r="L6" s="1129"/>
      <c r="M6" s="1130"/>
      <c r="N6" s="1130"/>
      <c r="O6" s="1130"/>
      <c r="P6" s="3240"/>
      <c r="Q6" s="3182"/>
      <c r="R6" s="3162"/>
      <c r="S6" s="3163"/>
      <c r="T6" s="3183"/>
      <c r="U6" s="3184"/>
      <c r="V6" s="3157"/>
      <c r="W6" s="3157"/>
      <c r="X6" s="1812"/>
      <c r="Y6" s="3183"/>
      <c r="Z6" s="3184"/>
      <c r="AA6" s="3156"/>
      <c r="AB6" s="3156"/>
      <c r="AC6" s="3236"/>
    </row>
    <row r="7" spans="1:29" s="116" customFormat="1" ht="15.75" thickBot="1">
      <c r="A7" s="407" t="s">
        <v>2547</v>
      </c>
      <c r="B7" s="408"/>
      <c r="C7" s="409">
        <f>'数据-取费表'!B2</f>
        <v>43969</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2" t="s">
        <v>2548</v>
      </c>
      <c r="Q7" s="3185"/>
      <c r="R7" s="769" t="s">
        <v>17</v>
      </c>
      <c r="S7" s="770">
        <f t="shared" ref="S7:S15" si="0">F7</f>
        <v>0</v>
      </c>
      <c r="T7" s="769" t="s">
        <v>17</v>
      </c>
      <c r="U7" s="770">
        <f t="shared" ref="U7:U15" si="1">H7</f>
        <v>0</v>
      </c>
      <c r="V7" s="769" t="s">
        <v>17</v>
      </c>
      <c r="W7" s="770">
        <f t="shared" ref="W7:W15" si="2">J7</f>
        <v>0</v>
      </c>
      <c r="X7" s="771"/>
      <c r="Y7" s="3158" t="s">
        <v>2548</v>
      </c>
      <c r="Z7" s="3159"/>
      <c r="AA7" s="772" t="e">
        <f>D7/F7</f>
        <v>#DIV/0!</v>
      </c>
      <c r="AB7" s="772" t="e">
        <f>D7/H7</f>
        <v>#DIV/0!</v>
      </c>
      <c r="AC7" s="2672"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2" t="s">
        <v>2551</v>
      </c>
      <c r="Q8" s="3159"/>
      <c r="R8" s="769" t="s">
        <v>17</v>
      </c>
      <c r="S8" s="770">
        <f t="shared" si="0"/>
        <v>0</v>
      </c>
      <c r="T8" s="769" t="s">
        <v>17</v>
      </c>
      <c r="U8" s="770">
        <f t="shared" si="1"/>
        <v>0</v>
      </c>
      <c r="V8" s="769" t="s">
        <v>17</v>
      </c>
      <c r="W8" s="770">
        <f t="shared" si="2"/>
        <v>0</v>
      </c>
      <c r="X8" s="771"/>
      <c r="Y8" s="3158" t="s">
        <v>2551</v>
      </c>
      <c r="Z8" s="3159"/>
      <c r="AA8" s="772" t="e">
        <f t="shared" ref="AA8:AA47" si="3">D8/F8</f>
        <v>#DIV/0!</v>
      </c>
      <c r="AB8" s="772" t="e">
        <f t="shared" ref="AB8:AB47" si="4">D8/H8</f>
        <v>#DIV/0!</v>
      </c>
      <c r="AC8" s="2672"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72" t="s">
        <v>2554</v>
      </c>
      <c r="Q9" s="1794" t="str">
        <f t="shared" ref="Q9:Q15" si="6">B9</f>
        <v>用途</v>
      </c>
      <c r="R9" s="769" t="s">
        <v>17</v>
      </c>
      <c r="S9" s="770">
        <f t="shared" si="0"/>
        <v>100</v>
      </c>
      <c r="T9" s="769" t="s">
        <v>17</v>
      </c>
      <c r="U9" s="770">
        <f t="shared" si="1"/>
        <v>100</v>
      </c>
      <c r="V9" s="769" t="s">
        <v>17</v>
      </c>
      <c r="W9" s="770">
        <f t="shared" si="2"/>
        <v>100</v>
      </c>
      <c r="X9" s="771"/>
      <c r="Y9" s="3031" t="s">
        <v>2555</v>
      </c>
      <c r="Z9" s="54" t="str">
        <f t="shared" ref="Z9:Z15" si="7">Q9</f>
        <v>用途</v>
      </c>
      <c r="AA9" s="772">
        <f t="shared" si="3"/>
        <v>1</v>
      </c>
      <c r="AB9" s="772">
        <f t="shared" si="4"/>
        <v>1</v>
      </c>
      <c r="AC9" s="2672">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72"/>
      <c r="Q10" s="1794"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2672">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72"/>
      <c r="Q11" s="1794"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1"/>
      <c r="M12" s="1132"/>
      <c r="N12" s="1132"/>
      <c r="O12" s="1132"/>
      <c r="P12" s="3172"/>
      <c r="Q12" s="1794">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39"/>
      <c r="M13" s="1130"/>
      <c r="N13" s="1130"/>
      <c r="O13" s="1130"/>
      <c r="P13" s="3172"/>
      <c r="Q13" s="1794">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39"/>
      <c r="M14" s="1130"/>
      <c r="N14" s="1130"/>
      <c r="O14" s="1130"/>
      <c r="P14" s="3172"/>
      <c r="Q14" s="1794">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2672">
        <f t="shared" si="5"/>
        <v>1</v>
      </c>
    </row>
    <row r="15" spans="1:29" ht="71.25">
      <c r="A15" s="439" t="s">
        <v>2558</v>
      </c>
      <c r="B15" s="628" t="s">
        <v>2686</v>
      </c>
      <c r="C15" s="2674"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86" t="s">
        <v>2559</v>
      </c>
      <c r="Q15" s="1809" t="str">
        <f t="shared" si="6"/>
        <v>办公集聚程度</v>
      </c>
      <c r="R15" s="773" t="s">
        <v>17</v>
      </c>
      <c r="S15" s="774">
        <f t="shared" si="0"/>
        <v>100</v>
      </c>
      <c r="T15" s="773" t="s">
        <v>17</v>
      </c>
      <c r="U15" s="774">
        <f t="shared" si="1"/>
        <v>100</v>
      </c>
      <c r="V15" s="773" t="s">
        <v>17</v>
      </c>
      <c r="W15" s="774">
        <f t="shared" si="2"/>
        <v>100</v>
      </c>
      <c r="X15" s="1812"/>
      <c r="Y15" s="3188" t="s">
        <v>2559</v>
      </c>
      <c r="Z15" s="1813" t="str">
        <f t="shared" si="7"/>
        <v>办公集聚程度</v>
      </c>
      <c r="AA15" s="1810">
        <f t="shared" si="3"/>
        <v>1</v>
      </c>
      <c r="AB15" s="1810">
        <f t="shared" si="4"/>
        <v>1</v>
      </c>
      <c r="AC15" s="2675">
        <f t="shared" si="5"/>
        <v>1</v>
      </c>
    </row>
    <row r="16" spans="1:29" ht="15">
      <c r="A16" s="427"/>
      <c r="B16" s="629"/>
      <c r="C16" s="2612"/>
      <c r="D16" s="447"/>
      <c r="E16" s="446"/>
      <c r="F16" s="447"/>
      <c r="G16" s="2612"/>
      <c r="H16" s="449"/>
      <c r="I16" s="446"/>
      <c r="J16" s="447"/>
      <c r="K16" s="614"/>
      <c r="L16" s="1139"/>
      <c r="M16" s="1130"/>
      <c r="N16" s="1130"/>
      <c r="O16" s="1130"/>
      <c r="P16" s="3187"/>
      <c r="Q16" s="1809"/>
      <c r="R16" s="773"/>
      <c r="S16" s="774"/>
      <c r="T16" s="773"/>
      <c r="U16" s="774"/>
      <c r="V16" s="773"/>
      <c r="W16" s="774"/>
      <c r="X16" s="1812"/>
      <c r="Y16" s="3189"/>
      <c r="Z16" s="1813"/>
      <c r="AA16" s="1810">
        <v>1</v>
      </c>
      <c r="AB16" s="1810">
        <v>1</v>
      </c>
      <c r="AC16" s="2675">
        <v>1</v>
      </c>
    </row>
    <row r="17" spans="1:29" ht="71.25">
      <c r="A17" s="427"/>
      <c r="B17" s="630" t="s">
        <v>2095</v>
      </c>
      <c r="C17" s="2676"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87"/>
      <c r="Q17" s="1809" t="str">
        <f>B17</f>
        <v>交通便捷度</v>
      </c>
      <c r="R17" s="773" t="s">
        <v>17</v>
      </c>
      <c r="S17" s="774">
        <f>F17</f>
        <v>100</v>
      </c>
      <c r="T17" s="773" t="s">
        <v>17</v>
      </c>
      <c r="U17" s="774">
        <f>H17</f>
        <v>100</v>
      </c>
      <c r="V17" s="773" t="s">
        <v>17</v>
      </c>
      <c r="W17" s="774">
        <f>J17</f>
        <v>100</v>
      </c>
      <c r="X17" s="1812"/>
      <c r="Y17" s="3189"/>
      <c r="Z17" s="1813" t="str">
        <f>Q17</f>
        <v>交通便捷度</v>
      </c>
      <c r="AA17" s="1810">
        <f t="shared" si="3"/>
        <v>1</v>
      </c>
      <c r="AB17" s="1810">
        <f t="shared" si="4"/>
        <v>1</v>
      </c>
      <c r="AC17" s="2675">
        <f t="shared" si="5"/>
        <v>1</v>
      </c>
    </row>
    <row r="18" spans="1:29" ht="15">
      <c r="A18" s="427"/>
      <c r="B18" s="631"/>
      <c r="C18" s="2677"/>
      <c r="D18" s="449"/>
      <c r="E18" s="2610"/>
      <c r="F18" s="449"/>
      <c r="G18" s="2611"/>
      <c r="H18" s="447"/>
      <c r="I18" s="2611"/>
      <c r="J18" s="447"/>
      <c r="K18" s="614"/>
      <c r="L18" s="1139"/>
      <c r="M18" s="1130"/>
      <c r="N18" s="1130"/>
      <c r="O18" s="1130"/>
      <c r="P18" s="3187"/>
      <c r="Q18" s="1809"/>
      <c r="R18" s="773"/>
      <c r="S18" s="774"/>
      <c r="T18" s="773"/>
      <c r="U18" s="774"/>
      <c r="V18" s="773"/>
      <c r="W18" s="774"/>
      <c r="X18" s="1812"/>
      <c r="Y18" s="3189"/>
      <c r="Z18" s="1813"/>
      <c r="AA18" s="1810">
        <v>1</v>
      </c>
      <c r="AB18" s="1810">
        <v>1</v>
      </c>
      <c r="AC18" s="2675">
        <v>1</v>
      </c>
    </row>
    <row r="19" spans="1:29" ht="42.75">
      <c r="A19" s="427"/>
      <c r="B19" s="630" t="s">
        <v>2687</v>
      </c>
      <c r="C19" s="267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87"/>
      <c r="Q19" s="1809" t="str">
        <f>B19</f>
        <v>公共配套设施</v>
      </c>
      <c r="R19" s="773" t="s">
        <v>17</v>
      </c>
      <c r="S19" s="774">
        <f>F19</f>
        <v>100</v>
      </c>
      <c r="T19" s="773" t="s">
        <v>17</v>
      </c>
      <c r="U19" s="774">
        <f>H19</f>
        <v>100</v>
      </c>
      <c r="V19" s="773" t="s">
        <v>17</v>
      </c>
      <c r="W19" s="774">
        <f>J19</f>
        <v>100</v>
      </c>
      <c r="X19" s="1812"/>
      <c r="Y19" s="3189"/>
      <c r="Z19" s="1813" t="str">
        <f>Q19</f>
        <v>公共配套设施</v>
      </c>
      <c r="AA19" s="1810">
        <f t="shared" si="3"/>
        <v>1</v>
      </c>
      <c r="AB19" s="1810">
        <f t="shared" si="4"/>
        <v>1</v>
      </c>
      <c r="AC19" s="2675">
        <f t="shared" si="5"/>
        <v>1</v>
      </c>
    </row>
    <row r="20" spans="1:29" ht="15">
      <c r="A20" s="427"/>
      <c r="B20" s="631"/>
      <c r="C20" s="2612"/>
      <c r="D20" s="447"/>
      <c r="E20" s="2605"/>
      <c r="F20" s="447"/>
      <c r="G20" s="2606"/>
      <c r="H20" s="447"/>
      <c r="I20" s="2606"/>
      <c r="J20" s="447"/>
      <c r="K20" s="614"/>
      <c r="L20" s="1139"/>
      <c r="M20" s="1130"/>
      <c r="N20" s="1130"/>
      <c r="O20" s="1130"/>
      <c r="P20" s="3187"/>
      <c r="Q20" s="1809"/>
      <c r="R20" s="773"/>
      <c r="S20" s="774"/>
      <c r="T20" s="773"/>
      <c r="U20" s="774"/>
      <c r="V20" s="773"/>
      <c r="W20" s="774"/>
      <c r="X20" s="1812"/>
      <c r="Y20" s="3189"/>
      <c r="Z20" s="1813"/>
      <c r="AA20" s="1810">
        <v>1</v>
      </c>
      <c r="AB20" s="1810">
        <v>1</v>
      </c>
      <c r="AC20" s="2675">
        <v>1</v>
      </c>
    </row>
    <row r="21" spans="1:29" ht="28.5">
      <c r="A21" s="427"/>
      <c r="B21" s="632" t="s">
        <v>2688</v>
      </c>
      <c r="C21" s="2676"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87"/>
      <c r="Q21" s="1809" t="str">
        <f>B21</f>
        <v>基础设施水平</v>
      </c>
      <c r="R21" s="773" t="s">
        <v>17</v>
      </c>
      <c r="S21" s="774">
        <f>F21</f>
        <v>100</v>
      </c>
      <c r="T21" s="773" t="s">
        <v>17</v>
      </c>
      <c r="U21" s="774">
        <f>H21</f>
        <v>100</v>
      </c>
      <c r="V21" s="773" t="s">
        <v>17</v>
      </c>
      <c r="W21" s="774">
        <f>J21</f>
        <v>100</v>
      </c>
      <c r="X21" s="1812"/>
      <c r="Y21" s="3189"/>
      <c r="Z21" s="1813" t="str">
        <f>Q21</f>
        <v>基础设施水平</v>
      </c>
      <c r="AA21" s="1810">
        <f t="shared" ref="AA21" si="8">D21/F21</f>
        <v>1</v>
      </c>
      <c r="AB21" s="1810">
        <f t="shared" ref="AB21" si="9">D21/H21</f>
        <v>1</v>
      </c>
      <c r="AC21" s="2675">
        <f t="shared" ref="AC21" si="10">D21/J21</f>
        <v>1</v>
      </c>
    </row>
    <row r="22" spans="1:29" ht="15">
      <c r="A22" s="427"/>
      <c r="B22" s="632"/>
      <c r="C22" s="2677"/>
      <c r="D22" s="447"/>
      <c r="E22" s="446"/>
      <c r="F22" s="447"/>
      <c r="G22" s="2612"/>
      <c r="H22" s="447"/>
      <c r="I22" s="2612"/>
      <c r="J22" s="447"/>
      <c r="K22" s="1382"/>
      <c r="L22" s="1139"/>
      <c r="M22" s="1130"/>
      <c r="N22" s="1130"/>
      <c r="O22" s="1130"/>
      <c r="P22" s="3187"/>
      <c r="Q22" s="1809"/>
      <c r="R22" s="773"/>
      <c r="S22" s="774"/>
      <c r="T22" s="773"/>
      <c r="U22" s="774"/>
      <c r="V22" s="773"/>
      <c r="W22" s="774"/>
      <c r="X22" s="1812"/>
      <c r="Y22" s="3189"/>
      <c r="Z22" s="1813"/>
      <c r="AA22" s="1810">
        <v>1</v>
      </c>
      <c r="AB22" s="1810">
        <v>1</v>
      </c>
      <c r="AC22" s="2675">
        <v>1</v>
      </c>
    </row>
    <row r="23" spans="1:29" ht="42.75">
      <c r="A23" s="427"/>
      <c r="B23" s="630" t="s">
        <v>2689</v>
      </c>
      <c r="C23" s="2676"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87"/>
      <c r="Q23" s="1809" t="str">
        <f>B23</f>
        <v>环境质量</v>
      </c>
      <c r="R23" s="773" t="s">
        <v>17</v>
      </c>
      <c r="S23" s="774">
        <f>F23</f>
        <v>100</v>
      </c>
      <c r="T23" s="773" t="s">
        <v>17</v>
      </c>
      <c r="U23" s="774">
        <f>H23</f>
        <v>100</v>
      </c>
      <c r="V23" s="773" t="s">
        <v>17</v>
      </c>
      <c r="W23" s="774">
        <f>J23</f>
        <v>100</v>
      </c>
      <c r="X23" s="1812"/>
      <c r="Y23" s="3189"/>
      <c r="Z23" s="1813" t="str">
        <f>Q23</f>
        <v>环境质量</v>
      </c>
      <c r="AA23" s="1810">
        <f t="shared" si="3"/>
        <v>1</v>
      </c>
      <c r="AB23" s="1810">
        <f t="shared" si="4"/>
        <v>1</v>
      </c>
      <c r="AC23" s="2675">
        <f t="shared" si="5"/>
        <v>1</v>
      </c>
    </row>
    <row r="24" spans="1:29" ht="15">
      <c r="A24" s="427"/>
      <c r="B24" s="632"/>
      <c r="C24" s="2612"/>
      <c r="D24" s="447"/>
      <c r="E24" s="2605"/>
      <c r="F24" s="447"/>
      <c r="G24" s="2606"/>
      <c r="H24" s="447"/>
      <c r="I24" s="2606"/>
      <c r="J24" s="447"/>
      <c r="K24" s="614"/>
      <c r="L24" s="1139"/>
      <c r="M24" s="1130"/>
      <c r="N24" s="1130"/>
      <c r="O24" s="1130"/>
      <c r="P24" s="3187"/>
      <c r="Q24" s="1809"/>
      <c r="R24" s="773"/>
      <c r="S24" s="774"/>
      <c r="T24" s="773"/>
      <c r="U24" s="774"/>
      <c r="V24" s="773"/>
      <c r="W24" s="774"/>
      <c r="X24" s="1812"/>
      <c r="Y24" s="3189"/>
      <c r="Z24" s="1813"/>
      <c r="AA24" s="1810">
        <v>1</v>
      </c>
      <c r="AB24" s="1810">
        <v>1</v>
      </c>
      <c r="AC24" s="2675">
        <v>1</v>
      </c>
    </row>
    <row r="25" spans="1:29" ht="27">
      <c r="A25" s="403"/>
      <c r="B25" s="630" t="s">
        <v>2690</v>
      </c>
      <c r="C25" s="2616"/>
      <c r="D25" s="434">
        <v>100</v>
      </c>
      <c r="E25" s="433"/>
      <c r="F25" s="434">
        <f>SUMIF(87:87,E26,88:88)-SUMIF(87:87,C26,88:88)+100</f>
        <v>100</v>
      </c>
      <c r="G25" s="2616"/>
      <c r="H25" s="434">
        <f>SUMIF(87:87,G26,88:88)-SUMIF(87:87,C26,88:88)+100</f>
        <v>100</v>
      </c>
      <c r="I25" s="433"/>
      <c r="J25" s="434">
        <f>SUMIF(87:87,I26,88:88)-SUMIF(87:87,C26,88:88)+100</f>
        <v>100</v>
      </c>
      <c r="K25" s="613"/>
      <c r="L25" s="1139"/>
      <c r="M25" s="1130"/>
      <c r="N25" s="1130"/>
      <c r="O25" s="1130"/>
      <c r="P25" s="3187"/>
      <c r="Q25" s="1809" t="str">
        <f>B25</f>
        <v>毗邻道路的类型与等级</v>
      </c>
      <c r="R25" s="773" t="s">
        <v>17</v>
      </c>
      <c r="S25" s="774">
        <f>F25</f>
        <v>100</v>
      </c>
      <c r="T25" s="773" t="s">
        <v>17</v>
      </c>
      <c r="U25" s="774">
        <f>H25</f>
        <v>100</v>
      </c>
      <c r="V25" s="773" t="s">
        <v>17</v>
      </c>
      <c r="W25" s="774">
        <f>J25</f>
        <v>100</v>
      </c>
      <c r="X25" s="1812"/>
      <c r="Y25" s="3189"/>
      <c r="Z25" s="1813" t="str">
        <f>Q25</f>
        <v>毗邻道路的类型与等级</v>
      </c>
      <c r="AA25" s="1810">
        <f t="shared" si="3"/>
        <v>1</v>
      </c>
      <c r="AB25" s="1810">
        <f t="shared" si="4"/>
        <v>1</v>
      </c>
      <c r="AC25" s="2675">
        <f t="shared" si="5"/>
        <v>1</v>
      </c>
    </row>
    <row r="26" spans="1:29" ht="15">
      <c r="A26" s="403"/>
      <c r="B26" s="631"/>
      <c r="C26" s="633"/>
      <c r="D26" s="434"/>
      <c r="E26" s="615"/>
      <c r="F26" s="434"/>
      <c r="G26" s="633"/>
      <c r="H26" s="434"/>
      <c r="I26" s="615"/>
      <c r="J26" s="434"/>
      <c r="K26" s="614"/>
      <c r="L26" s="1139"/>
      <c r="M26" s="1130"/>
      <c r="N26" s="1130"/>
      <c r="O26" s="1130"/>
      <c r="P26" s="3187"/>
      <c r="Q26" s="1809"/>
      <c r="R26" s="773"/>
      <c r="S26" s="774"/>
      <c r="T26" s="773"/>
      <c r="U26" s="774"/>
      <c r="V26" s="773"/>
      <c r="W26" s="774"/>
      <c r="X26" s="1812"/>
      <c r="Y26" s="3189"/>
      <c r="Z26" s="1813"/>
      <c r="AA26" s="1810">
        <v>1</v>
      </c>
      <c r="AB26" s="1810">
        <v>1</v>
      </c>
      <c r="AC26" s="2675">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87"/>
      <c r="Q27" s="1809" t="str">
        <f t="shared" ref="Q27:Q47" si="11">B27</f>
        <v>楼层</v>
      </c>
      <c r="R27" s="773" t="s">
        <v>17</v>
      </c>
      <c r="S27" s="774">
        <f>F27</f>
        <v>100</v>
      </c>
      <c r="T27" s="773" t="s">
        <v>17</v>
      </c>
      <c r="U27" s="774">
        <f>H27</f>
        <v>100</v>
      </c>
      <c r="V27" s="773" t="s">
        <v>17</v>
      </c>
      <c r="W27" s="774">
        <f>J27</f>
        <v>100</v>
      </c>
      <c r="X27" s="1812"/>
      <c r="Y27" s="3189"/>
      <c r="Z27" s="1813" t="str">
        <f>Q27</f>
        <v>楼层</v>
      </c>
      <c r="AA27" s="1810">
        <f t="shared" si="3"/>
        <v>1</v>
      </c>
      <c r="AB27" s="1810">
        <f t="shared" si="4"/>
        <v>1</v>
      </c>
      <c r="AC27" s="2675">
        <f t="shared" si="5"/>
        <v>1</v>
      </c>
    </row>
    <row r="28" spans="1:29" s="116" customFormat="1" ht="15">
      <c r="A28" s="430"/>
      <c r="B28" s="630" t="s">
        <v>2691</v>
      </c>
      <c r="C28" s="2678"/>
      <c r="D28" s="461">
        <v>100</v>
      </c>
      <c r="E28" s="2666"/>
      <c r="F28" s="461">
        <f>SUMIF(91:91,E28,92:92)-SUMIF(91:91,C28,92:92)+100</f>
        <v>100</v>
      </c>
      <c r="G28" s="2678"/>
      <c r="H28" s="461">
        <f>SUMIF(91:91,G28,92:92)-SUMIF(91:91,C28,92:92)+100</f>
        <v>100</v>
      </c>
      <c r="I28" s="2666"/>
      <c r="J28" s="461">
        <f>SUMIF(91:91,I28,92:92)-SUMIF(91:91,C28,92:92)+100</f>
        <v>100</v>
      </c>
      <c r="K28" s="611"/>
      <c r="L28" s="1131"/>
      <c r="M28" s="1132"/>
      <c r="N28" s="1132"/>
      <c r="O28" s="1132"/>
      <c r="P28" s="3187"/>
      <c r="Q28" s="1794" t="str">
        <f t="shared" si="11"/>
        <v>朝向</v>
      </c>
      <c r="R28" s="769" t="s">
        <v>17</v>
      </c>
      <c r="S28" s="770">
        <f>F28</f>
        <v>100</v>
      </c>
      <c r="T28" s="769" t="s">
        <v>17</v>
      </c>
      <c r="U28" s="770">
        <f>H28</f>
        <v>100</v>
      </c>
      <c r="V28" s="769" t="s">
        <v>17</v>
      </c>
      <c r="W28" s="770">
        <f>J28</f>
        <v>100</v>
      </c>
      <c r="X28" s="771"/>
      <c r="Y28" s="3189"/>
      <c r="Z28" s="54" t="str">
        <f>Q28</f>
        <v>朝向</v>
      </c>
      <c r="AA28" s="1810">
        <f>D28/F28</f>
        <v>1</v>
      </c>
      <c r="AB28" s="1810">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39"/>
      <c r="M29" s="1130"/>
      <c r="N29" s="1130"/>
      <c r="O29" s="1130"/>
      <c r="P29" s="3187"/>
      <c r="Q29" s="1809">
        <f t="shared" si="11"/>
        <v>111</v>
      </c>
      <c r="R29" s="773" t="s">
        <v>17</v>
      </c>
      <c r="S29" s="774">
        <f t="shared" ref="S29:S47" si="12">F29</f>
        <v>100</v>
      </c>
      <c r="T29" s="773" t="s">
        <v>17</v>
      </c>
      <c r="U29" s="774">
        <f t="shared" ref="U29:U47" si="13">H29</f>
        <v>100</v>
      </c>
      <c r="V29" s="773" t="s">
        <v>17</v>
      </c>
      <c r="W29" s="774">
        <f t="shared" ref="W29:W47" si="14">J29</f>
        <v>100</v>
      </c>
      <c r="X29" s="1812"/>
      <c r="Y29" s="3189"/>
      <c r="Z29" s="1813">
        <f t="shared" ref="Z29:Z47" si="15">Q29</f>
        <v>111</v>
      </c>
      <c r="AA29" s="1810">
        <f t="shared" si="3"/>
        <v>1</v>
      </c>
      <c r="AB29" s="1810">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39"/>
      <c r="M30" s="1130"/>
      <c r="N30" s="1130"/>
      <c r="O30" s="1130"/>
      <c r="P30" s="3187"/>
      <c r="Q30" s="1809">
        <f t="shared" si="11"/>
        <v>111</v>
      </c>
      <c r="R30" s="773" t="s">
        <v>17</v>
      </c>
      <c r="S30" s="774">
        <f t="shared" si="12"/>
        <v>100</v>
      </c>
      <c r="T30" s="773" t="s">
        <v>17</v>
      </c>
      <c r="U30" s="774">
        <f t="shared" si="13"/>
        <v>100</v>
      </c>
      <c r="V30" s="773" t="s">
        <v>17</v>
      </c>
      <c r="W30" s="774">
        <f t="shared" si="14"/>
        <v>100</v>
      </c>
      <c r="X30" s="1812"/>
      <c r="Y30" s="3189"/>
      <c r="Z30" s="1813">
        <f t="shared" si="15"/>
        <v>111</v>
      </c>
      <c r="AA30" s="1810">
        <f t="shared" si="3"/>
        <v>1</v>
      </c>
      <c r="AB30" s="1810">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39"/>
      <c r="M31" s="1130"/>
      <c r="N31" s="1130"/>
      <c r="O31" s="1130"/>
      <c r="P31" s="3187"/>
      <c r="Q31" s="1809">
        <f t="shared" si="11"/>
        <v>111</v>
      </c>
      <c r="R31" s="773" t="s">
        <v>17</v>
      </c>
      <c r="S31" s="774">
        <f t="shared" si="12"/>
        <v>100</v>
      </c>
      <c r="T31" s="773" t="s">
        <v>17</v>
      </c>
      <c r="U31" s="774">
        <f t="shared" si="13"/>
        <v>100</v>
      </c>
      <c r="V31" s="773" t="s">
        <v>17</v>
      </c>
      <c r="W31" s="774">
        <f t="shared" si="14"/>
        <v>100</v>
      </c>
      <c r="X31" s="1812"/>
      <c r="Y31" s="3189"/>
      <c r="Z31" s="1813">
        <f t="shared" si="15"/>
        <v>111</v>
      </c>
      <c r="AA31" s="1810">
        <f t="shared" si="3"/>
        <v>1</v>
      </c>
      <c r="AB31" s="1810">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39"/>
      <c r="M32" s="1130"/>
      <c r="N32" s="1130"/>
      <c r="O32" s="1130"/>
      <c r="P32" s="3187"/>
      <c r="Q32" s="1809">
        <f t="shared" si="11"/>
        <v>111</v>
      </c>
      <c r="R32" s="773" t="s">
        <v>17</v>
      </c>
      <c r="S32" s="774">
        <f t="shared" si="12"/>
        <v>100</v>
      </c>
      <c r="T32" s="773" t="s">
        <v>17</v>
      </c>
      <c r="U32" s="774">
        <f t="shared" si="13"/>
        <v>100</v>
      </c>
      <c r="V32" s="773" t="s">
        <v>17</v>
      </c>
      <c r="W32" s="774">
        <f t="shared" si="14"/>
        <v>100</v>
      </c>
      <c r="X32" s="1812"/>
      <c r="Y32" s="3189"/>
      <c r="Z32" s="1813">
        <f t="shared" si="15"/>
        <v>111</v>
      </c>
      <c r="AA32" s="1810">
        <f t="shared" si="3"/>
        <v>1</v>
      </c>
      <c r="AB32" s="1810">
        <f t="shared" si="4"/>
        <v>1</v>
      </c>
      <c r="AC32" s="2675">
        <f t="shared" si="5"/>
        <v>1</v>
      </c>
    </row>
    <row r="33" spans="1:29" ht="15">
      <c r="A33" s="439" t="s">
        <v>2562</v>
      </c>
      <c r="B33" s="70" t="s">
        <v>2692</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39"/>
      <c r="M33" s="1130"/>
      <c r="N33" s="1130"/>
      <c r="O33" s="1130"/>
      <c r="P33" s="3190" t="s">
        <v>2564</v>
      </c>
      <c r="Q33" s="1809" t="str">
        <f t="shared" si="11"/>
        <v>建筑类型</v>
      </c>
      <c r="R33" s="773" t="s">
        <v>17</v>
      </c>
      <c r="S33" s="774">
        <f t="shared" si="12"/>
        <v>100</v>
      </c>
      <c r="T33" s="773" t="s">
        <v>17</v>
      </c>
      <c r="U33" s="774">
        <f t="shared" si="13"/>
        <v>100</v>
      </c>
      <c r="V33" s="773" t="s">
        <v>17</v>
      </c>
      <c r="W33" s="774">
        <f t="shared" si="14"/>
        <v>100</v>
      </c>
      <c r="X33" s="1812"/>
      <c r="Y33" s="3193" t="s">
        <v>2564</v>
      </c>
      <c r="Z33" s="1813" t="str">
        <f t="shared" si="15"/>
        <v>建筑类型</v>
      </c>
      <c r="AA33" s="1810">
        <f t="shared" si="3"/>
        <v>1</v>
      </c>
      <c r="AB33" s="1810">
        <f t="shared" si="4"/>
        <v>1</v>
      </c>
      <c r="AC33" s="2675">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91"/>
      <c r="Q34" s="775" t="str">
        <f t="shared" si="11"/>
        <v>项目建筑规模</v>
      </c>
      <c r="R34" s="776" t="s">
        <v>17</v>
      </c>
      <c r="S34" s="777" t="e">
        <f t="shared" si="12"/>
        <v>#N/A</v>
      </c>
      <c r="T34" s="776" t="s">
        <v>17</v>
      </c>
      <c r="U34" s="777" t="e">
        <f t="shared" si="13"/>
        <v>#N/A</v>
      </c>
      <c r="V34" s="776" t="s">
        <v>17</v>
      </c>
      <c r="W34" s="777" t="e">
        <f t="shared" si="14"/>
        <v>#N/A</v>
      </c>
      <c r="X34" s="778"/>
      <c r="Y34" s="3193"/>
      <c r="Z34" s="779" t="str">
        <f t="shared" si="15"/>
        <v>项目建筑规模</v>
      </c>
      <c r="AA34" s="1810" t="e">
        <f t="shared" si="3"/>
        <v>#N/A</v>
      </c>
      <c r="AB34" s="1810" t="e">
        <f t="shared" si="4"/>
        <v>#N/A</v>
      </c>
      <c r="AC34" s="2675"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91"/>
      <c r="Q35" s="1809" t="str">
        <f t="shared" si="11"/>
        <v>建筑结构</v>
      </c>
      <c r="R35" s="773" t="s">
        <v>17</v>
      </c>
      <c r="S35" s="774">
        <f t="shared" si="12"/>
        <v>100</v>
      </c>
      <c r="T35" s="773" t="s">
        <v>17</v>
      </c>
      <c r="U35" s="774">
        <f t="shared" si="13"/>
        <v>100</v>
      </c>
      <c r="V35" s="773" t="s">
        <v>17</v>
      </c>
      <c r="W35" s="774">
        <f t="shared" si="14"/>
        <v>100</v>
      </c>
      <c r="X35" s="1812"/>
      <c r="Y35" s="3193"/>
      <c r="Z35" s="1813" t="str">
        <f t="shared" si="15"/>
        <v>建筑结构</v>
      </c>
      <c r="AA35" s="1810">
        <f t="shared" si="3"/>
        <v>1</v>
      </c>
      <c r="AB35" s="1810">
        <f t="shared" si="4"/>
        <v>1</v>
      </c>
      <c r="AC35" s="2675">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91"/>
      <c r="Q36" s="1809" t="str">
        <f t="shared" si="11"/>
        <v>公共部分装修</v>
      </c>
      <c r="R36" s="773" t="s">
        <v>17</v>
      </c>
      <c r="S36" s="774">
        <f t="shared" si="12"/>
        <v>100</v>
      </c>
      <c r="T36" s="773" t="s">
        <v>17</v>
      </c>
      <c r="U36" s="774">
        <f t="shared" si="13"/>
        <v>100</v>
      </c>
      <c r="V36" s="773" t="s">
        <v>17</v>
      </c>
      <c r="W36" s="774">
        <f t="shared" si="14"/>
        <v>100</v>
      </c>
      <c r="X36" s="1812"/>
      <c r="Y36" s="3193"/>
      <c r="Z36" s="1813" t="str">
        <f t="shared" si="15"/>
        <v>公共部分装修</v>
      </c>
      <c r="AA36" s="1810">
        <f t="shared" si="3"/>
        <v>1</v>
      </c>
      <c r="AB36" s="1810">
        <f t="shared" si="4"/>
        <v>1</v>
      </c>
      <c r="AC36" s="2675">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91"/>
      <c r="Q37" s="1809" t="str">
        <f t="shared" si="11"/>
        <v>成新度</v>
      </c>
      <c r="R37" s="773" t="s">
        <v>17</v>
      </c>
      <c r="S37" s="774" t="e">
        <f t="shared" si="12"/>
        <v>#N/A</v>
      </c>
      <c r="T37" s="773" t="s">
        <v>17</v>
      </c>
      <c r="U37" s="774" t="e">
        <f t="shared" si="13"/>
        <v>#N/A</v>
      </c>
      <c r="V37" s="773" t="s">
        <v>17</v>
      </c>
      <c r="W37" s="774" t="e">
        <f t="shared" si="14"/>
        <v>#N/A</v>
      </c>
      <c r="X37" s="1812"/>
      <c r="Y37" s="3193"/>
      <c r="Z37" s="1813" t="str">
        <f t="shared" si="15"/>
        <v>成新度</v>
      </c>
      <c r="AA37" s="1810" t="e">
        <f t="shared" si="3"/>
        <v>#N/A</v>
      </c>
      <c r="AB37" s="1810" t="e">
        <f t="shared" si="4"/>
        <v>#N/A</v>
      </c>
      <c r="AC37" s="2675"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91"/>
      <c r="Q38" s="1794" t="str">
        <f t="shared" si="11"/>
        <v>写字楼等级</v>
      </c>
      <c r="R38" s="769" t="s">
        <v>17</v>
      </c>
      <c r="S38" s="770">
        <f t="shared" si="12"/>
        <v>100</v>
      </c>
      <c r="T38" s="769" t="s">
        <v>17</v>
      </c>
      <c r="U38" s="770">
        <f t="shared" si="13"/>
        <v>100</v>
      </c>
      <c r="V38" s="769" t="s">
        <v>17</v>
      </c>
      <c r="W38" s="770">
        <f t="shared" si="14"/>
        <v>100</v>
      </c>
      <c r="X38" s="771"/>
      <c r="Y38" s="3193"/>
      <c r="Z38" s="54" t="str">
        <f t="shared" si="15"/>
        <v>写字楼等级</v>
      </c>
      <c r="AA38" s="772">
        <f t="shared" si="3"/>
        <v>1</v>
      </c>
      <c r="AB38" s="772">
        <f t="shared" si="4"/>
        <v>1</v>
      </c>
      <c r="AC38" s="2672">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91" t="s">
        <v>2564</v>
      </c>
      <c r="Q39" s="1809" t="str">
        <f t="shared" si="11"/>
        <v>物业管理</v>
      </c>
      <c r="R39" s="773" t="s">
        <v>17</v>
      </c>
      <c r="S39" s="774">
        <f t="shared" si="12"/>
        <v>100</v>
      </c>
      <c r="T39" s="773" t="s">
        <v>17</v>
      </c>
      <c r="U39" s="774">
        <f t="shared" si="13"/>
        <v>100</v>
      </c>
      <c r="V39" s="773" t="s">
        <v>17</v>
      </c>
      <c r="W39" s="774">
        <f t="shared" si="14"/>
        <v>100</v>
      </c>
      <c r="X39" s="1812"/>
      <c r="Y39" s="3193" t="s">
        <v>2564</v>
      </c>
      <c r="Z39" s="1813" t="str">
        <f t="shared" si="15"/>
        <v>物业管理</v>
      </c>
      <c r="AA39" s="1810">
        <f t="shared" si="3"/>
        <v>1</v>
      </c>
      <c r="AB39" s="1810">
        <f t="shared" si="4"/>
        <v>1</v>
      </c>
      <c r="AC39" s="2675">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91"/>
      <c r="Q40" s="1809" t="str">
        <f t="shared" si="11"/>
        <v>市政基础设施</v>
      </c>
      <c r="R40" s="773" t="s">
        <v>17</v>
      </c>
      <c r="S40" s="774">
        <f t="shared" si="12"/>
        <v>100</v>
      </c>
      <c r="T40" s="773" t="s">
        <v>17</v>
      </c>
      <c r="U40" s="774">
        <f t="shared" si="13"/>
        <v>100</v>
      </c>
      <c r="V40" s="773" t="s">
        <v>17</v>
      </c>
      <c r="W40" s="774">
        <f t="shared" si="14"/>
        <v>100</v>
      </c>
      <c r="X40" s="1812"/>
      <c r="Y40" s="3193"/>
      <c r="Z40" s="1813" t="str">
        <f t="shared" si="15"/>
        <v>市政基础设施</v>
      </c>
      <c r="AA40" s="1810">
        <f t="shared" si="3"/>
        <v>1</v>
      </c>
      <c r="AB40" s="1810">
        <f t="shared" si="4"/>
        <v>1</v>
      </c>
      <c r="AC40" s="2675">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91"/>
      <c r="Q41" s="1809" t="str">
        <f t="shared" si="11"/>
        <v>层高</v>
      </c>
      <c r="R41" s="773" t="s">
        <v>17</v>
      </c>
      <c r="S41" s="774">
        <f t="shared" si="12"/>
        <v>100</v>
      </c>
      <c r="T41" s="773" t="s">
        <v>17</v>
      </c>
      <c r="U41" s="774">
        <f t="shared" si="13"/>
        <v>100</v>
      </c>
      <c r="V41" s="773" t="s">
        <v>17</v>
      </c>
      <c r="W41" s="774">
        <f t="shared" si="14"/>
        <v>100</v>
      </c>
      <c r="X41" s="1812"/>
      <c r="Y41" s="3193"/>
      <c r="Z41" s="1813" t="str">
        <f t="shared" si="15"/>
        <v>层高</v>
      </c>
      <c r="AA41" s="1810">
        <f t="shared" si="3"/>
        <v>1</v>
      </c>
      <c r="AB41" s="1810">
        <f t="shared" si="4"/>
        <v>1</v>
      </c>
      <c r="AC41" s="2675">
        <f t="shared" si="5"/>
        <v>1</v>
      </c>
    </row>
    <row r="42" spans="1:29" s="470" customFormat="1" ht="15">
      <c r="A42" s="467"/>
      <c r="B42" s="1811"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91"/>
      <c r="Q42" s="775" t="str">
        <f t="shared" si="11"/>
        <v>单套建筑面积</v>
      </c>
      <c r="R42" s="776" t="s">
        <v>17</v>
      </c>
      <c r="S42" s="777">
        <f t="shared" si="12"/>
        <v>100</v>
      </c>
      <c r="T42" s="776" t="s">
        <v>17</v>
      </c>
      <c r="U42" s="777">
        <f t="shared" si="13"/>
        <v>100</v>
      </c>
      <c r="V42" s="776" t="s">
        <v>17</v>
      </c>
      <c r="W42" s="777">
        <f t="shared" si="14"/>
        <v>100</v>
      </c>
      <c r="X42" s="778"/>
      <c r="Y42" s="3193"/>
      <c r="Z42" s="779" t="str">
        <f t="shared" si="15"/>
        <v>单套建筑面积</v>
      </c>
      <c r="AA42" s="1810">
        <f t="shared" si="3"/>
        <v>1</v>
      </c>
      <c r="AB42" s="1810">
        <f t="shared" si="4"/>
        <v>1</v>
      </c>
      <c r="AC42" s="2675">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91"/>
      <c r="Q43" s="1809" t="str">
        <f t="shared" si="11"/>
        <v>内部装修</v>
      </c>
      <c r="R43" s="773" t="s">
        <v>17</v>
      </c>
      <c r="S43" s="774">
        <f t="shared" si="12"/>
        <v>100</v>
      </c>
      <c r="T43" s="773" t="s">
        <v>17</v>
      </c>
      <c r="U43" s="774">
        <f t="shared" si="13"/>
        <v>100</v>
      </c>
      <c r="V43" s="773" t="s">
        <v>17</v>
      </c>
      <c r="W43" s="774">
        <f t="shared" si="14"/>
        <v>100</v>
      </c>
      <c r="X43" s="1812"/>
      <c r="Y43" s="3193"/>
      <c r="Z43" s="1813" t="str">
        <f t="shared" si="15"/>
        <v>内部装修</v>
      </c>
      <c r="AA43" s="1810">
        <f t="shared" si="3"/>
        <v>1</v>
      </c>
      <c r="AB43" s="1810">
        <f t="shared" si="4"/>
        <v>1</v>
      </c>
      <c r="AC43" s="2675">
        <f t="shared" si="5"/>
        <v>1</v>
      </c>
    </row>
    <row r="44" spans="1:29" ht="15">
      <c r="A44" s="471"/>
      <c r="B44" s="421" t="s">
        <v>2575</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39"/>
      <c r="M44" s="1130"/>
      <c r="N44" s="1130"/>
      <c r="O44" s="1130"/>
      <c r="P44" s="3191"/>
      <c r="Q44" s="1809" t="str">
        <f t="shared" si="11"/>
        <v>内部装修维护情况</v>
      </c>
      <c r="R44" s="773" t="s">
        <v>17</v>
      </c>
      <c r="S44" s="774">
        <f t="shared" si="12"/>
        <v>100</v>
      </c>
      <c r="T44" s="773" t="s">
        <v>17</v>
      </c>
      <c r="U44" s="774">
        <f t="shared" si="13"/>
        <v>100</v>
      </c>
      <c r="V44" s="773" t="s">
        <v>17</v>
      </c>
      <c r="W44" s="774">
        <f t="shared" si="14"/>
        <v>100</v>
      </c>
      <c r="X44" s="1812"/>
      <c r="Y44" s="3193"/>
      <c r="Z44" s="1813" t="str">
        <f t="shared" si="15"/>
        <v>内部装修维护情况</v>
      </c>
      <c r="AA44" s="1810">
        <f t="shared" si="3"/>
        <v>1</v>
      </c>
      <c r="AB44" s="1810">
        <f t="shared" si="4"/>
        <v>1</v>
      </c>
      <c r="AC44" s="2675">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91"/>
      <c r="Q45" s="1794">
        <f t="shared" si="11"/>
        <v>111</v>
      </c>
      <c r="R45" s="769" t="s">
        <v>17</v>
      </c>
      <c r="S45" s="770">
        <f t="shared" si="12"/>
        <v>100</v>
      </c>
      <c r="T45" s="769" t="s">
        <v>17</v>
      </c>
      <c r="U45" s="770">
        <f t="shared" si="13"/>
        <v>100</v>
      </c>
      <c r="V45" s="769" t="s">
        <v>17</v>
      </c>
      <c r="W45" s="770">
        <f t="shared" si="14"/>
        <v>100</v>
      </c>
      <c r="X45" s="771"/>
      <c r="Y45" s="3193"/>
      <c r="Z45" s="54">
        <f t="shared" si="15"/>
        <v>111</v>
      </c>
      <c r="AA45" s="772">
        <f t="shared" si="3"/>
        <v>1</v>
      </c>
      <c r="AB45" s="772">
        <f t="shared" si="4"/>
        <v>1</v>
      </c>
      <c r="AC45" s="2672">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91"/>
      <c r="Q46" s="1809">
        <f t="shared" si="11"/>
        <v>111</v>
      </c>
      <c r="R46" s="773" t="s">
        <v>17</v>
      </c>
      <c r="S46" s="774">
        <f t="shared" si="12"/>
        <v>100</v>
      </c>
      <c r="T46" s="773" t="s">
        <v>17</v>
      </c>
      <c r="U46" s="774">
        <f t="shared" si="13"/>
        <v>100</v>
      </c>
      <c r="V46" s="773" t="s">
        <v>17</v>
      </c>
      <c r="W46" s="774">
        <f t="shared" si="14"/>
        <v>100</v>
      </c>
      <c r="X46" s="1812"/>
      <c r="Y46" s="3193"/>
      <c r="Z46" s="1813">
        <f t="shared" si="15"/>
        <v>111</v>
      </c>
      <c r="AA46" s="1810">
        <f t="shared" si="3"/>
        <v>1</v>
      </c>
      <c r="AB46" s="1810">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92"/>
      <c r="Q47" s="1809">
        <f t="shared" si="11"/>
        <v>111</v>
      </c>
      <c r="R47" s="773" t="s">
        <v>17</v>
      </c>
      <c r="S47" s="774">
        <f t="shared" si="12"/>
        <v>100</v>
      </c>
      <c r="T47" s="773" t="s">
        <v>17</v>
      </c>
      <c r="U47" s="774">
        <f t="shared" si="13"/>
        <v>100</v>
      </c>
      <c r="V47" s="773" t="s">
        <v>17</v>
      </c>
      <c r="W47" s="774">
        <f t="shared" si="14"/>
        <v>100</v>
      </c>
      <c r="X47" s="1812"/>
      <c r="Y47" s="3194"/>
      <c r="Z47" s="1813">
        <f t="shared" si="15"/>
        <v>111</v>
      </c>
      <c r="AA47" s="1810">
        <f t="shared" si="3"/>
        <v>1</v>
      </c>
      <c r="AB47" s="1810">
        <f t="shared" si="4"/>
        <v>1</v>
      </c>
      <c r="AC47" s="2675">
        <f t="shared" si="5"/>
        <v>1</v>
      </c>
    </row>
    <row r="48" spans="1:29" ht="15">
      <c r="A48" s="478" t="s">
        <v>2576</v>
      </c>
      <c r="B48" s="479"/>
      <c r="C48" s="1406" t="s">
        <v>1</v>
      </c>
      <c r="D48" s="1407"/>
      <c r="E48" s="1408"/>
      <c r="F48" s="1409"/>
      <c r="G48" s="1410"/>
      <c r="H48" s="1411"/>
      <c r="I48" s="1408"/>
      <c r="J48" s="484"/>
      <c r="K48" s="782"/>
      <c r="L48" s="1142"/>
      <c r="M48" s="1130"/>
      <c r="N48" s="1130"/>
      <c r="O48" s="1130"/>
      <c r="P48" s="3172" t="str">
        <f>A48</f>
        <v>成交单价（元/平方米）</v>
      </c>
      <c r="Q48" s="3195"/>
      <c r="R48" s="3196">
        <f>E48</f>
        <v>0</v>
      </c>
      <c r="S48" s="3196"/>
      <c r="T48" s="3196">
        <f>G48</f>
        <v>0</v>
      </c>
      <c r="U48" s="3196"/>
      <c r="V48" s="3196">
        <f>I48</f>
        <v>0</v>
      </c>
      <c r="W48" s="3196"/>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172" t="str">
        <f>A49</f>
        <v>比较价值（元/平方米）</v>
      </c>
      <c r="Q49" s="3195"/>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1"/>
    </row>
    <row r="56" spans="1:29" s="501"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82"/>
      <c r="Q58" s="503"/>
    </row>
    <row r="59" spans="1:29" s="507" customFormat="1" ht="15">
      <c r="A59" s="504" t="s">
        <v>2547</v>
      </c>
      <c r="B59" s="505"/>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6" customFormat="1" ht="15">
      <c r="A60" s="508"/>
      <c r="B60" s="509"/>
      <c r="C60" s="1572">
        <v>100</v>
      </c>
      <c r="D60" s="511"/>
      <c r="E60" s="511"/>
      <c r="F60" s="511"/>
      <c r="G60" s="511"/>
      <c r="H60" s="511"/>
      <c r="I60" s="511"/>
      <c r="J60" s="511"/>
      <c r="K60" s="511"/>
      <c r="L60" s="511"/>
      <c r="M60" s="512"/>
      <c r="N60" s="511"/>
      <c r="O60" s="512"/>
      <c r="P60" s="2683"/>
    </row>
    <row r="61" spans="1:29" s="116" customFormat="1" ht="15.75" thickBot="1">
      <c r="A61" s="514" t="s">
        <v>2584</v>
      </c>
      <c r="B61" s="515"/>
      <c r="C61" s="516"/>
      <c r="D61" s="517"/>
      <c r="E61" s="517"/>
      <c r="F61" s="517"/>
      <c r="G61" s="517"/>
      <c r="H61" s="517"/>
      <c r="I61" s="517"/>
      <c r="J61" s="517"/>
      <c r="K61" s="517"/>
      <c r="L61" s="517"/>
      <c r="M61" s="518"/>
      <c r="N61" s="517"/>
      <c r="O61" s="518"/>
      <c r="P61" s="2683"/>
      <c r="Q61" s="503"/>
    </row>
    <row r="62" spans="1:29" s="116" customFormat="1" ht="15">
      <c r="A62" s="520" t="s">
        <v>2549</v>
      </c>
      <c r="B62" s="509"/>
      <c r="C62" s="521" t="s">
        <v>2651</v>
      </c>
      <c r="D62" s="522"/>
      <c r="E62" s="522"/>
      <c r="F62" s="522"/>
      <c r="G62" s="522"/>
      <c r="H62" s="522"/>
      <c r="I62" s="522"/>
      <c r="J62" s="522"/>
      <c r="K62" s="522"/>
      <c r="L62" s="523"/>
      <c r="M62" s="524"/>
      <c r="N62" s="1150"/>
      <c r="O62" s="1150"/>
      <c r="P62" s="2684"/>
      <c r="Q62" s="503"/>
    </row>
    <row r="63" spans="1:29" s="116" customFormat="1" ht="15.75" thickBot="1">
      <c r="A63" s="520"/>
      <c r="B63" s="509"/>
      <c r="C63" s="510">
        <v>100</v>
      </c>
      <c r="D63" s="511"/>
      <c r="E63" s="511"/>
      <c r="F63" s="511"/>
      <c r="G63" s="511"/>
      <c r="H63" s="511"/>
      <c r="I63" s="511"/>
      <c r="J63" s="511"/>
      <c r="K63" s="511"/>
      <c r="L63" s="511"/>
      <c r="M63" s="513"/>
      <c r="N63" s="1150"/>
      <c r="O63" s="1150"/>
      <c r="P63" s="2683"/>
      <c r="Q63" s="503"/>
    </row>
    <row r="64" spans="1:29">
      <c r="A64" s="526" t="s">
        <v>2587</v>
      </c>
      <c r="B64" s="527" t="s">
        <v>2553</v>
      </c>
      <c r="C64" s="528">
        <f>C9</f>
        <v>0</v>
      </c>
      <c r="D64" s="529"/>
      <c r="E64" s="529"/>
      <c r="F64" s="529"/>
      <c r="G64" s="529"/>
      <c r="H64" s="529"/>
      <c r="I64" s="529"/>
      <c r="J64" s="529"/>
      <c r="K64" s="530"/>
      <c r="L64" s="531"/>
      <c r="M64" s="532"/>
      <c r="N64" s="1151"/>
      <c r="O64" s="1151"/>
      <c r="P64" s="2685"/>
      <c r="Q64" s="503"/>
    </row>
    <row r="65" spans="1:17" ht="15.75" thickBot="1">
      <c r="A65" s="533"/>
      <c r="B65" s="534"/>
      <c r="C65" s="535">
        <v>100</v>
      </c>
      <c r="D65" s="535"/>
      <c r="E65" s="535"/>
      <c r="F65" s="535"/>
      <c r="G65" s="535"/>
      <c r="H65" s="535"/>
      <c r="I65" s="535"/>
      <c r="J65" s="535"/>
      <c r="K65" s="535"/>
      <c r="L65" s="535"/>
      <c r="M65" s="536"/>
      <c r="N65" s="1152"/>
      <c r="O65" s="1152"/>
      <c r="P65" s="2685"/>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5"/>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5"/>
      <c r="Q68" s="503"/>
    </row>
    <row r="69" spans="1:17" ht="15">
      <c r="A69" s="533"/>
      <c r="B69" s="547"/>
      <c r="C69" s="548"/>
      <c r="D69" s="548"/>
      <c r="E69" s="548"/>
      <c r="F69" s="548"/>
      <c r="G69" s="548"/>
      <c r="H69" s="548"/>
      <c r="I69" s="548"/>
      <c r="J69" s="548"/>
      <c r="K69" s="549"/>
      <c r="L69" s="550"/>
      <c r="M69" s="551"/>
      <c r="N69" s="1151"/>
      <c r="O69" s="1151"/>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5"/>
      <c r="Q70" s="503"/>
    </row>
    <row r="71" spans="1:17" s="470" customFormat="1" ht="15.75" thickTop="1">
      <c r="A71" s="552"/>
      <c r="B71" s="537">
        <f>B12</f>
        <v>111</v>
      </c>
      <c r="C71" s="553"/>
      <c r="D71" s="553"/>
      <c r="E71" s="553"/>
      <c r="F71" s="553"/>
      <c r="G71" s="553"/>
      <c r="H71" s="554"/>
      <c r="I71" s="554"/>
      <c r="J71" s="554"/>
      <c r="K71" s="554"/>
      <c r="L71" s="555"/>
      <c r="M71" s="556"/>
      <c r="N71" s="1153"/>
      <c r="O71" s="1153"/>
      <c r="P71" s="2686"/>
      <c r="Q71" s="558"/>
    </row>
    <row r="72" spans="1:17" s="470" customFormat="1" ht="15.75" thickBot="1">
      <c r="A72" s="552"/>
      <c r="B72" s="542"/>
      <c r="C72" s="559"/>
      <c r="D72" s="535"/>
      <c r="E72" s="535"/>
      <c r="F72" s="535"/>
      <c r="G72" s="535"/>
      <c r="H72" s="535"/>
      <c r="I72" s="535"/>
      <c r="J72" s="535"/>
      <c r="K72" s="535"/>
      <c r="L72" s="535"/>
      <c r="M72" s="536"/>
      <c r="N72" s="1152"/>
      <c r="O72" s="1152"/>
      <c r="P72" s="2686"/>
      <c r="Q72" s="558"/>
    </row>
    <row r="73" spans="1:17" s="470" customFormat="1" ht="15.75" thickTop="1">
      <c r="A73" s="552"/>
      <c r="B73" s="537">
        <f>B13</f>
        <v>111</v>
      </c>
      <c r="C73" s="553"/>
      <c r="D73" s="553"/>
      <c r="E73" s="553"/>
      <c r="F73" s="553"/>
      <c r="G73" s="553"/>
      <c r="H73" s="554"/>
      <c r="I73" s="554"/>
      <c r="J73" s="554"/>
      <c r="K73" s="554"/>
      <c r="L73" s="555"/>
      <c r="M73" s="556"/>
      <c r="N73" s="1153"/>
      <c r="O73" s="1153"/>
      <c r="P73" s="2687"/>
      <c r="Q73" s="560"/>
    </row>
    <row r="74" spans="1:17" s="470" customFormat="1" ht="15.75" thickBot="1">
      <c r="A74" s="552"/>
      <c r="B74" s="542"/>
      <c r="C74" s="559"/>
      <c r="D74" s="559"/>
      <c r="E74" s="559"/>
      <c r="F74" s="559"/>
      <c r="G74" s="559"/>
      <c r="H74" s="561"/>
      <c r="I74" s="561"/>
      <c r="J74" s="561"/>
      <c r="K74" s="561"/>
      <c r="L74" s="561"/>
      <c r="M74" s="562"/>
      <c r="N74" s="1153"/>
      <c r="O74" s="1153"/>
      <c r="P74" s="2686"/>
      <c r="Q74" s="558"/>
    </row>
    <row r="75" spans="1:17" s="470" customFormat="1" ht="15.75" thickTop="1">
      <c r="A75" s="552"/>
      <c r="B75" s="545">
        <f>B14</f>
        <v>111</v>
      </c>
      <c r="C75" s="522"/>
      <c r="D75" s="522"/>
      <c r="E75" s="522"/>
      <c r="F75" s="522"/>
      <c r="G75" s="522"/>
      <c r="H75" s="563"/>
      <c r="I75" s="563"/>
      <c r="J75" s="563"/>
      <c r="K75" s="563"/>
      <c r="L75" s="564"/>
      <c r="M75" s="565"/>
      <c r="N75" s="1153"/>
      <c r="O75" s="1153"/>
      <c r="P75" s="2688"/>
      <c r="Q75" s="558"/>
    </row>
    <row r="76" spans="1:17" s="470" customFormat="1" ht="15.75" thickBot="1">
      <c r="A76" s="567"/>
      <c r="B76" s="568"/>
      <c r="C76" s="569"/>
      <c r="D76" s="569"/>
      <c r="E76" s="569"/>
      <c r="F76" s="569"/>
      <c r="G76" s="569"/>
      <c r="H76" s="570"/>
      <c r="I76" s="570"/>
      <c r="J76" s="570"/>
      <c r="K76" s="570"/>
      <c r="L76" s="570"/>
      <c r="M76" s="571"/>
      <c r="N76" s="1153"/>
      <c r="O76" s="1153"/>
      <c r="P76" s="2686"/>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5"/>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5"/>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5"/>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5"/>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5"/>
      <c r="Q86" s="503"/>
    </row>
    <row r="87" spans="1:17" s="116" customFormat="1" ht="27.75" thickTop="1">
      <c r="A87" s="578"/>
      <c r="B87" s="537" t="s">
        <v>2698</v>
      </c>
      <c r="C87" s="553"/>
      <c r="D87" s="553"/>
      <c r="E87" s="553"/>
      <c r="F87" s="553"/>
      <c r="G87" s="553"/>
      <c r="H87" s="553"/>
      <c r="I87" s="553"/>
      <c r="J87" s="553"/>
      <c r="K87" s="553"/>
      <c r="L87" s="579"/>
      <c r="M87" s="580"/>
      <c r="N87" s="1150"/>
      <c r="O87" s="1150"/>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5"/>
      <c r="Q88" s="503"/>
    </row>
    <row r="89" spans="1:17" s="116" customFormat="1" ht="15.75" thickTop="1">
      <c r="A89" s="578"/>
      <c r="B89" s="537" t="str">
        <f>B27</f>
        <v>楼层</v>
      </c>
      <c r="C89" s="553"/>
      <c r="D89" s="553"/>
      <c r="E89" s="553"/>
      <c r="F89" s="2636"/>
      <c r="G89" s="553"/>
      <c r="H89" s="553"/>
      <c r="I89" s="553"/>
      <c r="J89" s="553"/>
      <c r="K89" s="553"/>
      <c r="L89" s="553"/>
      <c r="M89" s="580"/>
      <c r="N89" s="1150"/>
      <c r="O89" s="1150"/>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5"/>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6"/>
      <c r="Q92" s="558"/>
    </row>
    <row r="93" spans="1:17" ht="15.75" thickTop="1">
      <c r="A93" s="533"/>
      <c r="B93" s="537">
        <f>B29</f>
        <v>111</v>
      </c>
      <c r="C93" s="553"/>
      <c r="D93" s="553"/>
      <c r="E93" s="553"/>
      <c r="F93" s="553"/>
      <c r="G93" s="553"/>
      <c r="H93" s="553"/>
      <c r="I93" s="553"/>
      <c r="J93" s="553"/>
      <c r="K93" s="553"/>
      <c r="L93" s="579"/>
      <c r="M93" s="580"/>
      <c r="N93" s="1151"/>
      <c r="O93" s="1151"/>
      <c r="P93" s="2685"/>
      <c r="Q93" s="503"/>
    </row>
    <row r="94" spans="1:17" ht="15.75" thickBot="1">
      <c r="A94" s="533"/>
      <c r="B94" s="542"/>
      <c r="C94" s="559"/>
      <c r="D94" s="535"/>
      <c r="E94" s="535"/>
      <c r="F94" s="535"/>
      <c r="G94" s="535"/>
      <c r="H94" s="535"/>
      <c r="I94" s="535"/>
      <c r="J94" s="535"/>
      <c r="K94" s="535"/>
      <c r="L94" s="535"/>
      <c r="M94" s="536"/>
      <c r="N94" s="1152"/>
      <c r="O94" s="1152"/>
      <c r="P94" s="2685"/>
      <c r="Q94" s="503"/>
    </row>
    <row r="95" spans="1:17" ht="15.75" thickTop="1">
      <c r="A95" s="533"/>
      <c r="B95" s="537">
        <f>B30</f>
        <v>111</v>
      </c>
      <c r="C95" s="553"/>
      <c r="D95" s="553"/>
      <c r="E95" s="553"/>
      <c r="F95" s="553"/>
      <c r="G95" s="582"/>
      <c r="H95" s="582"/>
      <c r="I95" s="582"/>
      <c r="J95" s="582"/>
      <c r="K95" s="583"/>
      <c r="L95" s="584"/>
      <c r="M95" s="585"/>
      <c r="N95" s="1151"/>
      <c r="O95" s="1151"/>
      <c r="P95" s="2685"/>
      <c r="Q95" s="503"/>
    </row>
    <row r="96" spans="1:17" ht="15.75" thickBot="1">
      <c r="A96" s="533"/>
      <c r="B96" s="542"/>
      <c r="C96" s="559"/>
      <c r="D96" s="559"/>
      <c r="E96" s="559"/>
      <c r="F96" s="559"/>
      <c r="G96" s="535"/>
      <c r="H96" s="535"/>
      <c r="I96" s="535"/>
      <c r="J96" s="535"/>
      <c r="K96" s="535"/>
      <c r="L96" s="535"/>
      <c r="M96" s="536"/>
      <c r="N96" s="1152"/>
      <c r="O96" s="1152"/>
      <c r="P96" s="2685"/>
      <c r="Q96" s="503"/>
    </row>
    <row r="97" spans="1:17" ht="15.75" thickTop="1">
      <c r="A97" s="533"/>
      <c r="B97" s="537">
        <f>B31</f>
        <v>111</v>
      </c>
      <c r="C97" s="553"/>
      <c r="D97" s="553"/>
      <c r="E97" s="553"/>
      <c r="F97" s="553"/>
      <c r="G97" s="582"/>
      <c r="H97" s="582"/>
      <c r="I97" s="582"/>
      <c r="J97" s="582"/>
      <c r="K97" s="583"/>
      <c r="L97" s="584"/>
      <c r="M97" s="585"/>
      <c r="N97" s="1151"/>
      <c r="O97" s="1151"/>
      <c r="P97" s="2685"/>
      <c r="Q97" s="503"/>
    </row>
    <row r="98" spans="1:17" ht="15.75" thickBot="1">
      <c r="A98" s="533"/>
      <c r="B98" s="542"/>
      <c r="C98" s="559"/>
      <c r="D98" s="535"/>
      <c r="E98" s="535"/>
      <c r="F98" s="535"/>
      <c r="G98" s="535"/>
      <c r="H98" s="535"/>
      <c r="I98" s="535"/>
      <c r="J98" s="535"/>
      <c r="K98" s="535"/>
      <c r="L98" s="535"/>
      <c r="M98" s="536"/>
      <c r="N98" s="1152"/>
      <c r="O98" s="1152"/>
      <c r="P98" s="2685"/>
      <c r="Q98" s="503"/>
    </row>
    <row r="99" spans="1:17" ht="15.75" thickTop="1">
      <c r="A99" s="533"/>
      <c r="B99" s="545">
        <f>B32</f>
        <v>111</v>
      </c>
      <c r="C99" s="522"/>
      <c r="D99" s="522"/>
      <c r="E99" s="522"/>
      <c r="F99" s="522"/>
      <c r="G99" s="586"/>
      <c r="H99" s="586"/>
      <c r="I99" s="586"/>
      <c r="J99" s="586"/>
      <c r="K99" s="587"/>
      <c r="L99" s="588"/>
      <c r="M99" s="589"/>
      <c r="N99" s="1151"/>
      <c r="O99" s="1151"/>
      <c r="P99" s="2685"/>
      <c r="Q99" s="503"/>
    </row>
    <row r="100" spans="1:17" ht="15.75" thickBot="1">
      <c r="A100" s="2637"/>
      <c r="B100" s="568"/>
      <c r="C100" s="569"/>
      <c r="D100" s="569"/>
      <c r="E100" s="569"/>
      <c r="F100" s="569"/>
      <c r="G100" s="590"/>
      <c r="H100" s="590"/>
      <c r="I100" s="590"/>
      <c r="J100" s="590"/>
      <c r="K100" s="590"/>
      <c r="L100" s="590"/>
      <c r="M100" s="591"/>
      <c r="N100" s="1152"/>
      <c r="O100" s="1152"/>
      <c r="P100" s="2685"/>
      <c r="Q100" s="503"/>
    </row>
    <row r="101" spans="1:17">
      <c r="A101" s="526" t="s">
        <v>2562</v>
      </c>
      <c r="B101" s="527" t="s">
        <v>2611</v>
      </c>
      <c r="C101" s="529"/>
      <c r="D101" s="529"/>
      <c r="E101" s="529"/>
      <c r="F101" s="529"/>
      <c r="G101" s="529"/>
      <c r="H101" s="529"/>
      <c r="I101" s="529"/>
      <c r="J101" s="529"/>
      <c r="K101" s="530"/>
      <c r="L101" s="531"/>
      <c r="M101" s="532"/>
      <c r="N101" s="1151"/>
      <c r="O101" s="1151"/>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5"/>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5"/>
      <c r="Q103" s="503"/>
    </row>
    <row r="104" spans="1:17" s="470" customFormat="1">
      <c r="A104" s="592"/>
      <c r="B104" s="593"/>
      <c r="C104" s="594"/>
      <c r="D104" s="594"/>
      <c r="E104" s="594"/>
      <c r="F104" s="594"/>
      <c r="G104" s="594"/>
      <c r="H104" s="594"/>
      <c r="I104" s="594"/>
      <c r="J104" s="595"/>
      <c r="K104" s="595"/>
      <c r="L104" s="596"/>
      <c r="M104" s="597"/>
      <c r="N104" s="1153"/>
      <c r="O104" s="1153"/>
      <c r="P104" s="2686"/>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6"/>
      <c r="Q105" s="558"/>
    </row>
    <row r="106" spans="1:17" ht="15" thickTop="1">
      <c r="A106" s="598"/>
      <c r="B106" s="537" t="s">
        <v>2613</v>
      </c>
      <c r="C106" s="553"/>
      <c r="D106" s="553"/>
      <c r="E106" s="582"/>
      <c r="F106" s="582"/>
      <c r="G106" s="582"/>
      <c r="H106" s="582"/>
      <c r="I106" s="582"/>
      <c r="J106" s="582"/>
      <c r="K106" s="583"/>
      <c r="L106" s="584"/>
      <c r="M106" s="585"/>
      <c r="N106" s="1151"/>
      <c r="O106" s="1151"/>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5"/>
      <c r="Q107" s="503"/>
    </row>
    <row r="108" spans="1:17" ht="15" thickTop="1">
      <c r="A108" s="598"/>
      <c r="B108" s="537" t="s">
        <v>2615</v>
      </c>
      <c r="C108" s="553"/>
      <c r="D108" s="553"/>
      <c r="E108" s="553"/>
      <c r="F108" s="582"/>
      <c r="G108" s="582"/>
      <c r="H108" s="582"/>
      <c r="I108" s="582"/>
      <c r="J108" s="582"/>
      <c r="K108" s="583"/>
      <c r="L108" s="584"/>
      <c r="M108" s="585"/>
      <c r="N108" s="1151"/>
      <c r="O108" s="1151"/>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5"/>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5"/>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5"/>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6"/>
      <c r="Q114" s="558"/>
    </row>
    <row r="115" spans="1:17" ht="15" thickTop="1">
      <c r="A115" s="598"/>
      <c r="B115" s="537" t="s">
        <v>2616</v>
      </c>
      <c r="C115" s="553"/>
      <c r="D115" s="553"/>
      <c r="E115" s="582"/>
      <c r="F115" s="582"/>
      <c r="G115" s="582"/>
      <c r="H115" s="582"/>
      <c r="I115" s="582"/>
      <c r="J115" s="582"/>
      <c r="K115" s="583"/>
      <c r="L115" s="584"/>
      <c r="M115" s="585"/>
      <c r="N115" s="1151"/>
      <c r="O115" s="1151"/>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5"/>
      <c r="Q116" s="503"/>
    </row>
    <row r="117" spans="1:17" ht="15" thickTop="1">
      <c r="A117" s="598"/>
      <c r="B117" s="537" t="s">
        <v>2617</v>
      </c>
      <c r="C117" s="553"/>
      <c r="D117" s="553"/>
      <c r="E117" s="553"/>
      <c r="F117" s="553"/>
      <c r="G117" s="553"/>
      <c r="H117" s="582"/>
      <c r="I117" s="582"/>
      <c r="J117" s="582"/>
      <c r="K117" s="583"/>
      <c r="L117" s="584"/>
      <c r="M117" s="585"/>
      <c r="N117" s="1151"/>
      <c r="O117" s="1151"/>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5"/>
      <c r="Q118" s="503"/>
    </row>
    <row r="119" spans="1:17" ht="15" thickTop="1">
      <c r="A119" s="598"/>
      <c r="B119" s="635" t="s">
        <v>2700</v>
      </c>
      <c r="C119" s="582"/>
      <c r="D119" s="582"/>
      <c r="E119" s="582"/>
      <c r="F119" s="582"/>
      <c r="G119" s="582"/>
      <c r="H119" s="582"/>
      <c r="I119" s="582"/>
      <c r="J119" s="582"/>
      <c r="K119" s="582"/>
      <c r="L119" s="2690"/>
      <c r="M119" s="2691"/>
      <c r="N119" s="1152"/>
      <c r="O119" s="1152"/>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5"/>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6"/>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6"/>
      <c r="Q122" s="558"/>
    </row>
    <row r="123" spans="1:17" ht="15" thickTop="1">
      <c r="A123" s="598"/>
      <c r="B123" s="537" t="s">
        <v>2619</v>
      </c>
      <c r="C123" s="553"/>
      <c r="D123" s="553"/>
      <c r="E123" s="553"/>
      <c r="F123" s="582"/>
      <c r="G123" s="582"/>
      <c r="H123" s="582"/>
      <c r="I123" s="582"/>
      <c r="J123" s="582"/>
      <c r="K123" s="583"/>
      <c r="L123" s="584"/>
      <c r="M123" s="585"/>
      <c r="N123" s="1151"/>
      <c r="O123" s="1151"/>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5"/>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5"/>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6"/>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6"/>
      <c r="Q128" s="558"/>
    </row>
    <row r="129" spans="1:17" ht="15" thickTop="1">
      <c r="A129" s="598"/>
      <c r="B129" s="537">
        <f>B46</f>
        <v>111</v>
      </c>
      <c r="C129" s="553"/>
      <c r="D129" s="553"/>
      <c r="E129" s="553"/>
      <c r="F129" s="553"/>
      <c r="G129" s="582"/>
      <c r="H129" s="582"/>
      <c r="I129" s="582"/>
      <c r="J129" s="582"/>
      <c r="K129" s="583"/>
      <c r="L129" s="584"/>
      <c r="M129" s="585"/>
      <c r="N129" s="1151"/>
      <c r="O129" s="1151"/>
      <c r="P129" s="2685"/>
      <c r="Q129" s="503"/>
    </row>
    <row r="130" spans="1:17" ht="15.75" thickBot="1">
      <c r="A130" s="533"/>
      <c r="B130" s="542"/>
      <c r="C130" s="559"/>
      <c r="D130" s="559"/>
      <c r="E130" s="559"/>
      <c r="F130" s="559"/>
      <c r="G130" s="535"/>
      <c r="H130" s="535"/>
      <c r="I130" s="535"/>
      <c r="J130" s="535"/>
      <c r="K130" s="535"/>
      <c r="L130" s="535"/>
      <c r="M130" s="536"/>
      <c r="N130" s="1152"/>
      <c r="O130" s="1152"/>
      <c r="P130" s="2685"/>
      <c r="Q130" s="503"/>
    </row>
    <row r="131" spans="1:17" ht="15" thickTop="1">
      <c r="A131" s="598"/>
      <c r="B131" s="545">
        <f>B47</f>
        <v>111</v>
      </c>
      <c r="C131" s="522"/>
      <c r="D131" s="522"/>
      <c r="E131" s="522"/>
      <c r="F131" s="522"/>
      <c r="G131" s="586"/>
      <c r="H131" s="586"/>
      <c r="I131" s="586"/>
      <c r="J131" s="586"/>
      <c r="K131" s="522"/>
      <c r="L131" s="523"/>
      <c r="M131" s="589"/>
      <c r="N131" s="1151"/>
      <c r="O131" s="1151"/>
      <c r="P131" s="2685"/>
      <c r="Q131" s="503"/>
    </row>
    <row r="132" spans="1:17" ht="15.75" thickBot="1">
      <c r="A132" s="2637"/>
      <c r="B132" s="568"/>
      <c r="C132" s="569"/>
      <c r="D132" s="569"/>
      <c r="E132" s="569"/>
      <c r="F132" s="569"/>
      <c r="G132" s="590"/>
      <c r="H132" s="590"/>
      <c r="I132" s="590"/>
      <c r="J132" s="590"/>
      <c r="K132" s="590"/>
      <c r="L132" s="590"/>
      <c r="M132" s="591"/>
      <c r="N132" s="1152"/>
      <c r="O132" s="1152"/>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70" t="s">
        <v>2701</v>
      </c>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87"/>
      <c r="D2" s="1123" t="e">
        <f ca="1">SUMIF(INDIRECT("'"&amp;F2&amp;"'"&amp;"!A:A"),"承租人权益价值",INDIRECT("'"&amp;F2&amp;"'"&amp;"!c:c"))</f>
        <v>#REF!</v>
      </c>
      <c r="E2" s="2588" t="s">
        <v>2327</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3967.28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173" t="s">
        <v>2645</v>
      </c>
      <c r="D4" s="3174"/>
      <c r="E4" s="3175" t="s">
        <v>2646</v>
      </c>
      <c r="F4" s="3176"/>
      <c r="G4" s="3173" t="s">
        <v>2647</v>
      </c>
      <c r="H4" s="3174"/>
      <c r="I4" s="3173" t="s">
        <v>2648</v>
      </c>
      <c r="J4" s="3174"/>
      <c r="K4" s="609" t="s">
        <v>2649</v>
      </c>
      <c r="L4" s="1129"/>
      <c r="M4" s="1130"/>
      <c r="N4" s="1130"/>
      <c r="O4" s="1130"/>
      <c r="P4" s="3177" t="s">
        <v>2650</v>
      </c>
      <c r="Q4" s="3178"/>
      <c r="R4" s="3160" t="s">
        <v>2646</v>
      </c>
      <c r="S4" s="3161"/>
      <c r="T4" s="3160" t="s">
        <v>2647</v>
      </c>
      <c r="U4" s="3161"/>
      <c r="V4" s="3157" t="s">
        <v>2648</v>
      </c>
      <c r="W4" s="3157"/>
      <c r="X4" s="1812"/>
      <c r="Y4" s="3160" t="s">
        <v>2650</v>
      </c>
      <c r="Z4" s="3161"/>
      <c r="AA4" s="3154" t="s">
        <v>2646</v>
      </c>
      <c r="AB4" s="3155" t="s">
        <v>2647</v>
      </c>
      <c r="AC4" s="3154" t="s">
        <v>2648</v>
      </c>
    </row>
    <row r="5" spans="1:29" ht="15">
      <c r="A5" s="403"/>
      <c r="B5" s="404"/>
      <c r="C5" s="3166" t="s">
        <v>2541</v>
      </c>
      <c r="D5" s="3167"/>
      <c r="E5" s="3164" t="s">
        <v>2542</v>
      </c>
      <c r="F5" s="3165"/>
      <c r="G5" s="3166" t="s">
        <v>2543</v>
      </c>
      <c r="H5" s="3167"/>
      <c r="I5" s="3166" t="s">
        <v>2544</v>
      </c>
      <c r="J5" s="3167"/>
      <c r="K5" s="609"/>
      <c r="L5" s="1129"/>
      <c r="M5" s="1130"/>
      <c r="N5" s="1130"/>
      <c r="O5" s="1130"/>
      <c r="P5" s="3179"/>
      <c r="Q5" s="3180"/>
      <c r="R5" s="3162"/>
      <c r="S5" s="3163"/>
      <c r="T5" s="3162"/>
      <c r="U5" s="3163"/>
      <c r="V5" s="3157"/>
      <c r="W5" s="3157"/>
      <c r="X5" s="1812"/>
      <c r="Y5" s="3162"/>
      <c r="Z5" s="3163"/>
      <c r="AA5" s="3155"/>
      <c r="AB5" s="3155"/>
      <c r="AC5" s="3155"/>
    </row>
    <row r="6" spans="1:29" ht="15.75" thickBot="1">
      <c r="A6" s="405"/>
      <c r="B6" s="406"/>
      <c r="C6" s="3168" t="s">
        <v>2545</v>
      </c>
      <c r="D6" s="3169"/>
      <c r="E6" s="3170" t="s">
        <v>2545</v>
      </c>
      <c r="F6" s="3171"/>
      <c r="G6" s="3168" t="s">
        <v>2545</v>
      </c>
      <c r="H6" s="3169"/>
      <c r="I6" s="3168" t="s">
        <v>2545</v>
      </c>
      <c r="J6" s="3169"/>
      <c r="K6" s="609" t="s">
        <v>2546</v>
      </c>
      <c r="L6" s="1129"/>
      <c r="M6" s="1130"/>
      <c r="N6" s="1130"/>
      <c r="O6" s="1130"/>
      <c r="P6" s="3181"/>
      <c r="Q6" s="3182"/>
      <c r="R6" s="3162"/>
      <c r="S6" s="3163"/>
      <c r="T6" s="3183"/>
      <c r="U6" s="3184"/>
      <c r="V6" s="3157"/>
      <c r="W6" s="3157"/>
      <c r="X6" s="1812"/>
      <c r="Y6" s="3183"/>
      <c r="Z6" s="3184"/>
      <c r="AA6" s="3156"/>
      <c r="AB6" s="3156"/>
      <c r="AC6" s="3156"/>
    </row>
    <row r="7" spans="1:29" s="116" customFormat="1" ht="15.75" thickBot="1">
      <c r="A7" s="407" t="s">
        <v>2547</v>
      </c>
      <c r="B7" s="408"/>
      <c r="C7" s="409">
        <f>'数据-取费表'!B2</f>
        <v>43969</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58" t="s">
        <v>2548</v>
      </c>
      <c r="Q7" s="3185"/>
      <c r="R7" s="769" t="s">
        <v>17</v>
      </c>
      <c r="S7" s="770">
        <f t="shared" ref="S7:S15" si="0">F7</f>
        <v>0</v>
      </c>
      <c r="T7" s="769" t="s">
        <v>17</v>
      </c>
      <c r="U7" s="770">
        <f t="shared" ref="U7:U15" si="1">H7</f>
        <v>0</v>
      </c>
      <c r="V7" s="769" t="s">
        <v>17</v>
      </c>
      <c r="W7" s="770">
        <f t="shared" ref="W7:W15" si="2">J7</f>
        <v>0</v>
      </c>
      <c r="X7" s="771"/>
      <c r="Y7" s="3158" t="s">
        <v>2548</v>
      </c>
      <c r="Z7" s="315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58" t="s">
        <v>2551</v>
      </c>
      <c r="Q8" s="3159"/>
      <c r="R8" s="769" t="s">
        <v>17</v>
      </c>
      <c r="S8" s="770">
        <f t="shared" si="0"/>
        <v>0</v>
      </c>
      <c r="T8" s="769" t="s">
        <v>17</v>
      </c>
      <c r="U8" s="770">
        <f t="shared" si="1"/>
        <v>0</v>
      </c>
      <c r="V8" s="769" t="s">
        <v>17</v>
      </c>
      <c r="W8" s="770">
        <f t="shared" si="2"/>
        <v>0</v>
      </c>
      <c r="X8" s="771"/>
      <c r="Y8" s="3158" t="s">
        <v>2551</v>
      </c>
      <c r="Z8" s="3159"/>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95" t="s">
        <v>2554</v>
      </c>
      <c r="Q9" s="1794" t="str">
        <f t="shared" ref="Q9:Q15" si="6">B9</f>
        <v>用途</v>
      </c>
      <c r="R9" s="769" t="s">
        <v>17</v>
      </c>
      <c r="S9" s="770">
        <f t="shared" si="0"/>
        <v>100</v>
      </c>
      <c r="T9" s="769" t="s">
        <v>17</v>
      </c>
      <c r="U9" s="770">
        <f t="shared" si="1"/>
        <v>100</v>
      </c>
      <c r="V9" s="769" t="s">
        <v>17</v>
      </c>
      <c r="W9" s="770">
        <f t="shared" si="2"/>
        <v>100</v>
      </c>
      <c r="X9" s="771"/>
      <c r="Y9" s="3031"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95"/>
      <c r="Q10" s="1794"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95"/>
      <c r="Q11" s="1794"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1"/>
      <c r="M12" s="1132"/>
      <c r="N12" s="1132"/>
      <c r="O12" s="1133"/>
      <c r="P12" s="3195"/>
      <c r="Q12" s="1794">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39"/>
      <c r="M13" s="1130"/>
      <c r="N13" s="1130"/>
      <c r="O13" s="1138"/>
      <c r="P13" s="3195"/>
      <c r="Q13" s="1794">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39"/>
      <c r="M14" s="1130"/>
      <c r="N14" s="1130"/>
      <c r="O14" s="1138"/>
      <c r="P14" s="3195"/>
      <c r="Q14" s="1794">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57">
      <c r="A15" s="439" t="s">
        <v>2558</v>
      </c>
      <c r="B15" s="68" t="s">
        <v>2702</v>
      </c>
      <c r="C15" s="269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8" t="s">
        <v>2559</v>
      </c>
      <c r="Q15" s="1809" t="str">
        <f t="shared" si="6"/>
        <v>产业集聚程度</v>
      </c>
      <c r="R15" s="773" t="s">
        <v>17</v>
      </c>
      <c r="S15" s="774">
        <f t="shared" si="0"/>
        <v>100</v>
      </c>
      <c r="T15" s="773" t="s">
        <v>17</v>
      </c>
      <c r="U15" s="774">
        <f t="shared" si="1"/>
        <v>100</v>
      </c>
      <c r="V15" s="773" t="s">
        <v>17</v>
      </c>
      <c r="W15" s="774">
        <f t="shared" si="2"/>
        <v>100</v>
      </c>
      <c r="X15" s="1812"/>
      <c r="Y15" s="3188" t="s">
        <v>2559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89"/>
      <c r="Q16" s="1809"/>
      <c r="R16" s="773"/>
      <c r="S16" s="774"/>
      <c r="T16" s="773"/>
      <c r="U16" s="774"/>
      <c r="V16" s="773"/>
      <c r="W16" s="774"/>
      <c r="X16" s="1812"/>
      <c r="Y16" s="3189"/>
      <c r="Z16" s="1813"/>
      <c r="AA16" s="1810">
        <v>1</v>
      </c>
      <c r="AB16" s="1810">
        <v>1</v>
      </c>
      <c r="AC16" s="1810">
        <v>1</v>
      </c>
    </row>
    <row r="17" spans="1:29" ht="85.5">
      <c r="A17" s="427"/>
      <c r="B17" s="450" t="s">
        <v>2095</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89"/>
      <c r="Q17" s="1809" t="str">
        <f>B17</f>
        <v>交通便捷度</v>
      </c>
      <c r="R17" s="773" t="s">
        <v>17</v>
      </c>
      <c r="S17" s="774">
        <f>F17</f>
        <v>100</v>
      </c>
      <c r="T17" s="773" t="s">
        <v>17</v>
      </c>
      <c r="U17" s="774">
        <f>H17</f>
        <v>100</v>
      </c>
      <c r="V17" s="773" t="s">
        <v>17</v>
      </c>
      <c r="W17" s="774">
        <f>J17</f>
        <v>100</v>
      </c>
      <c r="X17" s="1812"/>
      <c r="Y17" s="3189"/>
      <c r="Z17" s="1813" t="str">
        <f>Q17</f>
        <v>交通便捷度</v>
      </c>
      <c r="AA17" s="1810">
        <f t="shared" si="3"/>
        <v>1</v>
      </c>
      <c r="AB17" s="1810">
        <f t="shared" si="4"/>
        <v>1</v>
      </c>
      <c r="AC17" s="1810">
        <f t="shared" si="5"/>
        <v>1</v>
      </c>
    </row>
    <row r="18" spans="1:29" ht="15">
      <c r="A18" s="427"/>
      <c r="B18" s="455"/>
      <c r="C18" s="2609"/>
      <c r="D18" s="449"/>
      <c r="E18" s="2611"/>
      <c r="F18" s="452"/>
      <c r="G18" s="2610"/>
      <c r="H18" s="447"/>
      <c r="I18" s="2611"/>
      <c r="J18" s="447"/>
      <c r="K18" s="614"/>
      <c r="L18" s="1139"/>
      <c r="M18" s="1130"/>
      <c r="N18" s="1130"/>
      <c r="O18" s="1138"/>
      <c r="P18" s="3189"/>
      <c r="Q18" s="1809"/>
      <c r="R18" s="773"/>
      <c r="S18" s="774"/>
      <c r="T18" s="773"/>
      <c r="U18" s="774"/>
      <c r="V18" s="773"/>
      <c r="W18" s="774"/>
      <c r="X18" s="1812"/>
      <c r="Y18" s="3189"/>
      <c r="Z18" s="1813"/>
      <c r="AA18" s="1810">
        <v>1</v>
      </c>
      <c r="AB18" s="1810">
        <v>1</v>
      </c>
      <c r="AC18" s="1810">
        <v>1</v>
      </c>
    </row>
    <row r="19" spans="1:29" ht="42.75">
      <c r="A19" s="427"/>
      <c r="B19" s="450" t="s">
        <v>2687</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89"/>
      <c r="Q19" s="1809" t="str">
        <f>B19</f>
        <v>公共配套设施</v>
      </c>
      <c r="R19" s="773" t="s">
        <v>17</v>
      </c>
      <c r="S19" s="774">
        <f>F19</f>
        <v>100</v>
      </c>
      <c r="T19" s="773" t="s">
        <v>17</v>
      </c>
      <c r="U19" s="774">
        <f>H19</f>
        <v>100</v>
      </c>
      <c r="V19" s="773" t="s">
        <v>17</v>
      </c>
      <c r="W19" s="774">
        <f>J19</f>
        <v>100</v>
      </c>
      <c r="X19" s="1812"/>
      <c r="Y19" s="3189"/>
      <c r="Z19" s="1813" t="str">
        <f>Q19</f>
        <v>公共配套设施</v>
      </c>
      <c r="AA19" s="1810">
        <f t="shared" si="3"/>
        <v>1</v>
      </c>
      <c r="AB19" s="1810">
        <f t="shared" si="4"/>
        <v>1</v>
      </c>
      <c r="AC19" s="1810">
        <f t="shared" si="5"/>
        <v>1</v>
      </c>
    </row>
    <row r="20" spans="1:29" ht="15">
      <c r="A20" s="427"/>
      <c r="B20" s="455"/>
      <c r="C20" s="446"/>
      <c r="D20" s="447"/>
      <c r="E20" s="2606"/>
      <c r="F20" s="448"/>
      <c r="G20" s="2605"/>
      <c r="H20" s="447"/>
      <c r="I20" s="2606"/>
      <c r="J20" s="447"/>
      <c r="K20" s="614"/>
      <c r="L20" s="1139"/>
      <c r="M20" s="1130"/>
      <c r="N20" s="1130"/>
      <c r="O20" s="1138"/>
      <c r="P20" s="3189"/>
      <c r="Q20" s="1809"/>
      <c r="R20" s="773"/>
      <c r="S20" s="774"/>
      <c r="T20" s="773"/>
      <c r="U20" s="774"/>
      <c r="V20" s="773"/>
      <c r="W20" s="774"/>
      <c r="X20" s="1812"/>
      <c r="Y20" s="3189"/>
      <c r="Z20" s="1813"/>
      <c r="AA20" s="1810">
        <v>1</v>
      </c>
      <c r="AB20" s="1810">
        <v>1</v>
      </c>
      <c r="AC20" s="1810">
        <v>1</v>
      </c>
    </row>
    <row r="21" spans="1:29" ht="28.5">
      <c r="A21" s="427"/>
      <c r="B21" s="1383" t="s">
        <v>2688</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89"/>
      <c r="Q21" s="1809" t="str">
        <f>B21</f>
        <v>基础设施水平</v>
      </c>
      <c r="R21" s="773" t="s">
        <v>17</v>
      </c>
      <c r="S21" s="774">
        <f>F21</f>
        <v>100</v>
      </c>
      <c r="T21" s="773" t="s">
        <v>17</v>
      </c>
      <c r="U21" s="774">
        <f>H21</f>
        <v>100</v>
      </c>
      <c r="V21" s="773" t="s">
        <v>17</v>
      </c>
      <c r="W21" s="774">
        <f>J21</f>
        <v>100</v>
      </c>
      <c r="X21" s="1812"/>
      <c r="Y21" s="3189"/>
      <c r="Z21" s="1813" t="str">
        <f>Q21</f>
        <v>基础设施水平</v>
      </c>
      <c r="AA21" s="1810">
        <f t="shared" ref="AA21" si="8">D21/F21</f>
        <v>1</v>
      </c>
      <c r="AB21" s="1810">
        <f t="shared" ref="AB21" si="9">D21/H21</f>
        <v>1</v>
      </c>
      <c r="AC21" s="1810">
        <f t="shared" ref="AC21" si="10">D21/J21</f>
        <v>1</v>
      </c>
    </row>
    <row r="22" spans="1:29" ht="15">
      <c r="A22" s="427"/>
      <c r="B22" s="1383"/>
      <c r="C22" s="2609"/>
      <c r="D22" s="447"/>
      <c r="E22" s="446"/>
      <c r="F22" s="448"/>
      <c r="G22" s="446"/>
      <c r="H22" s="447"/>
      <c r="I22" s="446"/>
      <c r="J22" s="447"/>
      <c r="K22" s="1382"/>
      <c r="L22" s="1139"/>
      <c r="M22" s="1130"/>
      <c r="N22" s="1130"/>
      <c r="O22" s="1138"/>
      <c r="P22" s="3189"/>
      <c r="Q22" s="1809"/>
      <c r="R22" s="773"/>
      <c r="S22" s="774"/>
      <c r="T22" s="773"/>
      <c r="U22" s="774"/>
      <c r="V22" s="773"/>
      <c r="W22" s="774"/>
      <c r="X22" s="1812"/>
      <c r="Y22" s="3189"/>
      <c r="Z22" s="1813"/>
      <c r="AA22" s="1810">
        <v>1</v>
      </c>
      <c r="AB22" s="1810">
        <v>1</v>
      </c>
      <c r="AC22" s="1810">
        <v>1</v>
      </c>
    </row>
    <row r="23" spans="1:29" ht="71.25">
      <c r="A23" s="427"/>
      <c r="B23" s="450" t="s">
        <v>2689</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89"/>
      <c r="Q23" s="1809" t="str">
        <f>B23</f>
        <v>环境质量</v>
      </c>
      <c r="R23" s="773" t="s">
        <v>17</v>
      </c>
      <c r="S23" s="774">
        <f>F23</f>
        <v>100</v>
      </c>
      <c r="T23" s="773" t="s">
        <v>17</v>
      </c>
      <c r="U23" s="774">
        <f>H23</f>
        <v>100</v>
      </c>
      <c r="V23" s="773" t="s">
        <v>17</v>
      </c>
      <c r="W23" s="774">
        <f>J23</f>
        <v>100</v>
      </c>
      <c r="X23" s="1812"/>
      <c r="Y23" s="3189"/>
      <c r="Z23" s="1813" t="str">
        <f>Q23</f>
        <v>环境质量</v>
      </c>
      <c r="AA23" s="1810">
        <f t="shared" si="3"/>
        <v>1</v>
      </c>
      <c r="AB23" s="1810">
        <f t="shared" si="4"/>
        <v>1</v>
      </c>
      <c r="AC23" s="1810">
        <f t="shared" si="5"/>
        <v>1</v>
      </c>
    </row>
    <row r="24" spans="1:29" ht="15">
      <c r="A24" s="427"/>
      <c r="B24" s="1383"/>
      <c r="C24" s="446"/>
      <c r="D24" s="447"/>
      <c r="E24" s="2606"/>
      <c r="F24" s="448"/>
      <c r="G24" s="2605"/>
      <c r="H24" s="447"/>
      <c r="I24" s="2606"/>
      <c r="J24" s="447"/>
      <c r="K24" s="614"/>
      <c r="L24" s="1139"/>
      <c r="M24" s="1130"/>
      <c r="N24" s="1130"/>
      <c r="O24" s="1138"/>
      <c r="P24" s="3189"/>
      <c r="Q24" s="1809"/>
      <c r="R24" s="773"/>
      <c r="S24" s="774"/>
      <c r="T24" s="773"/>
      <c r="U24" s="774"/>
      <c r="V24" s="773"/>
      <c r="W24" s="774"/>
      <c r="X24" s="1812"/>
      <c r="Y24" s="3189"/>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89"/>
      <c r="Q25" s="1809">
        <f>B25</f>
        <v>111</v>
      </c>
      <c r="R25" s="773" t="s">
        <v>17</v>
      </c>
      <c r="S25" s="774">
        <f>F25</f>
        <v>100</v>
      </c>
      <c r="T25" s="773" t="s">
        <v>17</v>
      </c>
      <c r="U25" s="774">
        <f>H25</f>
        <v>100</v>
      </c>
      <c r="V25" s="773" t="s">
        <v>17</v>
      </c>
      <c r="W25" s="774">
        <f>J25</f>
        <v>100</v>
      </c>
      <c r="X25" s="1812"/>
      <c r="Y25" s="3189"/>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89"/>
      <c r="Q26" s="1809">
        <f t="shared" ref="Q26:Q40" si="11">B26</f>
        <v>111</v>
      </c>
      <c r="R26" s="773" t="s">
        <v>17</v>
      </c>
      <c r="S26" s="774">
        <f>F26</f>
        <v>100</v>
      </c>
      <c r="T26" s="773" t="s">
        <v>17</v>
      </c>
      <c r="U26" s="774">
        <f>H26</f>
        <v>100</v>
      </c>
      <c r="V26" s="773" t="s">
        <v>17</v>
      </c>
      <c r="W26" s="774">
        <f>J26</f>
        <v>100</v>
      </c>
      <c r="X26" s="1812"/>
      <c r="Y26" s="3189"/>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89"/>
      <c r="Q27" s="1794">
        <f t="shared" si="11"/>
        <v>111</v>
      </c>
      <c r="R27" s="769" t="s">
        <v>17</v>
      </c>
      <c r="S27" s="770">
        <f>F27</f>
        <v>100</v>
      </c>
      <c r="T27" s="769" t="s">
        <v>17</v>
      </c>
      <c r="U27" s="770">
        <f>H27</f>
        <v>100</v>
      </c>
      <c r="V27" s="769" t="s">
        <v>17</v>
      </c>
      <c r="W27" s="770">
        <f>J27</f>
        <v>100</v>
      </c>
      <c r="X27" s="771"/>
      <c r="Y27" s="3189"/>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89"/>
      <c r="Q28" s="1809">
        <f t="shared" si="11"/>
        <v>111</v>
      </c>
      <c r="R28" s="773" t="s">
        <v>17</v>
      </c>
      <c r="S28" s="774">
        <f t="shared" ref="S28:S40" si="12">F28</f>
        <v>100</v>
      </c>
      <c r="T28" s="773" t="s">
        <v>17</v>
      </c>
      <c r="U28" s="774">
        <f t="shared" ref="U28:U40" si="13">H28</f>
        <v>100</v>
      </c>
      <c r="V28" s="773" t="s">
        <v>17</v>
      </c>
      <c r="W28" s="774">
        <f t="shared" ref="W28:W40" si="14">J28</f>
        <v>100</v>
      </c>
      <c r="X28" s="1812"/>
      <c r="Y28" s="3189"/>
      <c r="Z28" s="1813">
        <f t="shared" ref="Z28:Z40" si="15">Q28</f>
        <v>111</v>
      </c>
      <c r="AA28" s="1810">
        <f t="shared" si="3"/>
        <v>1</v>
      </c>
      <c r="AB28" s="1810">
        <f t="shared" si="4"/>
        <v>1</v>
      </c>
      <c r="AC28" s="1810">
        <f t="shared" si="5"/>
        <v>1</v>
      </c>
    </row>
    <row r="29" spans="1:29" ht="28.5">
      <c r="A29" s="465" t="s">
        <v>2562</v>
      </c>
      <c r="B29" s="70" t="s">
        <v>2692</v>
      </c>
      <c r="C29" s="2680"/>
      <c r="D29" s="466">
        <v>100</v>
      </c>
      <c r="E29" s="2680"/>
      <c r="F29" s="460">
        <f>SUMIF(88:88,E29,89:89)-SUMIF(88:88,C29,89:89)+100</f>
        <v>100</v>
      </c>
      <c r="G29" s="2680"/>
      <c r="H29" s="434">
        <f>SUMIF(88:88,G29,89:89)-SUMIF(88:88,C29,89:89)+100</f>
        <v>100</v>
      </c>
      <c r="I29" s="2680"/>
      <c r="J29" s="466">
        <f>SUMIF(88:88,I29,89:89)-SUMIF(88:88,C29,89:89)+100</f>
        <v>100</v>
      </c>
      <c r="K29" s="611"/>
      <c r="L29" s="1139"/>
      <c r="M29" s="1130"/>
      <c r="N29" s="1130"/>
      <c r="O29" s="1138"/>
      <c r="P29" s="3246" t="s">
        <v>2564</v>
      </c>
      <c r="Q29" s="1809" t="str">
        <f t="shared" si="11"/>
        <v>建筑类型</v>
      </c>
      <c r="R29" s="773" t="s">
        <v>17</v>
      </c>
      <c r="S29" s="774">
        <f t="shared" si="12"/>
        <v>100</v>
      </c>
      <c r="T29" s="773" t="s">
        <v>17</v>
      </c>
      <c r="U29" s="774">
        <f t="shared" si="13"/>
        <v>100</v>
      </c>
      <c r="V29" s="773" t="s">
        <v>17</v>
      </c>
      <c r="W29" s="774">
        <f t="shared" si="14"/>
        <v>100</v>
      </c>
      <c r="X29" s="1812"/>
      <c r="Y29" s="3193" t="s">
        <v>2564</v>
      </c>
      <c r="Z29" s="1813" t="str">
        <f t="shared" si="15"/>
        <v>建筑类型</v>
      </c>
      <c r="AA29" s="1810">
        <f t="shared" si="3"/>
        <v>1</v>
      </c>
      <c r="AB29" s="1810">
        <f t="shared" si="4"/>
        <v>1</v>
      </c>
      <c r="AC29" s="1810">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93"/>
      <c r="Q30" s="775" t="str">
        <f t="shared" si="11"/>
        <v>项目建筑规模</v>
      </c>
      <c r="R30" s="776" t="s">
        <v>17</v>
      </c>
      <c r="S30" s="777" t="e">
        <f t="shared" si="12"/>
        <v>#N/A</v>
      </c>
      <c r="T30" s="776" t="s">
        <v>17</v>
      </c>
      <c r="U30" s="777" t="e">
        <f t="shared" si="13"/>
        <v>#N/A</v>
      </c>
      <c r="V30" s="776" t="s">
        <v>17</v>
      </c>
      <c r="W30" s="777" t="e">
        <f t="shared" si="14"/>
        <v>#N/A</v>
      </c>
      <c r="X30" s="778"/>
      <c r="Y30" s="3193"/>
      <c r="Z30" s="779" t="str">
        <f t="shared" si="15"/>
        <v>项目建筑规模</v>
      </c>
      <c r="AA30" s="1810" t="e">
        <f t="shared" si="3"/>
        <v>#N/A</v>
      </c>
      <c r="AB30" s="1810" t="e">
        <f t="shared" si="4"/>
        <v>#N/A</v>
      </c>
      <c r="AC30" s="1810"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93"/>
      <c r="Q31" s="1809" t="str">
        <f t="shared" si="11"/>
        <v>建筑结构</v>
      </c>
      <c r="R31" s="773" t="s">
        <v>17</v>
      </c>
      <c r="S31" s="774">
        <f t="shared" si="12"/>
        <v>100</v>
      </c>
      <c r="T31" s="773" t="s">
        <v>17</v>
      </c>
      <c r="U31" s="774">
        <f t="shared" si="13"/>
        <v>100</v>
      </c>
      <c r="V31" s="773" t="s">
        <v>17</v>
      </c>
      <c r="W31" s="774">
        <f t="shared" si="14"/>
        <v>100</v>
      </c>
      <c r="X31" s="1812"/>
      <c r="Y31" s="3193"/>
      <c r="Z31" s="1813" t="str">
        <f t="shared" si="15"/>
        <v>建筑结构</v>
      </c>
      <c r="AA31" s="1810">
        <f t="shared" si="3"/>
        <v>1</v>
      </c>
      <c r="AB31" s="1810">
        <f t="shared" si="4"/>
        <v>1</v>
      </c>
      <c r="AC31" s="1810">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93"/>
      <c r="Q32" s="1809" t="str">
        <f t="shared" si="11"/>
        <v>公共部分装修</v>
      </c>
      <c r="R32" s="773" t="s">
        <v>17</v>
      </c>
      <c r="S32" s="774">
        <f t="shared" si="12"/>
        <v>100</v>
      </c>
      <c r="T32" s="773" t="s">
        <v>17</v>
      </c>
      <c r="U32" s="774">
        <f t="shared" si="13"/>
        <v>100</v>
      </c>
      <c r="V32" s="773" t="s">
        <v>17</v>
      </c>
      <c r="W32" s="774">
        <f t="shared" si="14"/>
        <v>100</v>
      </c>
      <c r="X32" s="1812"/>
      <c r="Y32" s="3193"/>
      <c r="Z32" s="1813" t="str">
        <f t="shared" si="15"/>
        <v>公共部分装修</v>
      </c>
      <c r="AA32" s="1810">
        <f t="shared" si="3"/>
        <v>1</v>
      </c>
      <c r="AB32" s="1810">
        <f t="shared" si="4"/>
        <v>1</v>
      </c>
      <c r="AC32" s="1810">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93"/>
      <c r="Q33" s="1809" t="str">
        <f t="shared" si="11"/>
        <v>成新度</v>
      </c>
      <c r="R33" s="773" t="s">
        <v>17</v>
      </c>
      <c r="S33" s="774" t="e">
        <f t="shared" si="12"/>
        <v>#N/A</v>
      </c>
      <c r="T33" s="773" t="s">
        <v>17</v>
      </c>
      <c r="U33" s="774" t="e">
        <f t="shared" si="13"/>
        <v>#N/A</v>
      </c>
      <c r="V33" s="773" t="s">
        <v>17</v>
      </c>
      <c r="W33" s="774" t="e">
        <f t="shared" si="14"/>
        <v>#N/A</v>
      </c>
      <c r="X33" s="1812"/>
      <c r="Y33" s="3193"/>
      <c r="Z33" s="1813" t="str">
        <f t="shared" si="15"/>
        <v>成新度</v>
      </c>
      <c r="AA33" s="1810" t="e">
        <f t="shared" si="3"/>
        <v>#N/A</v>
      </c>
      <c r="AB33" s="1810" t="e">
        <f t="shared" si="4"/>
        <v>#N/A</v>
      </c>
      <c r="AC33" s="1810"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93"/>
      <c r="Q34" s="1794" t="str">
        <f t="shared" si="11"/>
        <v>物业管理</v>
      </c>
      <c r="R34" s="769" t="s">
        <v>17</v>
      </c>
      <c r="S34" s="770">
        <f t="shared" si="12"/>
        <v>100</v>
      </c>
      <c r="T34" s="769" t="s">
        <v>17</v>
      </c>
      <c r="U34" s="770">
        <f t="shared" si="13"/>
        <v>100</v>
      </c>
      <c r="V34" s="769" t="s">
        <v>17</v>
      </c>
      <c r="W34" s="770">
        <f t="shared" si="14"/>
        <v>100</v>
      </c>
      <c r="X34" s="771"/>
      <c r="Y34" s="3193"/>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93" t="s">
        <v>2564</v>
      </c>
      <c r="Q35" s="1809" t="str">
        <f t="shared" si="11"/>
        <v>市政基础设施</v>
      </c>
      <c r="R35" s="773" t="s">
        <v>17</v>
      </c>
      <c r="S35" s="774">
        <f t="shared" si="12"/>
        <v>100</v>
      </c>
      <c r="T35" s="773" t="s">
        <v>17</v>
      </c>
      <c r="U35" s="774">
        <f t="shared" si="13"/>
        <v>100</v>
      </c>
      <c r="V35" s="773" t="s">
        <v>17</v>
      </c>
      <c r="W35" s="774">
        <f t="shared" si="14"/>
        <v>100</v>
      </c>
      <c r="X35" s="1812"/>
      <c r="Y35" s="3193" t="s">
        <v>2564</v>
      </c>
      <c r="Z35" s="1813" t="str">
        <f t="shared" si="15"/>
        <v>市政基础设施</v>
      </c>
      <c r="AA35" s="1810">
        <f t="shared" si="3"/>
        <v>1</v>
      </c>
      <c r="AB35" s="1810">
        <f t="shared" si="4"/>
        <v>1</v>
      </c>
      <c r="AC35" s="1810">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93"/>
      <c r="Q36" s="1809" t="str">
        <f t="shared" si="11"/>
        <v>内部装修</v>
      </c>
      <c r="R36" s="773" t="s">
        <v>17</v>
      </c>
      <c r="S36" s="774">
        <f t="shared" si="12"/>
        <v>100</v>
      </c>
      <c r="T36" s="773" t="s">
        <v>17</v>
      </c>
      <c r="U36" s="774">
        <f t="shared" si="13"/>
        <v>100</v>
      </c>
      <c r="V36" s="773" t="s">
        <v>17</v>
      </c>
      <c r="W36" s="774">
        <f t="shared" si="14"/>
        <v>100</v>
      </c>
      <c r="X36" s="1812"/>
      <c r="Y36" s="3193"/>
      <c r="Z36" s="1813" t="str">
        <f t="shared" si="15"/>
        <v>内部装修</v>
      </c>
      <c r="AA36" s="1810">
        <f t="shared" si="3"/>
        <v>1</v>
      </c>
      <c r="AB36" s="1810">
        <f t="shared" si="4"/>
        <v>1</v>
      </c>
      <c r="AC36" s="1810">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93"/>
      <c r="Q37" s="1809" t="str">
        <f t="shared" si="11"/>
        <v>内部装修状况</v>
      </c>
      <c r="R37" s="773" t="s">
        <v>17</v>
      </c>
      <c r="S37" s="774">
        <f t="shared" si="12"/>
        <v>100</v>
      </c>
      <c r="T37" s="773" t="s">
        <v>17</v>
      </c>
      <c r="U37" s="774">
        <f t="shared" si="13"/>
        <v>100</v>
      </c>
      <c r="V37" s="773" t="s">
        <v>17</v>
      </c>
      <c r="W37" s="774">
        <f t="shared" si="14"/>
        <v>100</v>
      </c>
      <c r="X37" s="1812"/>
      <c r="Y37" s="3193"/>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93"/>
      <c r="Q38" s="775">
        <f t="shared" si="11"/>
        <v>111</v>
      </c>
      <c r="R38" s="776" t="s">
        <v>17</v>
      </c>
      <c r="S38" s="777">
        <f t="shared" si="12"/>
        <v>100</v>
      </c>
      <c r="T38" s="776" t="s">
        <v>17</v>
      </c>
      <c r="U38" s="777">
        <f t="shared" si="13"/>
        <v>100</v>
      </c>
      <c r="V38" s="776" t="s">
        <v>17</v>
      </c>
      <c r="W38" s="777">
        <f t="shared" si="14"/>
        <v>100</v>
      </c>
      <c r="X38" s="778"/>
      <c r="Y38" s="3193"/>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93"/>
      <c r="Q39" s="1809">
        <f t="shared" si="11"/>
        <v>111</v>
      </c>
      <c r="R39" s="773" t="s">
        <v>17</v>
      </c>
      <c r="S39" s="774">
        <f t="shared" si="12"/>
        <v>100</v>
      </c>
      <c r="T39" s="773" t="s">
        <v>17</v>
      </c>
      <c r="U39" s="774">
        <f t="shared" si="13"/>
        <v>100</v>
      </c>
      <c r="V39" s="773" t="s">
        <v>17</v>
      </c>
      <c r="W39" s="774">
        <f t="shared" si="14"/>
        <v>100</v>
      </c>
      <c r="X39" s="1812"/>
      <c r="Y39" s="3193"/>
      <c r="Z39" s="1813">
        <f t="shared" si="15"/>
        <v>111</v>
      </c>
      <c r="AA39" s="1810">
        <f t="shared" si="3"/>
        <v>1</v>
      </c>
      <c r="AB39" s="1810">
        <f t="shared" si="4"/>
        <v>1</v>
      </c>
      <c r="AC39" s="1810">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94"/>
      <c r="Q40" s="1809">
        <f t="shared" si="11"/>
        <v>111</v>
      </c>
      <c r="R40" s="773" t="s">
        <v>17</v>
      </c>
      <c r="S40" s="774">
        <f t="shared" si="12"/>
        <v>100</v>
      </c>
      <c r="T40" s="773" t="s">
        <v>17</v>
      </c>
      <c r="U40" s="774">
        <f t="shared" si="13"/>
        <v>100</v>
      </c>
      <c r="V40" s="773" t="s">
        <v>17</v>
      </c>
      <c r="W40" s="774">
        <f t="shared" si="14"/>
        <v>100</v>
      </c>
      <c r="X40" s="1812"/>
      <c r="Y40" s="3194"/>
      <c r="Z40" s="1813">
        <f t="shared" si="15"/>
        <v>111</v>
      </c>
      <c r="AA40" s="1810">
        <f t="shared" si="3"/>
        <v>1</v>
      </c>
      <c r="AB40" s="1810">
        <f t="shared" si="4"/>
        <v>1</v>
      </c>
      <c r="AC40" s="1810">
        <f t="shared" si="5"/>
        <v>1</v>
      </c>
    </row>
    <row r="41" spans="1:29" ht="15">
      <c r="A41" s="478" t="s">
        <v>2576</v>
      </c>
      <c r="B41" s="479"/>
      <c r="C41" s="1406" t="s">
        <v>1</v>
      </c>
      <c r="D41" s="1407"/>
      <c r="E41" s="1408"/>
      <c r="F41" s="1409"/>
      <c r="G41" s="1410"/>
      <c r="H41" s="1411"/>
      <c r="I41" s="1408"/>
      <c r="J41" s="1411"/>
      <c r="K41" s="782"/>
      <c r="L41" s="1142"/>
      <c r="M41" s="1143"/>
      <c r="N41" s="1130"/>
      <c r="O41" s="1143"/>
      <c r="P41" s="3195" t="str">
        <f>A41</f>
        <v>成交单价（元/平方米）</v>
      </c>
      <c r="Q41" s="3195"/>
      <c r="R41" s="3196">
        <f>E41</f>
        <v>0</v>
      </c>
      <c r="S41" s="3196"/>
      <c r="T41" s="3196">
        <f>G41</f>
        <v>0</v>
      </c>
      <c r="U41" s="3196"/>
      <c r="V41" s="3196">
        <f>I41</f>
        <v>0</v>
      </c>
      <c r="W41" s="3196"/>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197" t="str">
        <f>A43</f>
        <v>估价对象XX用房的比较价值（楼面单价，元/平方米）</v>
      </c>
      <c r="Q43" s="3198"/>
      <c r="R43" s="3199" t="e">
        <f>IF(F1="售价",ROUND(AVERAGE(R42:V42),0),ROUND(AVERAGE(R42:V42),1))</f>
        <v>#DIV/0!</v>
      </c>
      <c r="S43" s="3199"/>
      <c r="T43" s="3199"/>
      <c r="U43" s="3199"/>
      <c r="V43" s="3199"/>
      <c r="W43" s="319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7"/>
      <c r="B87" s="568"/>
      <c r="C87" s="569"/>
      <c r="D87" s="569"/>
      <c r="E87" s="569"/>
      <c r="F87" s="569"/>
      <c r="G87" s="590"/>
      <c r="H87" s="590"/>
      <c r="I87" s="590"/>
      <c r="J87" s="590"/>
      <c r="K87" s="590"/>
      <c r="L87" s="590"/>
      <c r="M87" s="591"/>
      <c r="N87" s="1152"/>
      <c r="O87" s="1152"/>
      <c r="P87" s="44"/>
      <c r="Q87" s="503"/>
    </row>
    <row r="88" spans="1:17">
      <c r="A88" s="526" t="s">
        <v>2562</v>
      </c>
      <c r="B88" s="527" t="s">
        <v>2611</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2615</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2619</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7"/>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85"/>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173" t="s">
        <v>2645</v>
      </c>
      <c r="D4" s="3174"/>
      <c r="E4" s="3175" t="s">
        <v>2646</v>
      </c>
      <c r="F4" s="3176"/>
      <c r="G4" s="3173" t="s">
        <v>2647</v>
      </c>
      <c r="H4" s="3174"/>
      <c r="I4" s="3173" t="s">
        <v>2648</v>
      </c>
      <c r="J4" s="3174"/>
      <c r="K4" s="609" t="s">
        <v>2649</v>
      </c>
      <c r="L4" s="1129"/>
      <c r="M4" s="1130"/>
      <c r="N4" s="1130"/>
      <c r="O4" s="1130"/>
      <c r="P4" s="3177" t="s">
        <v>2650</v>
      </c>
      <c r="Q4" s="3178"/>
      <c r="R4" s="3160" t="s">
        <v>2646</v>
      </c>
      <c r="S4" s="3161"/>
      <c r="T4" s="3160" t="s">
        <v>2647</v>
      </c>
      <c r="U4" s="3161"/>
      <c r="V4" s="3157" t="s">
        <v>2648</v>
      </c>
      <c r="W4" s="3157"/>
      <c r="X4" s="1812"/>
      <c r="Y4" s="3160" t="s">
        <v>2650</v>
      </c>
      <c r="Z4" s="3161"/>
      <c r="AA4" s="3154" t="s">
        <v>2646</v>
      </c>
      <c r="AB4" s="3155" t="s">
        <v>2647</v>
      </c>
      <c r="AC4" s="3154" t="s">
        <v>2648</v>
      </c>
    </row>
    <row r="5" spans="1:29" ht="15">
      <c r="A5" s="403"/>
      <c r="B5" s="404"/>
      <c r="C5" s="3166" t="s">
        <v>2541</v>
      </c>
      <c r="D5" s="3167"/>
      <c r="E5" s="3164" t="s">
        <v>2542</v>
      </c>
      <c r="F5" s="3165"/>
      <c r="G5" s="3166" t="s">
        <v>2543</v>
      </c>
      <c r="H5" s="3167"/>
      <c r="I5" s="3166" t="s">
        <v>2544</v>
      </c>
      <c r="J5" s="3167"/>
      <c r="K5" s="609"/>
      <c r="L5" s="1129"/>
      <c r="M5" s="1130"/>
      <c r="N5" s="1130"/>
      <c r="O5" s="1130"/>
      <c r="P5" s="3179"/>
      <c r="Q5" s="3180"/>
      <c r="R5" s="3162"/>
      <c r="S5" s="3163"/>
      <c r="T5" s="3162"/>
      <c r="U5" s="3163"/>
      <c r="V5" s="3157"/>
      <c r="W5" s="3157"/>
      <c r="X5" s="1812"/>
      <c r="Y5" s="3162"/>
      <c r="Z5" s="3163"/>
      <c r="AA5" s="3155"/>
      <c r="AB5" s="3155"/>
      <c r="AC5" s="3155"/>
    </row>
    <row r="6" spans="1:29" ht="15.75" thickBot="1">
      <c r="A6" s="405"/>
      <c r="B6" s="406"/>
      <c r="C6" s="3168" t="s">
        <v>2545</v>
      </c>
      <c r="D6" s="3169"/>
      <c r="E6" s="3170" t="s">
        <v>2545</v>
      </c>
      <c r="F6" s="3171"/>
      <c r="G6" s="3168" t="s">
        <v>2545</v>
      </c>
      <c r="H6" s="3169"/>
      <c r="I6" s="3168" t="s">
        <v>2545</v>
      </c>
      <c r="J6" s="3169"/>
      <c r="K6" s="609" t="s">
        <v>2546</v>
      </c>
      <c r="L6" s="1129"/>
      <c r="M6" s="1130"/>
      <c r="N6" s="1130"/>
      <c r="O6" s="1130"/>
      <c r="P6" s="3181"/>
      <c r="Q6" s="3182"/>
      <c r="R6" s="3162"/>
      <c r="S6" s="3163"/>
      <c r="T6" s="3183"/>
      <c r="U6" s="3184"/>
      <c r="V6" s="3157"/>
      <c r="W6" s="3157"/>
      <c r="X6" s="1812"/>
      <c r="Y6" s="3183"/>
      <c r="Z6" s="3184"/>
      <c r="AA6" s="3156"/>
      <c r="AB6" s="3156"/>
      <c r="AC6" s="3156"/>
    </row>
    <row r="7" spans="1:29" s="116" customFormat="1" ht="15.75" thickBot="1">
      <c r="A7" s="407" t="s">
        <v>2547</v>
      </c>
      <c r="B7" s="408"/>
      <c r="C7" s="409">
        <f>'数据-取费表'!B2</f>
        <v>43969</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58" t="s">
        <v>2548</v>
      </c>
      <c r="Q7" s="3185"/>
      <c r="R7" s="769" t="s">
        <v>17</v>
      </c>
      <c r="S7" s="770">
        <f t="shared" ref="S7:S14" si="0">F7</f>
        <v>0</v>
      </c>
      <c r="T7" s="769" t="s">
        <v>17</v>
      </c>
      <c r="U7" s="770">
        <f t="shared" ref="U7:U14" si="1">H7</f>
        <v>0</v>
      </c>
      <c r="V7" s="769" t="s">
        <v>17</v>
      </c>
      <c r="W7" s="770">
        <f t="shared" ref="W7:W14" si="2">J7</f>
        <v>0</v>
      </c>
      <c r="X7" s="771"/>
      <c r="Y7" s="3158" t="s">
        <v>2548</v>
      </c>
      <c r="Z7" s="315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58" t="s">
        <v>2551</v>
      </c>
      <c r="Q8" s="3159"/>
      <c r="R8" s="769" t="s">
        <v>17</v>
      </c>
      <c r="S8" s="770">
        <f t="shared" si="0"/>
        <v>0</v>
      </c>
      <c r="T8" s="769" t="s">
        <v>17</v>
      </c>
      <c r="U8" s="770">
        <f t="shared" si="1"/>
        <v>0</v>
      </c>
      <c r="V8" s="769" t="s">
        <v>17</v>
      </c>
      <c r="W8" s="770">
        <f t="shared" si="2"/>
        <v>0</v>
      </c>
      <c r="X8" s="771"/>
      <c r="Y8" s="3158" t="s">
        <v>2551</v>
      </c>
      <c r="Z8" s="3159"/>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95" t="s">
        <v>2554</v>
      </c>
      <c r="Q9" s="1794" t="str">
        <f t="shared" ref="Q9:Q14" si="6">B9</f>
        <v>用途</v>
      </c>
      <c r="R9" s="769" t="s">
        <v>17</v>
      </c>
      <c r="S9" s="770">
        <f t="shared" si="0"/>
        <v>100</v>
      </c>
      <c r="T9" s="769" t="s">
        <v>17</v>
      </c>
      <c r="U9" s="770">
        <f t="shared" si="1"/>
        <v>100</v>
      </c>
      <c r="V9" s="769" t="s">
        <v>17</v>
      </c>
      <c r="W9" s="770">
        <f t="shared" si="2"/>
        <v>100</v>
      </c>
      <c r="X9" s="771"/>
      <c r="Y9" s="3031"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95"/>
      <c r="Q10" s="1794"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95"/>
      <c r="Q11" s="1794">
        <f t="shared" si="6"/>
        <v>111</v>
      </c>
      <c r="R11" s="769" t="s">
        <v>17</v>
      </c>
      <c r="S11" s="770">
        <f t="shared" si="0"/>
        <v>100</v>
      </c>
      <c r="T11" s="769" t="s">
        <v>17</v>
      </c>
      <c r="U11" s="770">
        <f t="shared" si="1"/>
        <v>100</v>
      </c>
      <c r="V11" s="769" t="s">
        <v>17</v>
      </c>
      <c r="W11" s="770">
        <f t="shared" si="2"/>
        <v>100</v>
      </c>
      <c r="X11" s="771"/>
      <c r="Y11" s="303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95"/>
      <c r="Q12" s="1794">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95"/>
      <c r="Q13" s="1794">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85.5">
      <c r="A14" s="400" t="s">
        <v>2558</v>
      </c>
      <c r="B14" s="628" t="s">
        <v>2708</v>
      </c>
      <c r="C14" s="2694"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8" t="s">
        <v>2559</v>
      </c>
      <c r="Q14" s="1809" t="str">
        <f t="shared" si="6"/>
        <v>交通便捷度</v>
      </c>
      <c r="R14" s="773" t="s">
        <v>17</v>
      </c>
      <c r="S14" s="774">
        <f t="shared" si="0"/>
        <v>100</v>
      </c>
      <c r="T14" s="773" t="s">
        <v>17</v>
      </c>
      <c r="U14" s="774">
        <f t="shared" si="1"/>
        <v>100</v>
      </c>
      <c r="V14" s="773" t="s">
        <v>17</v>
      </c>
      <c r="W14" s="774">
        <f t="shared" si="2"/>
        <v>100</v>
      </c>
      <c r="X14" s="1812"/>
      <c r="Y14" s="3188" t="s">
        <v>2559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89"/>
      <c r="Q15" s="1809"/>
      <c r="R15" s="773"/>
      <c r="S15" s="774"/>
      <c r="T15" s="773"/>
      <c r="U15" s="774"/>
      <c r="V15" s="773"/>
      <c r="W15" s="774"/>
      <c r="X15" s="1812"/>
      <c r="Y15" s="3189"/>
      <c r="Z15" s="1813"/>
      <c r="AA15" s="1810">
        <v>1</v>
      </c>
      <c r="AB15" s="1810">
        <v>1</v>
      </c>
      <c r="AC15" s="1810">
        <v>1</v>
      </c>
    </row>
    <row r="16" spans="1:29" ht="42.75">
      <c r="A16" s="403"/>
      <c r="B16" s="630" t="s">
        <v>2687</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89"/>
      <c r="Q16" s="1809" t="str">
        <f>B16</f>
        <v>公共配套设施</v>
      </c>
      <c r="R16" s="773" t="s">
        <v>17</v>
      </c>
      <c r="S16" s="774">
        <f>F16</f>
        <v>100</v>
      </c>
      <c r="T16" s="773" t="s">
        <v>17</v>
      </c>
      <c r="U16" s="774">
        <f>H16</f>
        <v>100</v>
      </c>
      <c r="V16" s="773" t="s">
        <v>17</v>
      </c>
      <c r="W16" s="774">
        <f>J16</f>
        <v>100</v>
      </c>
      <c r="X16" s="1812"/>
      <c r="Y16" s="3189"/>
      <c r="Z16" s="1813" t="str">
        <f>Q16</f>
        <v>公共配套设施</v>
      </c>
      <c r="AA16" s="1810">
        <f t="shared" si="3"/>
        <v>1</v>
      </c>
      <c r="AB16" s="1810">
        <f t="shared" si="4"/>
        <v>1</v>
      </c>
      <c r="AC16" s="1810">
        <f t="shared" si="5"/>
        <v>1</v>
      </c>
    </row>
    <row r="17" spans="1:29" ht="15">
      <c r="A17" s="403"/>
      <c r="B17" s="631"/>
      <c r="C17" s="2609"/>
      <c r="D17" s="447"/>
      <c r="E17" s="446"/>
      <c r="F17" s="448"/>
      <c r="G17" s="446"/>
      <c r="H17" s="447"/>
      <c r="I17" s="446"/>
      <c r="J17" s="447"/>
      <c r="K17" s="614"/>
      <c r="L17" s="1139"/>
      <c r="M17" s="1130"/>
      <c r="N17" s="1130"/>
      <c r="O17" s="1130"/>
      <c r="P17" s="3189"/>
      <c r="Q17" s="1809"/>
      <c r="R17" s="773"/>
      <c r="S17" s="774"/>
      <c r="T17" s="773"/>
      <c r="U17" s="774"/>
      <c r="V17" s="773"/>
      <c r="W17" s="774"/>
      <c r="X17" s="1812"/>
      <c r="Y17" s="3189"/>
      <c r="Z17" s="1813"/>
      <c r="AA17" s="1810">
        <v>1</v>
      </c>
      <c r="AB17" s="1810">
        <v>1</v>
      </c>
      <c r="AC17" s="1810">
        <v>1</v>
      </c>
    </row>
    <row r="18" spans="1:29" ht="28.5">
      <c r="A18" s="403"/>
      <c r="B18" s="632" t="s">
        <v>2688</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89"/>
      <c r="Q18" s="1809" t="str">
        <f>B18</f>
        <v>基础设施水平</v>
      </c>
      <c r="R18" s="773" t="s">
        <v>17</v>
      </c>
      <c r="S18" s="774">
        <f>F18</f>
        <v>100</v>
      </c>
      <c r="T18" s="773" t="s">
        <v>17</v>
      </c>
      <c r="U18" s="774">
        <f>H18</f>
        <v>100</v>
      </c>
      <c r="V18" s="773" t="s">
        <v>17</v>
      </c>
      <c r="W18" s="774">
        <f>J18</f>
        <v>100</v>
      </c>
      <c r="X18" s="1812"/>
      <c r="Y18" s="3189"/>
      <c r="Z18" s="1813" t="str">
        <f>Q18</f>
        <v>基础设施水平</v>
      </c>
      <c r="AA18" s="1810">
        <f t="shared" ref="AA18" si="8">D18/F18</f>
        <v>1</v>
      </c>
      <c r="AB18" s="1810">
        <f t="shared" ref="AB18" si="9">D18/H18</f>
        <v>1</v>
      </c>
      <c r="AC18" s="1810">
        <f t="shared" ref="AC18" si="10">D18/J18</f>
        <v>1</v>
      </c>
    </row>
    <row r="19" spans="1:29" ht="15">
      <c r="A19" s="403"/>
      <c r="B19" s="632"/>
      <c r="C19" s="2609"/>
      <c r="D19" s="449"/>
      <c r="E19" s="2609"/>
      <c r="F19" s="452"/>
      <c r="G19" s="2609"/>
      <c r="H19" s="447"/>
      <c r="I19" s="446"/>
      <c r="J19" s="447"/>
      <c r="K19" s="1382"/>
      <c r="L19" s="1139"/>
      <c r="M19" s="1130"/>
      <c r="N19" s="1130"/>
      <c r="O19" s="1130"/>
      <c r="P19" s="3189"/>
      <c r="Q19" s="1809"/>
      <c r="R19" s="773"/>
      <c r="S19" s="774"/>
      <c r="T19" s="773"/>
      <c r="U19" s="774"/>
      <c r="V19" s="773"/>
      <c r="W19" s="774"/>
      <c r="X19" s="1812"/>
      <c r="Y19" s="3189"/>
      <c r="Z19" s="1813"/>
      <c r="AA19" s="1810">
        <v>1</v>
      </c>
      <c r="AB19" s="1810">
        <v>1</v>
      </c>
      <c r="AC19" s="1810">
        <v>1</v>
      </c>
    </row>
    <row r="20" spans="1:29" ht="57">
      <c r="A20" s="403"/>
      <c r="B20" s="630" t="s">
        <v>2709</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89"/>
      <c r="Q20" s="1809" t="str">
        <f>B20</f>
        <v>自然及人文环境</v>
      </c>
      <c r="R20" s="773" t="s">
        <v>17</v>
      </c>
      <c r="S20" s="774">
        <f>F20</f>
        <v>100</v>
      </c>
      <c r="T20" s="773" t="s">
        <v>17</v>
      </c>
      <c r="U20" s="774">
        <f>H20</f>
        <v>100</v>
      </c>
      <c r="V20" s="773" t="s">
        <v>17</v>
      </c>
      <c r="W20" s="774">
        <f>J20</f>
        <v>100</v>
      </c>
      <c r="X20" s="1812"/>
      <c r="Y20" s="3189"/>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89"/>
      <c r="Q21" s="1809"/>
      <c r="R21" s="773"/>
      <c r="S21" s="774"/>
      <c r="T21" s="773"/>
      <c r="U21" s="774"/>
      <c r="V21" s="773"/>
      <c r="W21" s="774"/>
      <c r="X21" s="1812"/>
      <c r="Y21" s="3189"/>
      <c r="Z21" s="1813"/>
      <c r="AA21" s="1810">
        <v>1</v>
      </c>
      <c r="AB21" s="1810">
        <v>1</v>
      </c>
      <c r="AC21" s="1810">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89"/>
      <c r="Q22" s="1809" t="str">
        <f>B22</f>
        <v>楼层</v>
      </c>
      <c r="R22" s="773" t="s">
        <v>17</v>
      </c>
      <c r="S22" s="774">
        <f>F22</f>
        <v>100</v>
      </c>
      <c r="T22" s="773" t="s">
        <v>17</v>
      </c>
      <c r="U22" s="774">
        <f>H22</f>
        <v>100</v>
      </c>
      <c r="V22" s="773" t="s">
        <v>17</v>
      </c>
      <c r="W22" s="774">
        <f>J22</f>
        <v>100</v>
      </c>
      <c r="X22" s="1812"/>
      <c r="Y22" s="3189"/>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89"/>
      <c r="Q23" s="1809">
        <f>B23</f>
        <v>111</v>
      </c>
      <c r="R23" s="773" t="s">
        <v>17</v>
      </c>
      <c r="S23" s="774">
        <f>F23</f>
        <v>100</v>
      </c>
      <c r="T23" s="773" t="s">
        <v>17</v>
      </c>
      <c r="U23" s="774">
        <f>H23</f>
        <v>100</v>
      </c>
      <c r="V23" s="773" t="s">
        <v>17</v>
      </c>
      <c r="W23" s="774">
        <f>J23</f>
        <v>100</v>
      </c>
      <c r="X23" s="1812"/>
      <c r="Y23" s="3189"/>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89"/>
      <c r="Q24" s="1809">
        <f t="shared" ref="Q24:Q36" si="11">B24</f>
        <v>111</v>
      </c>
      <c r="R24" s="773" t="s">
        <v>17</v>
      </c>
      <c r="S24" s="774">
        <f>F24</f>
        <v>100</v>
      </c>
      <c r="T24" s="773" t="s">
        <v>17</v>
      </c>
      <c r="U24" s="774">
        <f>H24</f>
        <v>100</v>
      </c>
      <c r="V24" s="773" t="s">
        <v>17</v>
      </c>
      <c r="W24" s="774">
        <f>J24</f>
        <v>100</v>
      </c>
      <c r="X24" s="1812"/>
      <c r="Y24" s="3189"/>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89"/>
      <c r="Q25" s="1794">
        <f t="shared" si="11"/>
        <v>111</v>
      </c>
      <c r="R25" s="769" t="s">
        <v>17</v>
      </c>
      <c r="S25" s="770">
        <f>F25</f>
        <v>100</v>
      </c>
      <c r="T25" s="769" t="s">
        <v>17</v>
      </c>
      <c r="U25" s="770">
        <f>H25</f>
        <v>100</v>
      </c>
      <c r="V25" s="769" t="s">
        <v>17</v>
      </c>
      <c r="W25" s="770">
        <f>J25</f>
        <v>100</v>
      </c>
      <c r="X25" s="771"/>
      <c r="Y25" s="3189"/>
      <c r="Z25" s="54">
        <f>Q25</f>
        <v>111</v>
      </c>
      <c r="AA25" s="1810">
        <f>D25/F25</f>
        <v>1</v>
      </c>
      <c r="AB25" s="1810">
        <f>D25/H25</f>
        <v>1</v>
      </c>
      <c r="AC25" s="1810">
        <f>D25/J25</f>
        <v>1</v>
      </c>
    </row>
    <row r="26" spans="1:29" ht="28.5">
      <c r="A26" s="651" t="s">
        <v>2562</v>
      </c>
      <c r="B26" s="69" t="s">
        <v>2711</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6" t="s">
        <v>2564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3" t="s">
        <v>2564</v>
      </c>
      <c r="Z26" s="1813" t="str">
        <f t="shared" ref="Z26:Z36" si="15">Q26</f>
        <v>配套类型</v>
      </c>
      <c r="AA26" s="1810">
        <f t="shared" si="3"/>
        <v>1</v>
      </c>
      <c r="AB26" s="1810">
        <f t="shared" si="4"/>
        <v>1</v>
      </c>
      <c r="AC26" s="1810">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93"/>
      <c r="Q27" s="775" t="str">
        <f t="shared" si="11"/>
        <v>项目停车位配比</v>
      </c>
      <c r="R27" s="776" t="s">
        <v>17</v>
      </c>
      <c r="S27" s="777">
        <f t="shared" si="12"/>
        <v>100</v>
      </c>
      <c r="T27" s="776" t="s">
        <v>17</v>
      </c>
      <c r="U27" s="777">
        <f t="shared" si="13"/>
        <v>100</v>
      </c>
      <c r="V27" s="776" t="s">
        <v>17</v>
      </c>
      <c r="W27" s="777">
        <f t="shared" si="14"/>
        <v>100</v>
      </c>
      <c r="X27" s="778"/>
      <c r="Y27" s="3193"/>
      <c r="Z27" s="779" t="str">
        <f t="shared" si="15"/>
        <v>项目停车位配比</v>
      </c>
      <c r="AA27" s="1810">
        <f t="shared" si="3"/>
        <v>1</v>
      </c>
      <c r="AB27" s="1810">
        <f t="shared" si="4"/>
        <v>1</v>
      </c>
      <c r="AC27" s="1810">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93"/>
      <c r="Q28" s="1809" t="str">
        <f t="shared" si="11"/>
        <v>公共部分装修</v>
      </c>
      <c r="R28" s="773" t="s">
        <v>17</v>
      </c>
      <c r="S28" s="774">
        <f t="shared" si="12"/>
        <v>100</v>
      </c>
      <c r="T28" s="773" t="s">
        <v>17</v>
      </c>
      <c r="U28" s="774">
        <f t="shared" si="13"/>
        <v>100</v>
      </c>
      <c r="V28" s="773" t="s">
        <v>17</v>
      </c>
      <c r="W28" s="774">
        <f t="shared" si="14"/>
        <v>100</v>
      </c>
      <c r="X28" s="1812"/>
      <c r="Y28" s="3193"/>
      <c r="Z28" s="1813" t="str">
        <f t="shared" si="15"/>
        <v>公共部分装修</v>
      </c>
      <c r="AA28" s="1810">
        <f t="shared" si="3"/>
        <v>1</v>
      </c>
      <c r="AB28" s="1810">
        <f t="shared" si="4"/>
        <v>1</v>
      </c>
      <c r="AC28" s="1810">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93"/>
      <c r="Q29" s="1809" t="str">
        <f t="shared" si="11"/>
        <v>成新率</v>
      </c>
      <c r="R29" s="773" t="s">
        <v>17</v>
      </c>
      <c r="S29" s="774" t="e">
        <f t="shared" si="12"/>
        <v>#N/A</v>
      </c>
      <c r="T29" s="773" t="s">
        <v>17</v>
      </c>
      <c r="U29" s="774" t="e">
        <f t="shared" si="13"/>
        <v>#N/A</v>
      </c>
      <c r="V29" s="773" t="s">
        <v>17</v>
      </c>
      <c r="W29" s="774" t="e">
        <f t="shared" si="14"/>
        <v>#N/A</v>
      </c>
      <c r="X29" s="1812"/>
      <c r="Y29" s="3193"/>
      <c r="Z29" s="1813" t="str">
        <f t="shared" si="15"/>
        <v>成新率</v>
      </c>
      <c r="AA29" s="1810" t="e">
        <f t="shared" si="3"/>
        <v>#N/A</v>
      </c>
      <c r="AB29" s="1810" t="e">
        <f t="shared" si="4"/>
        <v>#N/A</v>
      </c>
      <c r="AC29" s="1810"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93"/>
      <c r="Q30" s="1809" t="str">
        <f t="shared" si="11"/>
        <v>物业等级</v>
      </c>
      <c r="R30" s="773" t="s">
        <v>17</v>
      </c>
      <c r="S30" s="774">
        <f t="shared" si="12"/>
        <v>100</v>
      </c>
      <c r="T30" s="773" t="s">
        <v>17</v>
      </c>
      <c r="U30" s="774">
        <f t="shared" si="13"/>
        <v>100</v>
      </c>
      <c r="V30" s="773" t="s">
        <v>17</v>
      </c>
      <c r="W30" s="774">
        <f t="shared" si="14"/>
        <v>100</v>
      </c>
      <c r="X30" s="1812"/>
      <c r="Y30" s="3193"/>
      <c r="Z30" s="1813" t="str">
        <f t="shared" si="15"/>
        <v>物业等级</v>
      </c>
      <c r="AA30" s="1810">
        <f t="shared" si="3"/>
        <v>1</v>
      </c>
      <c r="AB30" s="1810">
        <f t="shared" si="4"/>
        <v>1</v>
      </c>
      <c r="AC30" s="1810">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93"/>
      <c r="Q31" s="1794" t="str">
        <f t="shared" si="11"/>
        <v>停车位面积</v>
      </c>
      <c r="R31" s="769" t="s">
        <v>17</v>
      </c>
      <c r="S31" s="770" t="e">
        <f t="shared" si="12"/>
        <v>#N/A</v>
      </c>
      <c r="T31" s="769" t="s">
        <v>17</v>
      </c>
      <c r="U31" s="770" t="e">
        <f t="shared" si="13"/>
        <v>#N/A</v>
      </c>
      <c r="V31" s="769" t="s">
        <v>17</v>
      </c>
      <c r="W31" s="770" t="e">
        <f t="shared" si="14"/>
        <v>#N/A</v>
      </c>
      <c r="X31" s="771"/>
      <c r="Y31" s="3193"/>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93" t="s">
        <v>2564</v>
      </c>
      <c r="Q32" s="1809" t="str">
        <f t="shared" si="11"/>
        <v>车位类型</v>
      </c>
      <c r="R32" s="773" t="s">
        <v>17</v>
      </c>
      <c r="S32" s="774">
        <f t="shared" si="12"/>
        <v>100</v>
      </c>
      <c r="T32" s="773" t="s">
        <v>17</v>
      </c>
      <c r="U32" s="774">
        <f t="shared" si="13"/>
        <v>100</v>
      </c>
      <c r="V32" s="773" t="s">
        <v>17</v>
      </c>
      <c r="W32" s="774">
        <f t="shared" si="14"/>
        <v>100</v>
      </c>
      <c r="X32" s="1812"/>
      <c r="Y32" s="3193" t="s">
        <v>2564</v>
      </c>
      <c r="Z32" s="1813" t="str">
        <f t="shared" si="15"/>
        <v>车位类型</v>
      </c>
      <c r="AA32" s="1810">
        <f t="shared" si="3"/>
        <v>1</v>
      </c>
      <c r="AB32" s="1810">
        <f t="shared" si="4"/>
        <v>1</v>
      </c>
      <c r="AC32" s="1810">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93"/>
      <c r="Q33" s="1809" t="str">
        <f t="shared" si="11"/>
        <v>是否直接入户</v>
      </c>
      <c r="R33" s="773" t="s">
        <v>17</v>
      </c>
      <c r="S33" s="774">
        <f t="shared" si="12"/>
        <v>100</v>
      </c>
      <c r="T33" s="773" t="s">
        <v>17</v>
      </c>
      <c r="U33" s="774">
        <f t="shared" si="13"/>
        <v>100</v>
      </c>
      <c r="V33" s="773" t="s">
        <v>17</v>
      </c>
      <c r="W33" s="774">
        <f t="shared" si="14"/>
        <v>100</v>
      </c>
      <c r="X33" s="1812"/>
      <c r="Y33" s="3193"/>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93"/>
      <c r="Q34" s="1809">
        <f t="shared" si="11"/>
        <v>111</v>
      </c>
      <c r="R34" s="773" t="s">
        <v>17</v>
      </c>
      <c r="S34" s="774">
        <f t="shared" si="12"/>
        <v>100</v>
      </c>
      <c r="T34" s="773" t="s">
        <v>17</v>
      </c>
      <c r="U34" s="774">
        <f t="shared" si="13"/>
        <v>100</v>
      </c>
      <c r="V34" s="773" t="s">
        <v>17</v>
      </c>
      <c r="W34" s="774">
        <f t="shared" si="14"/>
        <v>100</v>
      </c>
      <c r="X34" s="1812"/>
      <c r="Y34" s="3193"/>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93"/>
      <c r="Q35" s="775">
        <f t="shared" si="11"/>
        <v>111</v>
      </c>
      <c r="R35" s="776" t="s">
        <v>17</v>
      </c>
      <c r="S35" s="777">
        <f t="shared" si="12"/>
        <v>100</v>
      </c>
      <c r="T35" s="776" t="s">
        <v>17</v>
      </c>
      <c r="U35" s="777">
        <f t="shared" si="13"/>
        <v>100</v>
      </c>
      <c r="V35" s="776" t="s">
        <v>17</v>
      </c>
      <c r="W35" s="777">
        <f t="shared" si="14"/>
        <v>100</v>
      </c>
      <c r="X35" s="778"/>
      <c r="Y35" s="3193"/>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93"/>
      <c r="Q36" s="1809">
        <f t="shared" si="11"/>
        <v>111</v>
      </c>
      <c r="R36" s="773" t="s">
        <v>17</v>
      </c>
      <c r="S36" s="774">
        <f t="shared" si="12"/>
        <v>100</v>
      </c>
      <c r="T36" s="773" t="s">
        <v>17</v>
      </c>
      <c r="U36" s="774">
        <f t="shared" si="13"/>
        <v>100</v>
      </c>
      <c r="V36" s="773" t="s">
        <v>17</v>
      </c>
      <c r="W36" s="774">
        <f t="shared" si="14"/>
        <v>100</v>
      </c>
      <c r="X36" s="1812"/>
      <c r="Y36" s="3193"/>
      <c r="Z36" s="1813">
        <f t="shared" si="15"/>
        <v>111</v>
      </c>
      <c r="AA36" s="1810">
        <f t="shared" si="3"/>
        <v>1</v>
      </c>
      <c r="AB36" s="1810">
        <f t="shared" si="4"/>
        <v>1</v>
      </c>
      <c r="AC36" s="1810">
        <f t="shared" si="5"/>
        <v>1</v>
      </c>
    </row>
    <row r="37" spans="1:29" ht="15">
      <c r="A37" s="478" t="s">
        <v>2719</v>
      </c>
      <c r="B37" s="2696" t="s">
        <v>2720</v>
      </c>
      <c r="C37" s="1406" t="s">
        <v>1</v>
      </c>
      <c r="D37" s="1407"/>
      <c r="E37" s="1408"/>
      <c r="F37" s="1409"/>
      <c r="G37" s="1410"/>
      <c r="H37" s="1411"/>
      <c r="I37" s="1408"/>
      <c r="J37" s="1411"/>
      <c r="K37" s="618"/>
      <c r="L37" s="1142"/>
      <c r="M37" s="1143"/>
      <c r="N37" s="1130"/>
      <c r="O37" s="1143"/>
      <c r="P37" s="3195" t="str">
        <f>A37</f>
        <v>成交单价</v>
      </c>
      <c r="Q37" s="3195"/>
      <c r="R37" s="3196">
        <f>E37</f>
        <v>0</v>
      </c>
      <c r="S37" s="3196"/>
      <c r="T37" s="3196">
        <f>G37</f>
        <v>0</v>
      </c>
      <c r="U37" s="3196"/>
      <c r="V37" s="3196">
        <f>I37</f>
        <v>0</v>
      </c>
      <c r="W37" s="3196"/>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197" t="str">
        <f>A39</f>
        <v>估价对象XX用房的比较价值（楼面单价，元/平方米）</v>
      </c>
      <c r="Q39" s="3198"/>
      <c r="R39" s="3199" t="e">
        <f>IF(F1="售价",ROUND(AVERAGE(R38:V38),0),ROUND(AVERAGE(R38:V38),1))</f>
        <v>#DIV/0!</v>
      </c>
      <c r="S39" s="3199"/>
      <c r="T39" s="3199"/>
      <c r="U39" s="3199"/>
      <c r="V39" s="3199"/>
      <c r="W39" s="319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85"/>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87"/>
      <c r="D2" s="1123" t="e">
        <f ca="1">SUMIF(INDIRECT("'"&amp;F2&amp;"'"&amp;"!A:A"),"承租人权益价值",INDIRECT("'"&amp;F2&amp;"'"&amp;"!c:c"))</f>
        <v>#REF!</v>
      </c>
      <c r="E2" s="2588" t="s">
        <v>2327</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173" t="s">
        <v>2645</v>
      </c>
      <c r="D4" s="3174"/>
      <c r="E4" s="3175" t="s">
        <v>2646</v>
      </c>
      <c r="F4" s="3176"/>
      <c r="G4" s="3173" t="s">
        <v>2647</v>
      </c>
      <c r="H4" s="3174"/>
      <c r="I4" s="3173" t="s">
        <v>2648</v>
      </c>
      <c r="J4" s="3174"/>
      <c r="K4" s="609" t="s">
        <v>2649</v>
      </c>
      <c r="L4" s="1129"/>
      <c r="M4" s="1130"/>
      <c r="N4" s="1130"/>
      <c r="O4" s="1130"/>
      <c r="P4" s="3177" t="s">
        <v>2650</v>
      </c>
      <c r="Q4" s="3178"/>
      <c r="R4" s="3160" t="s">
        <v>2646</v>
      </c>
      <c r="S4" s="3161"/>
      <c r="T4" s="3160" t="s">
        <v>2647</v>
      </c>
      <c r="U4" s="3161"/>
      <c r="V4" s="3157" t="s">
        <v>2648</v>
      </c>
      <c r="W4" s="3157"/>
      <c r="X4" s="1812"/>
      <c r="Y4" s="3160" t="s">
        <v>2650</v>
      </c>
      <c r="Z4" s="3161"/>
      <c r="AA4" s="3154" t="s">
        <v>2646</v>
      </c>
      <c r="AB4" s="3155" t="s">
        <v>2647</v>
      </c>
      <c r="AC4" s="3154" t="s">
        <v>2648</v>
      </c>
    </row>
    <row r="5" spans="1:29" ht="15">
      <c r="A5" s="403"/>
      <c r="B5" s="404"/>
      <c r="C5" s="3166" t="s">
        <v>2541</v>
      </c>
      <c r="D5" s="3167"/>
      <c r="E5" s="3164" t="s">
        <v>2542</v>
      </c>
      <c r="F5" s="3165"/>
      <c r="G5" s="3166" t="s">
        <v>2543</v>
      </c>
      <c r="H5" s="3167"/>
      <c r="I5" s="3166" t="s">
        <v>2544</v>
      </c>
      <c r="J5" s="3167"/>
      <c r="K5" s="609"/>
      <c r="L5" s="1129"/>
      <c r="M5" s="1130"/>
      <c r="N5" s="1130"/>
      <c r="O5" s="1130"/>
      <c r="P5" s="3179"/>
      <c r="Q5" s="3180"/>
      <c r="R5" s="3162"/>
      <c r="S5" s="3163"/>
      <c r="T5" s="3162"/>
      <c r="U5" s="3163"/>
      <c r="V5" s="3157"/>
      <c r="W5" s="3157"/>
      <c r="X5" s="1812"/>
      <c r="Y5" s="3162"/>
      <c r="Z5" s="3163"/>
      <c r="AA5" s="3155"/>
      <c r="AB5" s="3155"/>
      <c r="AC5" s="3155"/>
    </row>
    <row r="6" spans="1:29" ht="15.75" thickBot="1">
      <c r="A6" s="405"/>
      <c r="B6" s="406"/>
      <c r="C6" s="3168" t="s">
        <v>2545</v>
      </c>
      <c r="D6" s="3169"/>
      <c r="E6" s="3170" t="s">
        <v>2545</v>
      </c>
      <c r="F6" s="3171"/>
      <c r="G6" s="3168" t="s">
        <v>2545</v>
      </c>
      <c r="H6" s="3169"/>
      <c r="I6" s="3168" t="s">
        <v>2545</v>
      </c>
      <c r="J6" s="3169"/>
      <c r="K6" s="609" t="s">
        <v>2546</v>
      </c>
      <c r="L6" s="1129"/>
      <c r="M6" s="1130"/>
      <c r="N6" s="1130"/>
      <c r="O6" s="1130"/>
      <c r="P6" s="3181"/>
      <c r="Q6" s="3182"/>
      <c r="R6" s="3162"/>
      <c r="S6" s="3163"/>
      <c r="T6" s="3183"/>
      <c r="U6" s="3184"/>
      <c r="V6" s="3157"/>
      <c r="W6" s="3157"/>
      <c r="X6" s="1812"/>
      <c r="Y6" s="3183"/>
      <c r="Z6" s="3184"/>
      <c r="AA6" s="3156"/>
      <c r="AB6" s="3156"/>
      <c r="AC6" s="3156"/>
    </row>
    <row r="7" spans="1:29" s="116" customFormat="1" ht="15.75" thickBot="1">
      <c r="A7" s="407" t="s">
        <v>2547</v>
      </c>
      <c r="B7" s="408"/>
      <c r="C7" s="409">
        <f>'数据-取费表'!B2</f>
        <v>43969</v>
      </c>
      <c r="D7" s="410">
        <v>100</v>
      </c>
      <c r="E7" s="411"/>
      <c r="F7" s="412">
        <f>SUMIF(46:46,YEAR(E7)&amp;"-"&amp;MONTH(E7),47:47)</f>
        <v>0</v>
      </c>
      <c r="G7" s="2697"/>
      <c r="H7" s="410">
        <f>SUMIF(46:46,YEAR(G7)&amp;"-"&amp;MONTH(G7),47:47)</f>
        <v>0</v>
      </c>
      <c r="I7" s="411"/>
      <c r="J7" s="410">
        <f>SUMIF(46:46,YEAR(I7)&amp;"-"&amp;MONTH(I7),47:47)</f>
        <v>0</v>
      </c>
      <c r="K7" s="610"/>
      <c r="L7" s="1131"/>
      <c r="M7" s="1132"/>
      <c r="N7" s="1132"/>
      <c r="O7" s="1132"/>
      <c r="P7" s="3158" t="s">
        <v>2548</v>
      </c>
      <c r="Q7" s="3185"/>
      <c r="R7" s="769" t="s">
        <v>17</v>
      </c>
      <c r="S7" s="770">
        <f t="shared" ref="S7:S14" si="0">F7</f>
        <v>0</v>
      </c>
      <c r="T7" s="769" t="s">
        <v>17</v>
      </c>
      <c r="U7" s="770">
        <f t="shared" ref="U7:U14" si="1">H7</f>
        <v>0</v>
      </c>
      <c r="V7" s="769" t="s">
        <v>17</v>
      </c>
      <c r="W7" s="770">
        <f t="shared" ref="W7:W14" si="2">J7</f>
        <v>0</v>
      </c>
      <c r="X7" s="771"/>
      <c r="Y7" s="3158" t="s">
        <v>2548</v>
      </c>
      <c r="Z7" s="315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58" t="s">
        <v>2551</v>
      </c>
      <c r="Q8" s="3159"/>
      <c r="R8" s="769" t="s">
        <v>17</v>
      </c>
      <c r="S8" s="770">
        <f t="shared" si="0"/>
        <v>0</v>
      </c>
      <c r="T8" s="769" t="s">
        <v>17</v>
      </c>
      <c r="U8" s="770">
        <f t="shared" si="1"/>
        <v>0</v>
      </c>
      <c r="V8" s="769" t="s">
        <v>17</v>
      </c>
      <c r="W8" s="770">
        <f t="shared" si="2"/>
        <v>0</v>
      </c>
      <c r="X8" s="771"/>
      <c r="Y8" s="3158" t="s">
        <v>2551</v>
      </c>
      <c r="Z8" s="3159"/>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95" t="s">
        <v>2554</v>
      </c>
      <c r="Q9" s="1794" t="str">
        <f t="shared" ref="Q9:Q14" si="6">B9</f>
        <v>用途</v>
      </c>
      <c r="R9" s="769" t="s">
        <v>17</v>
      </c>
      <c r="S9" s="770">
        <f t="shared" si="0"/>
        <v>100</v>
      </c>
      <c r="T9" s="769" t="s">
        <v>17</v>
      </c>
      <c r="U9" s="770">
        <f t="shared" si="1"/>
        <v>100</v>
      </c>
      <c r="V9" s="769" t="s">
        <v>17</v>
      </c>
      <c r="W9" s="770">
        <f t="shared" si="2"/>
        <v>100</v>
      </c>
      <c r="X9" s="771"/>
      <c r="Y9" s="3031"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95"/>
      <c r="Q10" s="1794"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95"/>
      <c r="Q11" s="1794">
        <f t="shared" si="6"/>
        <v>111</v>
      </c>
      <c r="R11" s="769" t="s">
        <v>17</v>
      </c>
      <c r="S11" s="770">
        <f t="shared" si="0"/>
        <v>100</v>
      </c>
      <c r="T11" s="769" t="s">
        <v>17</v>
      </c>
      <c r="U11" s="770">
        <f t="shared" si="1"/>
        <v>100</v>
      </c>
      <c r="V11" s="769" t="s">
        <v>17</v>
      </c>
      <c r="W11" s="770">
        <f t="shared" si="2"/>
        <v>100</v>
      </c>
      <c r="X11" s="771"/>
      <c r="Y11" s="3031"/>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95"/>
      <c r="Q12" s="1794">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39"/>
      <c r="M13" s="1130"/>
      <c r="N13" s="1130"/>
      <c r="O13" s="1138"/>
      <c r="P13" s="3195"/>
      <c r="Q13" s="1794">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85.5">
      <c r="A14" s="439" t="s">
        <v>2558</v>
      </c>
      <c r="B14" s="68" t="s">
        <v>2708</v>
      </c>
      <c r="C14" s="2694"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8" t="s">
        <v>2559</v>
      </c>
      <c r="Q14" s="1809" t="str">
        <f t="shared" si="6"/>
        <v>交通便捷度</v>
      </c>
      <c r="R14" s="773" t="s">
        <v>17</v>
      </c>
      <c r="S14" s="774">
        <f t="shared" si="0"/>
        <v>100</v>
      </c>
      <c r="T14" s="773" t="s">
        <v>17</v>
      </c>
      <c r="U14" s="774">
        <f t="shared" si="1"/>
        <v>100</v>
      </c>
      <c r="V14" s="773" t="s">
        <v>17</v>
      </c>
      <c r="W14" s="774">
        <f t="shared" si="2"/>
        <v>100</v>
      </c>
      <c r="X14" s="1812"/>
      <c r="Y14" s="3188" t="s">
        <v>2559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89"/>
      <c r="Q15" s="1809"/>
      <c r="R15" s="773"/>
      <c r="S15" s="774"/>
      <c r="T15" s="773"/>
      <c r="U15" s="774"/>
      <c r="V15" s="773"/>
      <c r="W15" s="774"/>
      <c r="X15" s="1812"/>
      <c r="Y15" s="3189"/>
      <c r="Z15" s="1813"/>
      <c r="AA15" s="1810">
        <v>1</v>
      </c>
      <c r="AB15" s="1810">
        <v>1</v>
      </c>
      <c r="AC15" s="1810">
        <v>1</v>
      </c>
    </row>
    <row r="16" spans="1:29" ht="42.75">
      <c r="A16" s="427"/>
      <c r="B16" s="450" t="s">
        <v>2687</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89"/>
      <c r="Q16" s="1809" t="str">
        <f>B16</f>
        <v>公共配套设施</v>
      </c>
      <c r="R16" s="773" t="s">
        <v>17</v>
      </c>
      <c r="S16" s="774">
        <f>F16</f>
        <v>100</v>
      </c>
      <c r="T16" s="773" t="s">
        <v>17</v>
      </c>
      <c r="U16" s="774">
        <f>H16</f>
        <v>100</v>
      </c>
      <c r="V16" s="773" t="s">
        <v>17</v>
      </c>
      <c r="W16" s="774">
        <f>J16</f>
        <v>100</v>
      </c>
      <c r="X16" s="1812"/>
      <c r="Y16" s="3189"/>
      <c r="Z16" s="1813" t="str">
        <f>Q16</f>
        <v>公共配套设施</v>
      </c>
      <c r="AA16" s="1810">
        <f t="shared" si="3"/>
        <v>1</v>
      </c>
      <c r="AB16" s="1810">
        <f t="shared" si="4"/>
        <v>1</v>
      </c>
      <c r="AC16" s="1810">
        <f t="shared" si="5"/>
        <v>1</v>
      </c>
    </row>
    <row r="17" spans="1:29" ht="15">
      <c r="A17" s="427"/>
      <c r="B17" s="455"/>
      <c r="C17" s="2609"/>
      <c r="D17" s="447"/>
      <c r="E17" s="446"/>
      <c r="F17" s="448"/>
      <c r="G17" s="446"/>
      <c r="H17" s="447"/>
      <c r="I17" s="446"/>
      <c r="J17" s="447"/>
      <c r="K17" s="614"/>
      <c r="L17" s="1139"/>
      <c r="M17" s="1130"/>
      <c r="N17" s="1130"/>
      <c r="O17" s="1138"/>
      <c r="P17" s="3189"/>
      <c r="Q17" s="1809"/>
      <c r="R17" s="773"/>
      <c r="S17" s="774"/>
      <c r="T17" s="773"/>
      <c r="U17" s="774"/>
      <c r="V17" s="773"/>
      <c r="W17" s="774"/>
      <c r="X17" s="1812"/>
      <c r="Y17" s="3189"/>
      <c r="Z17" s="1813"/>
      <c r="AA17" s="1810">
        <v>1</v>
      </c>
      <c r="AB17" s="1810">
        <v>1</v>
      </c>
      <c r="AC17" s="1810">
        <v>1</v>
      </c>
    </row>
    <row r="18" spans="1:29" ht="28.5">
      <c r="A18" s="427"/>
      <c r="B18" s="1383" t="s">
        <v>2688</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89"/>
      <c r="Q18" s="1809" t="str">
        <f>B18</f>
        <v>基础设施水平</v>
      </c>
      <c r="R18" s="773" t="s">
        <v>17</v>
      </c>
      <c r="S18" s="774">
        <f>F18</f>
        <v>100</v>
      </c>
      <c r="T18" s="773" t="s">
        <v>17</v>
      </c>
      <c r="U18" s="774">
        <f>H18</f>
        <v>100</v>
      </c>
      <c r="V18" s="773" t="s">
        <v>17</v>
      </c>
      <c r="W18" s="774">
        <f>J18</f>
        <v>100</v>
      </c>
      <c r="X18" s="1812"/>
      <c r="Y18" s="3189"/>
      <c r="Z18" s="1813" t="str">
        <f>Q18</f>
        <v>基础设施水平</v>
      </c>
      <c r="AA18" s="1810">
        <f t="shared" ref="AA18" si="8">D18/F18</f>
        <v>1</v>
      </c>
      <c r="AB18" s="1810">
        <f t="shared" ref="AB18" si="9">D18/H18</f>
        <v>1</v>
      </c>
      <c r="AC18" s="1810">
        <f t="shared" ref="AC18" si="10">D18/J18</f>
        <v>1</v>
      </c>
    </row>
    <row r="19" spans="1:29" ht="15">
      <c r="A19" s="427"/>
      <c r="B19" s="1383"/>
      <c r="C19" s="2609"/>
      <c r="D19" s="449"/>
      <c r="E19" s="2609"/>
      <c r="F19" s="452"/>
      <c r="G19" s="2609"/>
      <c r="H19" s="447"/>
      <c r="I19" s="446"/>
      <c r="J19" s="447"/>
      <c r="K19" s="1382"/>
      <c r="L19" s="1139"/>
      <c r="M19" s="1130"/>
      <c r="N19" s="1130"/>
      <c r="O19" s="1138"/>
      <c r="P19" s="3189"/>
      <c r="Q19" s="1809"/>
      <c r="R19" s="773"/>
      <c r="S19" s="774"/>
      <c r="T19" s="773"/>
      <c r="U19" s="774"/>
      <c r="V19" s="773"/>
      <c r="W19" s="774"/>
      <c r="X19" s="1812"/>
      <c r="Y19" s="3189"/>
      <c r="Z19" s="1813"/>
      <c r="AA19" s="1810">
        <v>1</v>
      </c>
      <c r="AB19" s="1810">
        <v>1</v>
      </c>
      <c r="AC19" s="1810">
        <v>1</v>
      </c>
    </row>
    <row r="20" spans="1:29" ht="57">
      <c r="A20" s="427"/>
      <c r="B20" s="450" t="s">
        <v>2709</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89"/>
      <c r="Q20" s="1809" t="str">
        <f>B20</f>
        <v>自然及人文环境</v>
      </c>
      <c r="R20" s="773" t="s">
        <v>17</v>
      </c>
      <c r="S20" s="774">
        <f>F20</f>
        <v>100</v>
      </c>
      <c r="T20" s="773" t="s">
        <v>17</v>
      </c>
      <c r="U20" s="774">
        <f>H20</f>
        <v>100</v>
      </c>
      <c r="V20" s="773" t="s">
        <v>17</v>
      </c>
      <c r="W20" s="774">
        <f>J20</f>
        <v>100</v>
      </c>
      <c r="X20" s="1812"/>
      <c r="Y20" s="3189"/>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89"/>
      <c r="Q21" s="1809"/>
      <c r="R21" s="773"/>
      <c r="S21" s="774"/>
      <c r="T21" s="773"/>
      <c r="U21" s="774"/>
      <c r="V21" s="773"/>
      <c r="W21" s="774"/>
      <c r="X21" s="1812"/>
      <c r="Y21" s="3189"/>
      <c r="Z21" s="1813"/>
      <c r="AA21" s="1810">
        <v>1</v>
      </c>
      <c r="AB21" s="1810">
        <v>1</v>
      </c>
      <c r="AC21" s="1810">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89"/>
      <c r="Q22" s="1809" t="str">
        <f>B22</f>
        <v>楼层</v>
      </c>
      <c r="R22" s="773" t="s">
        <v>17</v>
      </c>
      <c r="S22" s="774">
        <f>F22</f>
        <v>100</v>
      </c>
      <c r="T22" s="773" t="s">
        <v>17</v>
      </c>
      <c r="U22" s="774">
        <f>H22</f>
        <v>100</v>
      </c>
      <c r="V22" s="773" t="s">
        <v>17</v>
      </c>
      <c r="W22" s="774">
        <f>J22</f>
        <v>100</v>
      </c>
      <c r="X22" s="1812"/>
      <c r="Y22" s="3189"/>
      <c r="Z22" s="1813" t="str">
        <f>Q22</f>
        <v>楼层</v>
      </c>
      <c r="AA22" s="1810">
        <f t="shared" si="3"/>
        <v>1</v>
      </c>
      <c r="AB22" s="1810">
        <f t="shared" si="4"/>
        <v>1</v>
      </c>
      <c r="AC22" s="1810">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89"/>
      <c r="Q23" s="1809">
        <f>B23</f>
        <v>111</v>
      </c>
      <c r="R23" s="773" t="s">
        <v>17</v>
      </c>
      <c r="S23" s="774">
        <f>F23</f>
        <v>100</v>
      </c>
      <c r="T23" s="773" t="s">
        <v>17</v>
      </c>
      <c r="U23" s="774">
        <f>H23</f>
        <v>100</v>
      </c>
      <c r="V23" s="773" t="s">
        <v>17</v>
      </c>
      <c r="W23" s="774">
        <f>J23</f>
        <v>100</v>
      </c>
      <c r="X23" s="1812"/>
      <c r="Y23" s="3189"/>
      <c r="Z23" s="1813">
        <f>Q23</f>
        <v>111</v>
      </c>
      <c r="AA23" s="1810">
        <f t="shared" si="3"/>
        <v>1</v>
      </c>
      <c r="AB23" s="1810">
        <f t="shared" si="4"/>
        <v>1</v>
      </c>
      <c r="AC23" s="1810">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89"/>
      <c r="Q24" s="1809">
        <f t="shared" ref="Q24:Q34" si="11">B24</f>
        <v>111</v>
      </c>
      <c r="R24" s="773" t="s">
        <v>17</v>
      </c>
      <c r="S24" s="774">
        <f>F24</f>
        <v>100</v>
      </c>
      <c r="T24" s="773" t="s">
        <v>17</v>
      </c>
      <c r="U24" s="774">
        <f>H24</f>
        <v>100</v>
      </c>
      <c r="V24" s="773" t="s">
        <v>17</v>
      </c>
      <c r="W24" s="774">
        <f>J24</f>
        <v>100</v>
      </c>
      <c r="X24" s="1812"/>
      <c r="Y24" s="3189"/>
      <c r="Z24" s="1813">
        <f>Q24</f>
        <v>111</v>
      </c>
      <c r="AA24" s="1810">
        <f t="shared" si="3"/>
        <v>1</v>
      </c>
      <c r="AB24" s="1810">
        <f t="shared" si="4"/>
        <v>1</v>
      </c>
      <c r="AC24" s="1810">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1"/>
      <c r="M25" s="1132"/>
      <c r="N25" s="1132"/>
      <c r="O25" s="1133"/>
      <c r="P25" s="3189"/>
      <c r="Q25" s="1794">
        <f t="shared" si="11"/>
        <v>111</v>
      </c>
      <c r="R25" s="769" t="s">
        <v>17</v>
      </c>
      <c r="S25" s="770">
        <f>F25</f>
        <v>100</v>
      </c>
      <c r="T25" s="769" t="s">
        <v>17</v>
      </c>
      <c r="U25" s="770">
        <f>H25</f>
        <v>100</v>
      </c>
      <c r="V25" s="769" t="s">
        <v>17</v>
      </c>
      <c r="W25" s="770">
        <f>J25</f>
        <v>100</v>
      </c>
      <c r="X25" s="771"/>
      <c r="Y25" s="3189"/>
      <c r="Z25" s="54">
        <f>Q25</f>
        <v>111</v>
      </c>
      <c r="AA25" s="1810">
        <f>D25/F25</f>
        <v>1</v>
      </c>
      <c r="AB25" s="1810">
        <f>D25/H25</f>
        <v>1</v>
      </c>
      <c r="AC25" s="1810">
        <f>D25/J25</f>
        <v>1</v>
      </c>
    </row>
    <row r="26" spans="1:29" ht="28.5">
      <c r="A26" s="465" t="s">
        <v>2562</v>
      </c>
      <c r="B26" s="70" t="s">
        <v>2713</v>
      </c>
      <c r="C26" s="2680"/>
      <c r="D26" s="466">
        <v>100</v>
      </c>
      <c r="E26" s="2680"/>
      <c r="F26" s="666">
        <f>SUMIF(77:77,E26,78:78)-SUMIF(77:77,C26,78:78)+100</f>
        <v>100</v>
      </c>
      <c r="G26" s="2680"/>
      <c r="H26" s="466">
        <f>SUMIF(77:77,G26,78:78)-SUMIF(77:77,C26,78:78)+100</f>
        <v>100</v>
      </c>
      <c r="I26" s="2680"/>
      <c r="J26" s="466">
        <f>SUMIF(77:77,I26,78:78)-SUMIF(77:77,C26,78:78)+100</f>
        <v>100</v>
      </c>
      <c r="K26" s="611"/>
      <c r="L26" s="1139"/>
      <c r="M26" s="1130"/>
      <c r="N26" s="1130"/>
      <c r="O26" s="1138"/>
      <c r="P26" s="3246" t="s">
        <v>2564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3" t="s">
        <v>2564</v>
      </c>
      <c r="Z26" s="1813" t="str">
        <f t="shared" ref="Z26:Z34" si="15">Q26</f>
        <v>公共部分装修</v>
      </c>
      <c r="AA26" s="1810">
        <f t="shared" si="3"/>
        <v>1</v>
      </c>
      <c r="AB26" s="1810">
        <f t="shared" si="4"/>
        <v>1</v>
      </c>
      <c r="AC26" s="1810">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93"/>
      <c r="Q27" s="775" t="str">
        <f t="shared" si="11"/>
        <v>成新率</v>
      </c>
      <c r="R27" s="776" t="s">
        <v>17</v>
      </c>
      <c r="S27" s="777" t="e">
        <f t="shared" si="12"/>
        <v>#N/A</v>
      </c>
      <c r="T27" s="776" t="s">
        <v>17</v>
      </c>
      <c r="U27" s="777" t="e">
        <f t="shared" si="13"/>
        <v>#N/A</v>
      </c>
      <c r="V27" s="776" t="s">
        <v>17</v>
      </c>
      <c r="W27" s="777" t="e">
        <f t="shared" si="14"/>
        <v>#N/A</v>
      </c>
      <c r="X27" s="778"/>
      <c r="Y27" s="3193"/>
      <c r="Z27" s="779" t="str">
        <f t="shared" si="15"/>
        <v>成新率</v>
      </c>
      <c r="AA27" s="1810" t="e">
        <f t="shared" si="3"/>
        <v>#N/A</v>
      </c>
      <c r="AB27" s="1810" t="e">
        <f t="shared" si="4"/>
        <v>#N/A</v>
      </c>
      <c r="AC27" s="1810"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93"/>
      <c r="Q28" s="1809" t="str">
        <f t="shared" si="11"/>
        <v>物业等级</v>
      </c>
      <c r="R28" s="773" t="s">
        <v>17</v>
      </c>
      <c r="S28" s="774">
        <f t="shared" si="12"/>
        <v>100</v>
      </c>
      <c r="T28" s="773" t="s">
        <v>17</v>
      </c>
      <c r="U28" s="774">
        <f t="shared" si="13"/>
        <v>100</v>
      </c>
      <c r="V28" s="773" t="s">
        <v>17</v>
      </c>
      <c r="W28" s="774">
        <f t="shared" si="14"/>
        <v>100</v>
      </c>
      <c r="X28" s="1812"/>
      <c r="Y28" s="3193"/>
      <c r="Z28" s="1813" t="str">
        <f t="shared" si="15"/>
        <v>物业等级</v>
      </c>
      <c r="AA28" s="1810">
        <f t="shared" si="3"/>
        <v>1</v>
      </c>
      <c r="AB28" s="1810">
        <f t="shared" si="4"/>
        <v>1</v>
      </c>
      <c r="AC28" s="1810">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93"/>
      <c r="Q29" s="1809" t="str">
        <f t="shared" si="11"/>
        <v>有无电梯</v>
      </c>
      <c r="R29" s="773" t="s">
        <v>17</v>
      </c>
      <c r="S29" s="774">
        <f t="shared" si="12"/>
        <v>100</v>
      </c>
      <c r="T29" s="773" t="s">
        <v>17</v>
      </c>
      <c r="U29" s="774">
        <f t="shared" si="13"/>
        <v>100</v>
      </c>
      <c r="V29" s="773" t="s">
        <v>17</v>
      </c>
      <c r="W29" s="774">
        <f t="shared" si="14"/>
        <v>100</v>
      </c>
      <c r="X29" s="1812"/>
      <c r="Y29" s="3193"/>
      <c r="Z29" s="1813" t="str">
        <f t="shared" si="15"/>
        <v>有无电梯</v>
      </c>
      <c r="AA29" s="1810">
        <f t="shared" si="3"/>
        <v>1</v>
      </c>
      <c r="AB29" s="1810">
        <f t="shared" si="4"/>
        <v>1</v>
      </c>
      <c r="AC29" s="1810">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93"/>
      <c r="Q30" s="1809" t="str">
        <f t="shared" si="11"/>
        <v>建筑面积</v>
      </c>
      <c r="R30" s="773" t="s">
        <v>17</v>
      </c>
      <c r="S30" s="774" t="e">
        <f t="shared" si="12"/>
        <v>#N/A</v>
      </c>
      <c r="T30" s="773" t="s">
        <v>17</v>
      </c>
      <c r="U30" s="774" t="e">
        <f t="shared" si="13"/>
        <v>#N/A</v>
      </c>
      <c r="V30" s="773" t="s">
        <v>17</v>
      </c>
      <c r="W30" s="774" t="e">
        <f t="shared" si="14"/>
        <v>#N/A</v>
      </c>
      <c r="X30" s="1812"/>
      <c r="Y30" s="3193"/>
      <c r="Z30" s="1813" t="str">
        <f t="shared" si="15"/>
        <v>建筑面积</v>
      </c>
      <c r="AA30" s="1810" t="e">
        <f t="shared" si="3"/>
        <v>#N/A</v>
      </c>
      <c r="AB30" s="1810" t="e">
        <f t="shared" si="4"/>
        <v>#N/A</v>
      </c>
      <c r="AC30" s="1810"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93"/>
      <c r="Q31" s="1794" t="str">
        <f t="shared" si="11"/>
        <v>是否封闭</v>
      </c>
      <c r="R31" s="769" t="s">
        <v>17</v>
      </c>
      <c r="S31" s="770">
        <f t="shared" si="12"/>
        <v>100</v>
      </c>
      <c r="T31" s="769" t="s">
        <v>17</v>
      </c>
      <c r="U31" s="770">
        <f t="shared" si="13"/>
        <v>100</v>
      </c>
      <c r="V31" s="769" t="s">
        <v>17</v>
      </c>
      <c r="W31" s="770">
        <f t="shared" si="14"/>
        <v>100</v>
      </c>
      <c r="X31" s="771"/>
      <c r="Y31" s="3193"/>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93" t="s">
        <v>2564</v>
      </c>
      <c r="Q32" s="1809">
        <f t="shared" si="11"/>
        <v>111</v>
      </c>
      <c r="R32" s="773" t="s">
        <v>17</v>
      </c>
      <c r="S32" s="774">
        <f t="shared" si="12"/>
        <v>100</v>
      </c>
      <c r="T32" s="773" t="s">
        <v>17</v>
      </c>
      <c r="U32" s="774">
        <f t="shared" si="13"/>
        <v>100</v>
      </c>
      <c r="V32" s="773" t="s">
        <v>17</v>
      </c>
      <c r="W32" s="774">
        <f t="shared" si="14"/>
        <v>100</v>
      </c>
      <c r="X32" s="1812"/>
      <c r="Y32" s="3193" t="s">
        <v>2564</v>
      </c>
      <c r="Z32" s="1813">
        <f t="shared" si="15"/>
        <v>111</v>
      </c>
      <c r="AA32" s="1810">
        <f t="shared" si="3"/>
        <v>1</v>
      </c>
      <c r="AB32" s="1810">
        <f t="shared" si="4"/>
        <v>1</v>
      </c>
      <c r="AC32" s="1810">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93"/>
      <c r="Q33" s="1809">
        <f t="shared" si="11"/>
        <v>111</v>
      </c>
      <c r="R33" s="773" t="s">
        <v>17</v>
      </c>
      <c r="S33" s="774">
        <f t="shared" si="12"/>
        <v>100</v>
      </c>
      <c r="T33" s="773" t="s">
        <v>17</v>
      </c>
      <c r="U33" s="774">
        <f t="shared" si="13"/>
        <v>100</v>
      </c>
      <c r="V33" s="773" t="s">
        <v>17</v>
      </c>
      <c r="W33" s="774">
        <f t="shared" si="14"/>
        <v>100</v>
      </c>
      <c r="X33" s="1812"/>
      <c r="Y33" s="3193"/>
      <c r="Z33" s="1813">
        <f t="shared" si="15"/>
        <v>111</v>
      </c>
      <c r="AA33" s="1810">
        <f t="shared" si="3"/>
        <v>1</v>
      </c>
      <c r="AB33" s="1810">
        <f t="shared" si="4"/>
        <v>1</v>
      </c>
      <c r="AC33" s="1810">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39"/>
      <c r="M34" s="1130"/>
      <c r="N34" s="1130"/>
      <c r="O34" s="1138"/>
      <c r="P34" s="3193"/>
      <c r="Q34" s="1809">
        <f t="shared" si="11"/>
        <v>111</v>
      </c>
      <c r="R34" s="773" t="s">
        <v>17</v>
      </c>
      <c r="S34" s="774">
        <f t="shared" si="12"/>
        <v>100</v>
      </c>
      <c r="T34" s="773" t="s">
        <v>17</v>
      </c>
      <c r="U34" s="774">
        <f t="shared" si="13"/>
        <v>100</v>
      </c>
      <c r="V34" s="773" t="s">
        <v>17</v>
      </c>
      <c r="W34" s="774">
        <f t="shared" si="14"/>
        <v>100</v>
      </c>
      <c r="X34" s="1812"/>
      <c r="Y34" s="3193"/>
      <c r="Z34" s="1813">
        <f t="shared" si="15"/>
        <v>111</v>
      </c>
      <c r="AA34" s="1810">
        <f t="shared" si="3"/>
        <v>1</v>
      </c>
      <c r="AB34" s="1810">
        <f t="shared" si="4"/>
        <v>1</v>
      </c>
      <c r="AC34" s="1810">
        <f t="shared" si="5"/>
        <v>1</v>
      </c>
    </row>
    <row r="35" spans="1:29" ht="15">
      <c r="A35" s="478" t="s">
        <v>2576</v>
      </c>
      <c r="B35" s="479"/>
      <c r="C35" s="1406" t="s">
        <v>1</v>
      </c>
      <c r="D35" s="1407"/>
      <c r="E35" s="1408"/>
      <c r="F35" s="1409"/>
      <c r="G35" s="1410"/>
      <c r="H35" s="1411"/>
      <c r="I35" s="1408"/>
      <c r="J35" s="1411"/>
      <c r="K35" s="782"/>
      <c r="L35" s="1142"/>
      <c r="M35" s="1143"/>
      <c r="N35" s="1130"/>
      <c r="O35" s="1143"/>
      <c r="P35" s="3195" t="str">
        <f>A35</f>
        <v>成交单价（元/平方米）</v>
      </c>
      <c r="Q35" s="3195"/>
      <c r="R35" s="3196">
        <f>E35</f>
        <v>0</v>
      </c>
      <c r="S35" s="3196"/>
      <c r="T35" s="3196">
        <f>G35</f>
        <v>0</v>
      </c>
      <c r="U35" s="3196"/>
      <c r="V35" s="3196">
        <f>I35</f>
        <v>0</v>
      </c>
      <c r="W35" s="3196"/>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197" t="str">
        <f>A37</f>
        <v>估价对象XX用房的比较价值（楼面单价，元/平方米）</v>
      </c>
      <c r="Q37" s="3198"/>
      <c r="R37" s="3199" t="e">
        <f>IF(F1="售价",ROUND(AVERAGE(R36:V36),0),ROUND(AVERAGE(R36:V36),1))</f>
        <v>#DIV/0!</v>
      </c>
      <c r="S37" s="3199"/>
      <c r="T37" s="3199"/>
      <c r="U37" s="3199"/>
      <c r="V37" s="3199"/>
      <c r="W37" s="319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2728</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2740</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173" t="s">
        <v>2645</v>
      </c>
      <c r="D4" s="3174"/>
      <c r="E4" s="3175" t="s">
        <v>2646</v>
      </c>
      <c r="F4" s="3176"/>
      <c r="G4" s="3173" t="s">
        <v>2647</v>
      </c>
      <c r="H4" s="3174"/>
      <c r="I4" s="3173" t="s">
        <v>2648</v>
      </c>
      <c r="J4" s="3174"/>
      <c r="K4" s="609" t="s">
        <v>2649</v>
      </c>
      <c r="L4" s="1129"/>
      <c r="M4" s="1130"/>
      <c r="N4" s="1130"/>
      <c r="O4" s="1130"/>
      <c r="P4" s="3177" t="s">
        <v>2650</v>
      </c>
      <c r="Q4" s="3178"/>
      <c r="R4" s="3160" t="s">
        <v>2646</v>
      </c>
      <c r="S4" s="3161"/>
      <c r="T4" s="3160" t="s">
        <v>2647</v>
      </c>
      <c r="U4" s="3161"/>
      <c r="V4" s="3157" t="s">
        <v>2648</v>
      </c>
      <c r="W4" s="3157"/>
      <c r="X4" s="1812"/>
      <c r="Y4" s="3160" t="s">
        <v>2650</v>
      </c>
      <c r="Z4" s="3161"/>
      <c r="AA4" s="3154" t="s">
        <v>2646</v>
      </c>
      <c r="AB4" s="3155" t="s">
        <v>2647</v>
      </c>
      <c r="AC4" s="3154" t="s">
        <v>2648</v>
      </c>
    </row>
    <row r="5" spans="1:30" ht="15">
      <c r="A5" s="403"/>
      <c r="B5" s="404"/>
      <c r="C5" s="3166" t="s">
        <v>2541</v>
      </c>
      <c r="D5" s="3167"/>
      <c r="E5" s="3164" t="s">
        <v>2542</v>
      </c>
      <c r="F5" s="3165"/>
      <c r="G5" s="3166" t="s">
        <v>2543</v>
      </c>
      <c r="H5" s="3167"/>
      <c r="I5" s="3166" t="s">
        <v>2544</v>
      </c>
      <c r="J5" s="3167"/>
      <c r="K5" s="609"/>
      <c r="L5" s="1129"/>
      <c r="M5" s="1130"/>
      <c r="N5" s="1130"/>
      <c r="O5" s="1130"/>
      <c r="P5" s="3179"/>
      <c r="Q5" s="3180"/>
      <c r="R5" s="3162"/>
      <c r="S5" s="3163"/>
      <c r="T5" s="3162"/>
      <c r="U5" s="3163"/>
      <c r="V5" s="3157"/>
      <c r="W5" s="3157"/>
      <c r="X5" s="1812"/>
      <c r="Y5" s="3162"/>
      <c r="Z5" s="3163"/>
      <c r="AA5" s="3155"/>
      <c r="AB5" s="3155"/>
      <c r="AC5" s="3155"/>
    </row>
    <row r="6" spans="1:30" ht="15.75" thickBot="1">
      <c r="A6" s="405"/>
      <c r="B6" s="406"/>
      <c r="C6" s="3168" t="s">
        <v>2545</v>
      </c>
      <c r="D6" s="3169"/>
      <c r="E6" s="3170" t="s">
        <v>2545</v>
      </c>
      <c r="F6" s="3171"/>
      <c r="G6" s="3168" t="s">
        <v>2545</v>
      </c>
      <c r="H6" s="3169"/>
      <c r="I6" s="3168" t="s">
        <v>2545</v>
      </c>
      <c r="J6" s="3169"/>
      <c r="K6" s="609" t="s">
        <v>2546</v>
      </c>
      <c r="L6" s="1129"/>
      <c r="M6" s="1130"/>
      <c r="N6" s="1130"/>
      <c r="O6" s="1130"/>
      <c r="P6" s="3181"/>
      <c r="Q6" s="3182"/>
      <c r="R6" s="3162"/>
      <c r="S6" s="3163"/>
      <c r="T6" s="3183"/>
      <c r="U6" s="3184"/>
      <c r="V6" s="3157"/>
      <c r="W6" s="3157"/>
      <c r="X6" s="1812"/>
      <c r="Y6" s="3183"/>
      <c r="Z6" s="3184"/>
      <c r="AA6" s="3156"/>
      <c r="AB6" s="3156"/>
      <c r="AC6" s="3156"/>
    </row>
    <row r="7" spans="1:30" s="116" customFormat="1" ht="15.75" thickBot="1">
      <c r="A7" s="407" t="s">
        <v>2547</v>
      </c>
      <c r="B7" s="408"/>
      <c r="C7" s="409">
        <f>'数据-取费表'!B2</f>
        <v>43969</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1"/>
      <c r="M7" s="1132"/>
      <c r="N7" s="1132"/>
      <c r="O7" s="1132"/>
      <c r="P7" s="3158" t="s">
        <v>2548</v>
      </c>
      <c r="Q7" s="3185"/>
      <c r="R7" s="769" t="s">
        <v>17</v>
      </c>
      <c r="S7" s="770">
        <f t="shared" ref="S7:S15" si="0">F7</f>
        <v>0</v>
      </c>
      <c r="T7" s="769" t="s">
        <v>17</v>
      </c>
      <c r="U7" s="770">
        <f t="shared" ref="U7:U15" si="1">H7</f>
        <v>0</v>
      </c>
      <c r="V7" s="769" t="s">
        <v>17</v>
      </c>
      <c r="W7" s="770">
        <f t="shared" ref="W7:W15" si="2">J7</f>
        <v>0</v>
      </c>
      <c r="X7" s="771"/>
      <c r="Y7" s="3158" t="s">
        <v>2548</v>
      </c>
      <c r="Z7" s="3159"/>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58" t="s">
        <v>2551</v>
      </c>
      <c r="Q8" s="3159"/>
      <c r="R8" s="769" t="s">
        <v>17</v>
      </c>
      <c r="S8" s="770">
        <f t="shared" si="0"/>
        <v>0</v>
      </c>
      <c r="T8" s="769" t="s">
        <v>17</v>
      </c>
      <c r="U8" s="770">
        <f t="shared" si="1"/>
        <v>0</v>
      </c>
      <c r="V8" s="769" t="s">
        <v>17</v>
      </c>
      <c r="W8" s="770">
        <f t="shared" si="2"/>
        <v>0</v>
      </c>
      <c r="X8" s="771"/>
      <c r="Y8" s="3158" t="s">
        <v>2551</v>
      </c>
      <c r="Z8" s="3159"/>
      <c r="AA8" s="772" t="e">
        <f t="shared" ref="AA8:AA45" si="3">D8/F8</f>
        <v>#DIV/0!</v>
      </c>
      <c r="AB8" s="772" t="e">
        <f t="shared" ref="AB8:AB45" si="4">D8/H8</f>
        <v>#DIV/0!</v>
      </c>
      <c r="AC8" s="772" t="e">
        <f t="shared" ref="AC8:AC45" si="5">D8/J8</f>
        <v>#DIV/0!</v>
      </c>
    </row>
    <row r="9" spans="1:30" s="116" customFormat="1">
      <c r="A9" s="414" t="s">
        <v>2552</v>
      </c>
      <c r="B9" s="70" t="s">
        <v>2553</v>
      </c>
      <c r="C9" s="2700"/>
      <c r="D9" s="134">
        <v>100</v>
      </c>
      <c r="E9" s="2700"/>
      <c r="F9" s="134">
        <f>SUMIF(75:75,E9,76:76)-SUMIF(75:75,C9,76:76)+100</f>
        <v>100</v>
      </c>
      <c r="G9" s="2700"/>
      <c r="H9" s="134">
        <f>SUMIF(75:75,G9,76:76)-SUMIF(75:75,C9,76:76)+100</f>
        <v>100</v>
      </c>
      <c r="I9" s="2700"/>
      <c r="J9" s="134">
        <f>SUMIF(75:75,I9,76:76)-SUMIF(75:75,C9,76:76)+100</f>
        <v>100</v>
      </c>
      <c r="K9" s="610"/>
      <c r="L9" s="1131"/>
      <c r="M9" s="1132"/>
      <c r="N9" s="1132"/>
      <c r="O9" s="1133"/>
      <c r="P9" s="3195" t="s">
        <v>2554</v>
      </c>
      <c r="Q9" s="1794" t="str">
        <f t="shared" ref="Q9:Q15" si="6">B9</f>
        <v>用途</v>
      </c>
      <c r="R9" s="769" t="s">
        <v>17</v>
      </c>
      <c r="S9" s="770">
        <f t="shared" si="0"/>
        <v>100</v>
      </c>
      <c r="T9" s="769" t="s">
        <v>17</v>
      </c>
      <c r="U9" s="770">
        <f t="shared" si="1"/>
        <v>100</v>
      </c>
      <c r="V9" s="769" t="s">
        <v>17</v>
      </c>
      <c r="W9" s="770">
        <f t="shared" si="2"/>
        <v>100</v>
      </c>
      <c r="X9" s="771"/>
      <c r="Y9" s="3031" t="s">
        <v>2555</v>
      </c>
      <c r="Z9" s="54"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111</v>
      </c>
      <c r="G10" s="462"/>
      <c r="H10" s="135">
        <f>ROUND(100/'数据-取费表'!G16,0)</f>
        <v>111</v>
      </c>
      <c r="I10" s="462"/>
      <c r="J10" s="135">
        <f>ROUND(100/'数据-取费表'!G16,0)</f>
        <v>111</v>
      </c>
      <c r="K10" s="671"/>
      <c r="L10" s="1134"/>
      <c r="M10" s="1135"/>
      <c r="N10" s="1135"/>
      <c r="O10" s="1136"/>
      <c r="P10" s="3195"/>
      <c r="Q10" s="1794" t="str">
        <f t="shared" si="6"/>
        <v>土地使用年限（年）</v>
      </c>
      <c r="R10" s="769" t="s">
        <v>17</v>
      </c>
      <c r="S10" s="770">
        <f t="shared" si="0"/>
        <v>111</v>
      </c>
      <c r="T10" s="769" t="s">
        <v>17</v>
      </c>
      <c r="U10" s="770">
        <f t="shared" si="1"/>
        <v>111</v>
      </c>
      <c r="V10" s="769" t="s">
        <v>17</v>
      </c>
      <c r="W10" s="770">
        <f t="shared" si="2"/>
        <v>111</v>
      </c>
      <c r="X10" s="771"/>
      <c r="Y10" s="3031"/>
      <c r="Z10" s="54" t="str">
        <f t="shared" si="7"/>
        <v>土地使用年限（年）</v>
      </c>
      <c r="AA10" s="772">
        <f t="shared" si="3"/>
        <v>0.90090090090090091</v>
      </c>
      <c r="AB10" s="772">
        <f t="shared" si="4"/>
        <v>0.90090090090090091</v>
      </c>
      <c r="AC10" s="772">
        <f t="shared" si="5"/>
        <v>0.90090090090090091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95"/>
      <c r="Q11" s="1794"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30" s="116" customFormat="1" ht="15">
      <c r="A12" s="430"/>
      <c r="B12" s="2601"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95"/>
      <c r="Q12" s="1794" t="str">
        <f t="shared" si="6"/>
        <v>配建</v>
      </c>
      <c r="R12" s="769" t="s">
        <v>17</v>
      </c>
      <c r="S12" s="770">
        <f t="shared" si="0"/>
        <v>100</v>
      </c>
      <c r="T12" s="769" t="s">
        <v>17</v>
      </c>
      <c r="U12" s="770">
        <f t="shared" si="1"/>
        <v>100</v>
      </c>
      <c r="V12" s="769" t="s">
        <v>17</v>
      </c>
      <c r="W12" s="770">
        <f t="shared" si="2"/>
        <v>100</v>
      </c>
      <c r="X12" s="771"/>
      <c r="Y12" s="3031"/>
      <c r="Z12" s="54"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95"/>
      <c r="Q13" s="1794">
        <f t="shared" si="6"/>
        <v>111</v>
      </c>
      <c r="R13" s="769" t="s">
        <v>17</v>
      </c>
      <c r="S13" s="770">
        <f t="shared" si="0"/>
        <v>100</v>
      </c>
      <c r="T13" s="769" t="s">
        <v>17</v>
      </c>
      <c r="U13" s="770">
        <f t="shared" si="1"/>
        <v>100</v>
      </c>
      <c r="V13" s="769" t="s">
        <v>17</v>
      </c>
      <c r="W13" s="770">
        <f t="shared" si="2"/>
        <v>100</v>
      </c>
      <c r="X13" s="771"/>
      <c r="Y13" s="3031"/>
      <c r="Z13" s="54">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95"/>
      <c r="Q14" s="1794">
        <f t="shared" si="6"/>
        <v>111</v>
      </c>
      <c r="R14" s="769" t="s">
        <v>17</v>
      </c>
      <c r="S14" s="770">
        <f t="shared" si="0"/>
        <v>100</v>
      </c>
      <c r="T14" s="769" t="s">
        <v>17</v>
      </c>
      <c r="U14" s="770">
        <f t="shared" si="1"/>
        <v>100</v>
      </c>
      <c r="V14" s="769" t="s">
        <v>17</v>
      </c>
      <c r="W14" s="770">
        <f t="shared" si="2"/>
        <v>100</v>
      </c>
      <c r="X14" s="771"/>
      <c r="Y14" s="3031"/>
      <c r="Z14" s="54">
        <f t="shared" si="7"/>
        <v>111</v>
      </c>
      <c r="AA14" s="772">
        <f>D14/F14</f>
        <v>1</v>
      </c>
      <c r="AB14" s="772">
        <f>D14/H14</f>
        <v>1</v>
      </c>
      <c r="AC14" s="772">
        <f>D14/J14</f>
        <v>1</v>
      </c>
    </row>
    <row r="15" spans="1:30" ht="99.75">
      <c r="A15" s="439" t="s">
        <v>2558</v>
      </c>
      <c r="B15" s="68" t="s">
        <v>2083</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8" t="s">
        <v>2559</v>
      </c>
      <c r="Q15" s="1809" t="str">
        <f t="shared" si="6"/>
        <v>居住社区成熟度</v>
      </c>
      <c r="R15" s="773" t="s">
        <v>17</v>
      </c>
      <c r="S15" s="774">
        <f t="shared" si="0"/>
        <v>100</v>
      </c>
      <c r="T15" s="773" t="s">
        <v>17</v>
      </c>
      <c r="U15" s="774">
        <f t="shared" si="1"/>
        <v>100</v>
      </c>
      <c r="V15" s="773" t="s">
        <v>17</v>
      </c>
      <c r="W15" s="774">
        <f t="shared" si="2"/>
        <v>100</v>
      </c>
      <c r="X15" s="1812"/>
      <c r="Y15" s="3188" t="s">
        <v>2559</v>
      </c>
      <c r="Z15" s="1813" t="str">
        <f t="shared" si="7"/>
        <v>居住社区成熟度</v>
      </c>
      <c r="AA15" s="1810">
        <f t="shared" si="3"/>
        <v>1</v>
      </c>
      <c r="AB15" s="1810">
        <f t="shared" si="4"/>
        <v>1</v>
      </c>
      <c r="AC15" s="1810">
        <f t="shared" si="5"/>
        <v>1</v>
      </c>
    </row>
    <row r="16" spans="1:30" ht="15">
      <c r="A16" s="427"/>
      <c r="B16" s="445"/>
      <c r="C16" s="446"/>
      <c r="D16" s="447"/>
      <c r="E16" s="2606"/>
      <c r="F16" s="447"/>
      <c r="G16" s="2606"/>
      <c r="H16" s="449"/>
      <c r="I16" s="2605"/>
      <c r="J16" s="447"/>
      <c r="K16" s="671"/>
      <c r="L16" s="1139"/>
      <c r="M16" s="1130"/>
      <c r="N16" s="1130"/>
      <c r="O16" s="1138"/>
      <c r="P16" s="3189"/>
      <c r="Q16" s="1809"/>
      <c r="R16" s="773"/>
      <c r="S16" s="774"/>
      <c r="T16" s="773"/>
      <c r="U16" s="774"/>
      <c r="V16" s="773"/>
      <c r="W16" s="774"/>
      <c r="X16" s="1812"/>
      <c r="Y16" s="3189"/>
      <c r="Z16" s="1813"/>
      <c r="AA16" s="1810">
        <v>1</v>
      </c>
      <c r="AB16" s="1810">
        <v>1</v>
      </c>
      <c r="AC16" s="1810">
        <v>1</v>
      </c>
    </row>
    <row r="17" spans="1:29" ht="71.25">
      <c r="A17" s="427"/>
      <c r="B17" s="450" t="s">
        <v>2652</v>
      </c>
      <c r="C17" s="266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89"/>
      <c r="Q17" s="1809" t="str">
        <f>B17</f>
        <v>商业繁华度</v>
      </c>
      <c r="R17" s="773" t="s">
        <v>17</v>
      </c>
      <c r="S17" s="774">
        <f>F17</f>
        <v>100</v>
      </c>
      <c r="T17" s="773" t="s">
        <v>17</v>
      </c>
      <c r="U17" s="774">
        <f>H17</f>
        <v>100</v>
      </c>
      <c r="V17" s="773" t="s">
        <v>17</v>
      </c>
      <c r="W17" s="774">
        <f>J17</f>
        <v>100</v>
      </c>
      <c r="X17" s="1812"/>
      <c r="Y17" s="3189"/>
      <c r="Z17" s="1813" t="str">
        <f>Q17</f>
        <v>商业繁华度</v>
      </c>
      <c r="AA17" s="1810">
        <f t="shared" si="3"/>
        <v>1</v>
      </c>
      <c r="AB17" s="1810">
        <f t="shared" si="4"/>
        <v>1</v>
      </c>
      <c r="AC17" s="1810">
        <f t="shared" si="5"/>
        <v>1</v>
      </c>
    </row>
    <row r="18" spans="1:29" ht="15">
      <c r="A18" s="427"/>
      <c r="B18" s="455"/>
      <c r="C18" s="2609"/>
      <c r="D18" s="449"/>
      <c r="E18" s="2611"/>
      <c r="F18" s="449"/>
      <c r="G18" s="2611"/>
      <c r="H18" s="447"/>
      <c r="I18" s="2610"/>
      <c r="J18" s="447"/>
      <c r="K18" s="671"/>
      <c r="L18" s="1139"/>
      <c r="M18" s="1130"/>
      <c r="N18" s="1130"/>
      <c r="O18" s="1138"/>
      <c r="P18" s="3189"/>
      <c r="Q18" s="1809"/>
      <c r="R18" s="773"/>
      <c r="S18" s="774"/>
      <c r="T18" s="773"/>
      <c r="U18" s="774"/>
      <c r="V18" s="773"/>
      <c r="W18" s="774"/>
      <c r="X18" s="1812"/>
      <c r="Y18" s="3189"/>
      <c r="Z18" s="1813"/>
      <c r="AA18" s="1810">
        <v>1</v>
      </c>
      <c r="AB18" s="1810">
        <v>1</v>
      </c>
      <c r="AC18" s="1810">
        <v>1</v>
      </c>
    </row>
    <row r="19" spans="1:29" ht="71.25">
      <c r="A19" s="427"/>
      <c r="B19" s="450" t="s">
        <v>2686</v>
      </c>
      <c r="C19" s="2665"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89"/>
      <c r="Q19" s="1809" t="str">
        <f>B19</f>
        <v>办公集聚程度</v>
      </c>
      <c r="R19" s="773" t="s">
        <v>17</v>
      </c>
      <c r="S19" s="774">
        <f>F19</f>
        <v>100</v>
      </c>
      <c r="T19" s="773" t="s">
        <v>17</v>
      </c>
      <c r="U19" s="774">
        <f>H19</f>
        <v>100</v>
      </c>
      <c r="V19" s="773" t="s">
        <v>17</v>
      </c>
      <c r="W19" s="774">
        <f>J19</f>
        <v>100</v>
      </c>
      <c r="X19" s="1812"/>
      <c r="Y19" s="3189"/>
      <c r="Z19" s="1813" t="str">
        <f>Q19</f>
        <v>办公集聚程度</v>
      </c>
      <c r="AA19" s="1810">
        <f t="shared" si="3"/>
        <v>1</v>
      </c>
      <c r="AB19" s="1810">
        <f t="shared" si="4"/>
        <v>1</v>
      </c>
      <c r="AC19" s="1810">
        <f t="shared" si="5"/>
        <v>1</v>
      </c>
    </row>
    <row r="20" spans="1:29" ht="15">
      <c r="A20" s="427"/>
      <c r="B20" s="455"/>
      <c r="C20" s="446"/>
      <c r="D20" s="447"/>
      <c r="E20" s="2606"/>
      <c r="F20" s="447"/>
      <c r="G20" s="2606"/>
      <c r="H20" s="447"/>
      <c r="I20" s="2605"/>
      <c r="J20" s="447"/>
      <c r="K20" s="671"/>
      <c r="L20" s="1139"/>
      <c r="M20" s="1130"/>
      <c r="N20" s="1130"/>
      <c r="O20" s="1138"/>
      <c r="P20" s="3189"/>
      <c r="Q20" s="1809"/>
      <c r="R20" s="773"/>
      <c r="S20" s="774"/>
      <c r="T20" s="773"/>
      <c r="U20" s="774"/>
      <c r="V20" s="773"/>
      <c r="W20" s="774"/>
      <c r="X20" s="1812"/>
      <c r="Y20" s="3189"/>
      <c r="Z20" s="1813"/>
      <c r="AA20" s="1810">
        <v>1</v>
      </c>
      <c r="AB20" s="1810">
        <v>1</v>
      </c>
      <c r="AC20" s="1810">
        <v>1</v>
      </c>
    </row>
    <row r="21" spans="1:29" ht="85.5">
      <c r="A21" s="427"/>
      <c r="B21" s="450" t="s">
        <v>2708</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89"/>
      <c r="Q21" s="1809" t="str">
        <f>B21</f>
        <v>交通便捷度</v>
      </c>
      <c r="R21" s="773" t="s">
        <v>17</v>
      </c>
      <c r="S21" s="774">
        <f>F21</f>
        <v>100</v>
      </c>
      <c r="T21" s="773" t="s">
        <v>17</v>
      </c>
      <c r="U21" s="774">
        <f>H21</f>
        <v>100</v>
      </c>
      <c r="V21" s="773" t="s">
        <v>17</v>
      </c>
      <c r="W21" s="774">
        <f>J21</f>
        <v>100</v>
      </c>
      <c r="X21" s="1812"/>
      <c r="Y21" s="3189"/>
      <c r="Z21" s="1813" t="str">
        <f>Q21</f>
        <v>交通便捷度</v>
      </c>
      <c r="AA21" s="1810">
        <f t="shared" si="3"/>
        <v>1</v>
      </c>
      <c r="AB21" s="1810">
        <f t="shared" si="4"/>
        <v>1</v>
      </c>
      <c r="AC21" s="1810">
        <f t="shared" si="5"/>
        <v>1</v>
      </c>
    </row>
    <row r="22" spans="1:29" ht="15">
      <c r="A22" s="427"/>
      <c r="B22" s="1383"/>
      <c r="C22" s="446"/>
      <c r="D22" s="449"/>
      <c r="E22" s="2606"/>
      <c r="F22" s="447"/>
      <c r="G22" s="2606"/>
      <c r="H22" s="447"/>
      <c r="I22" s="2605"/>
      <c r="J22" s="447"/>
      <c r="K22" s="671"/>
      <c r="L22" s="1139"/>
      <c r="M22" s="1130"/>
      <c r="N22" s="1130"/>
      <c r="O22" s="1138"/>
      <c r="P22" s="3189"/>
      <c r="Q22" s="1809"/>
      <c r="R22" s="773"/>
      <c r="S22" s="774"/>
      <c r="T22" s="773"/>
      <c r="U22" s="774"/>
      <c r="V22" s="773"/>
      <c r="W22" s="774"/>
      <c r="X22" s="1812"/>
      <c r="Y22" s="3189"/>
      <c r="Z22" s="1813"/>
      <c r="AA22" s="1810">
        <v>1</v>
      </c>
      <c r="AB22" s="1810">
        <v>1</v>
      </c>
      <c r="AC22" s="1810">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89"/>
      <c r="Q23" s="1809" t="str">
        <f t="shared" ref="Q23:Q37" si="8">B23</f>
        <v>区域土地利用方向</v>
      </c>
      <c r="R23" s="773" t="s">
        <v>17</v>
      </c>
      <c r="S23" s="774">
        <f>F23</f>
        <v>100</v>
      </c>
      <c r="T23" s="773" t="s">
        <v>17</v>
      </c>
      <c r="U23" s="774">
        <f>H23</f>
        <v>100</v>
      </c>
      <c r="V23" s="773" t="s">
        <v>17</v>
      </c>
      <c r="W23" s="774">
        <f>J23</f>
        <v>100</v>
      </c>
      <c r="X23" s="1812"/>
      <c r="Y23" s="3189"/>
      <c r="Z23" s="1813" t="str">
        <f>Q23</f>
        <v>区域土地利用方向</v>
      </c>
      <c r="AA23" s="1810">
        <f t="shared" si="3"/>
        <v>1</v>
      </c>
      <c r="AB23" s="1810">
        <f t="shared" si="4"/>
        <v>1</v>
      </c>
      <c r="AC23" s="1810">
        <f t="shared" si="5"/>
        <v>1</v>
      </c>
    </row>
    <row r="24" spans="1:29" ht="15">
      <c r="A24" s="403"/>
      <c r="B24" s="455"/>
      <c r="C24" s="615"/>
      <c r="D24" s="447"/>
      <c r="E24" s="2606"/>
      <c r="F24" s="447"/>
      <c r="G24" s="2605"/>
      <c r="H24" s="447"/>
      <c r="I24" s="2605"/>
      <c r="J24" s="447"/>
      <c r="K24" s="811"/>
      <c r="L24" s="1139"/>
      <c r="M24" s="1130"/>
      <c r="N24" s="1130"/>
      <c r="O24" s="1138"/>
      <c r="P24" s="3189"/>
      <c r="Q24" s="1809"/>
      <c r="R24" s="773"/>
      <c r="S24" s="774"/>
      <c r="T24" s="773"/>
      <c r="U24" s="774"/>
      <c r="V24" s="773"/>
      <c r="W24" s="774"/>
      <c r="X24" s="1812"/>
      <c r="Y24" s="3189"/>
      <c r="Z24" s="1813"/>
      <c r="AA24" s="1810"/>
      <c r="AB24" s="1810"/>
      <c r="AC24" s="1810"/>
    </row>
    <row r="25" spans="1:29" ht="57">
      <c r="A25" s="403"/>
      <c r="B25" s="1383" t="s">
        <v>2748</v>
      </c>
      <c r="C25" s="2665"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89"/>
      <c r="Q25" s="1809" t="str">
        <f t="shared" si="8"/>
        <v>自然及人文环境状况</v>
      </c>
      <c r="R25" s="773" t="s">
        <v>17</v>
      </c>
      <c r="S25" s="774">
        <f>F25</f>
        <v>100</v>
      </c>
      <c r="T25" s="773" t="s">
        <v>17</v>
      </c>
      <c r="U25" s="774">
        <f>H25</f>
        <v>100</v>
      </c>
      <c r="V25" s="773" t="s">
        <v>17</v>
      </c>
      <c r="W25" s="774">
        <f>J25</f>
        <v>100</v>
      </c>
      <c r="X25" s="1812"/>
      <c r="Y25" s="3189"/>
      <c r="Z25" s="1813" t="str">
        <f>Q25</f>
        <v>自然及人文环境状况</v>
      </c>
      <c r="AA25" s="1810">
        <f t="shared" si="3"/>
        <v>1</v>
      </c>
      <c r="AB25" s="1810">
        <f t="shared" si="4"/>
        <v>1</v>
      </c>
      <c r="AC25" s="1810">
        <f t="shared" si="5"/>
        <v>1</v>
      </c>
    </row>
    <row r="26" spans="1:29" ht="15">
      <c r="A26" s="403"/>
      <c r="B26" s="455"/>
      <c r="C26" s="446"/>
      <c r="D26" s="447"/>
      <c r="E26" s="2612"/>
      <c r="F26" s="447"/>
      <c r="G26" s="2612"/>
      <c r="H26" s="447"/>
      <c r="I26" s="446"/>
      <c r="J26" s="447"/>
      <c r="K26" s="671"/>
      <c r="L26" s="1139"/>
      <c r="M26" s="1130"/>
      <c r="N26" s="1130"/>
      <c r="O26" s="1138"/>
      <c r="P26" s="3189"/>
      <c r="Q26" s="1809"/>
      <c r="R26" s="773"/>
      <c r="S26" s="774"/>
      <c r="T26" s="773"/>
      <c r="U26" s="774"/>
      <c r="V26" s="773"/>
      <c r="W26" s="774"/>
      <c r="X26" s="1812"/>
      <c r="Y26" s="3189"/>
      <c r="Z26" s="1813"/>
      <c r="AA26" s="1810">
        <v>1</v>
      </c>
      <c r="AB26" s="1810">
        <v>1</v>
      </c>
      <c r="AC26" s="1810">
        <v>1</v>
      </c>
    </row>
    <row r="27" spans="1:29" s="116" customFormat="1" ht="42.75">
      <c r="A27" s="648"/>
      <c r="B27" s="1383" t="s">
        <v>2653</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89"/>
      <c r="Q27" s="1794" t="str">
        <f t="shared" si="8"/>
        <v>公共配套设施</v>
      </c>
      <c r="R27" s="769" t="s">
        <v>17</v>
      </c>
      <c r="S27" s="770">
        <f>F27</f>
        <v>100</v>
      </c>
      <c r="T27" s="769" t="s">
        <v>17</v>
      </c>
      <c r="U27" s="770">
        <f>H27</f>
        <v>100</v>
      </c>
      <c r="V27" s="769" t="s">
        <v>17</v>
      </c>
      <c r="W27" s="770">
        <f>J27</f>
        <v>100</v>
      </c>
      <c r="X27" s="771"/>
      <c r="Y27" s="3189"/>
      <c r="Z27" s="54" t="str">
        <f>Q27</f>
        <v>公共配套设施</v>
      </c>
      <c r="AA27" s="1810">
        <f>D27/F27</f>
        <v>1</v>
      </c>
      <c r="AB27" s="1810">
        <f>D27/H27</f>
        <v>1</v>
      </c>
      <c r="AC27" s="1810">
        <f>D27/J27</f>
        <v>1</v>
      </c>
    </row>
    <row r="28" spans="1:29" s="116" customFormat="1" ht="15">
      <c r="A28" s="648"/>
      <c r="B28" s="455"/>
      <c r="C28" s="2701"/>
      <c r="D28" s="447"/>
      <c r="E28" s="2612"/>
      <c r="F28" s="447"/>
      <c r="G28" s="2612"/>
      <c r="H28" s="447"/>
      <c r="I28" s="446"/>
      <c r="J28" s="447"/>
      <c r="K28" s="671"/>
      <c r="L28" s="1131"/>
      <c r="M28" s="1132"/>
      <c r="N28" s="1132"/>
      <c r="O28" s="1133"/>
      <c r="P28" s="3189"/>
      <c r="Q28" s="1794"/>
      <c r="R28" s="769"/>
      <c r="S28" s="770"/>
      <c r="T28" s="769"/>
      <c r="U28" s="770"/>
      <c r="V28" s="769"/>
      <c r="W28" s="770"/>
      <c r="X28" s="771"/>
      <c r="Y28" s="3189"/>
      <c r="Z28" s="54"/>
      <c r="AA28" s="1810">
        <v>1</v>
      </c>
      <c r="AB28" s="1810">
        <v>1</v>
      </c>
      <c r="AC28" s="1810">
        <v>1</v>
      </c>
    </row>
    <row r="29" spans="1:29" s="116" customFormat="1" ht="28.5">
      <c r="A29" s="648"/>
      <c r="B29" s="1383" t="s">
        <v>2654</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89"/>
      <c r="Q29" s="1794" t="str">
        <f t="shared" ref="Q29" si="9">B29</f>
        <v>基础设施水平</v>
      </c>
      <c r="R29" s="769" t="s">
        <v>17</v>
      </c>
      <c r="S29" s="770">
        <f>F29</f>
        <v>100</v>
      </c>
      <c r="T29" s="769" t="s">
        <v>17</v>
      </c>
      <c r="U29" s="770">
        <f>H29</f>
        <v>100</v>
      </c>
      <c r="V29" s="769" t="s">
        <v>17</v>
      </c>
      <c r="W29" s="770">
        <f>J29</f>
        <v>100</v>
      </c>
      <c r="X29" s="771"/>
      <c r="Y29" s="3189"/>
      <c r="Z29" s="54" t="str">
        <f>Q29</f>
        <v>基础设施水平</v>
      </c>
      <c r="AA29" s="1810">
        <f>D29/F29</f>
        <v>1</v>
      </c>
      <c r="AB29" s="1810">
        <f>D29/H29</f>
        <v>1</v>
      </c>
      <c r="AC29" s="1810">
        <f>D29/J29</f>
        <v>1</v>
      </c>
    </row>
    <row r="30" spans="1:29" s="116" customFormat="1" ht="15">
      <c r="A30" s="648"/>
      <c r="B30" s="455"/>
      <c r="C30" s="2701"/>
      <c r="D30" s="447"/>
      <c r="E30" s="2702"/>
      <c r="F30" s="447"/>
      <c r="G30" s="2702"/>
      <c r="H30" s="447"/>
      <c r="I30" s="2702"/>
      <c r="J30" s="447"/>
      <c r="K30" s="671"/>
      <c r="L30" s="1131"/>
      <c r="M30" s="1132"/>
      <c r="N30" s="1132"/>
      <c r="O30" s="1133"/>
      <c r="P30" s="3189"/>
      <c r="Q30" s="1794"/>
      <c r="R30" s="769"/>
      <c r="S30" s="770"/>
      <c r="T30" s="769"/>
      <c r="U30" s="770"/>
      <c r="V30" s="769"/>
      <c r="W30" s="770"/>
      <c r="X30" s="771"/>
      <c r="Y30" s="3189"/>
      <c r="Z30" s="54"/>
      <c r="AA30" s="1810">
        <v>1</v>
      </c>
      <c r="AB30" s="1810">
        <v>1</v>
      </c>
      <c r="AC30" s="1810">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89"/>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9"/>
      <c r="Z31" s="1813" t="str">
        <f t="shared" ref="Z31:Z45" si="13">Q31</f>
        <v>临街状况</v>
      </c>
      <c r="AA31" s="1810">
        <f t="shared" si="3"/>
        <v>1</v>
      </c>
      <c r="AB31" s="1810">
        <f t="shared" si="4"/>
        <v>1</v>
      </c>
      <c r="AC31" s="1810">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89"/>
      <c r="Q32" s="1809" t="str">
        <f t="shared" si="8"/>
        <v>毗邻道路的类型与等级</v>
      </c>
      <c r="R32" s="773" t="s">
        <v>17</v>
      </c>
      <c r="S32" s="774">
        <f t="shared" si="10"/>
        <v>100</v>
      </c>
      <c r="T32" s="773" t="s">
        <v>17</v>
      </c>
      <c r="U32" s="774">
        <f t="shared" si="11"/>
        <v>100</v>
      </c>
      <c r="V32" s="773" t="s">
        <v>17</v>
      </c>
      <c r="W32" s="774">
        <f t="shared" si="12"/>
        <v>100</v>
      </c>
      <c r="X32" s="1812"/>
      <c r="Y32" s="3189"/>
      <c r="Z32" s="1813" t="str">
        <f t="shared" si="13"/>
        <v>毗邻道路的类型与等级</v>
      </c>
      <c r="AA32" s="1810">
        <f t="shared" si="3"/>
        <v>1</v>
      </c>
      <c r="AB32" s="1810">
        <f t="shared" si="4"/>
        <v>1</v>
      </c>
      <c r="AC32" s="1810">
        <f t="shared" si="5"/>
        <v>1</v>
      </c>
    </row>
    <row r="33" spans="1:29" ht="15">
      <c r="A33" s="427"/>
      <c r="B33" s="455"/>
      <c r="C33" s="446"/>
      <c r="D33" s="447"/>
      <c r="E33" s="2612"/>
      <c r="F33" s="447"/>
      <c r="G33" s="2612"/>
      <c r="H33" s="447"/>
      <c r="I33" s="446"/>
      <c r="J33" s="447"/>
      <c r="K33" s="612"/>
      <c r="L33" s="1139"/>
      <c r="M33" s="1130"/>
      <c r="N33" s="1130"/>
      <c r="O33" s="1138"/>
      <c r="P33" s="3189"/>
      <c r="Q33" s="1809"/>
      <c r="R33" s="773"/>
      <c r="S33" s="774"/>
      <c r="T33" s="773"/>
      <c r="U33" s="774"/>
      <c r="V33" s="773"/>
      <c r="W33" s="774"/>
      <c r="X33" s="1812"/>
      <c r="Y33" s="3189"/>
      <c r="Z33" s="1813"/>
      <c r="AA33" s="1810">
        <v>1</v>
      </c>
      <c r="AB33" s="1810">
        <v>1</v>
      </c>
      <c r="AC33" s="1810">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89"/>
      <c r="Q34" s="1809" t="str">
        <f t="shared" si="8"/>
        <v>土地级别</v>
      </c>
      <c r="R34" s="773" t="s">
        <v>17</v>
      </c>
      <c r="S34" s="774">
        <f t="shared" si="10"/>
        <v>100</v>
      </c>
      <c r="T34" s="773" t="s">
        <v>17</v>
      </c>
      <c r="U34" s="774">
        <f t="shared" si="11"/>
        <v>100</v>
      </c>
      <c r="V34" s="773" t="s">
        <v>17</v>
      </c>
      <c r="W34" s="774">
        <f t="shared" si="12"/>
        <v>100</v>
      </c>
      <c r="X34" s="1812"/>
      <c r="Y34" s="3189"/>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89"/>
      <c r="Q35" s="1809">
        <f t="shared" si="8"/>
        <v>111</v>
      </c>
      <c r="R35" s="773" t="s">
        <v>17</v>
      </c>
      <c r="S35" s="774">
        <f t="shared" si="10"/>
        <v>100</v>
      </c>
      <c r="T35" s="773" t="s">
        <v>17</v>
      </c>
      <c r="U35" s="774">
        <f t="shared" si="11"/>
        <v>100</v>
      </c>
      <c r="V35" s="773" t="s">
        <v>17</v>
      </c>
      <c r="W35" s="774">
        <f t="shared" si="12"/>
        <v>100</v>
      </c>
      <c r="X35" s="1812"/>
      <c r="Y35" s="3189"/>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6" t="s">
        <v>2564</v>
      </c>
      <c r="Q36" s="1809">
        <f t="shared" si="8"/>
        <v>111</v>
      </c>
      <c r="R36" s="773" t="s">
        <v>17</v>
      </c>
      <c r="S36" s="774">
        <f t="shared" si="10"/>
        <v>100</v>
      </c>
      <c r="T36" s="773" t="s">
        <v>17</v>
      </c>
      <c r="U36" s="774">
        <f t="shared" si="11"/>
        <v>100</v>
      </c>
      <c r="V36" s="773" t="s">
        <v>17</v>
      </c>
      <c r="W36" s="774">
        <f t="shared" si="12"/>
        <v>100</v>
      </c>
      <c r="X36" s="1812"/>
      <c r="Y36" s="3193" t="s">
        <v>2564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93"/>
      <c r="Q37" s="1809">
        <f t="shared" si="8"/>
        <v>111</v>
      </c>
      <c r="R37" s="776" t="s">
        <v>17</v>
      </c>
      <c r="S37" s="777">
        <f t="shared" si="10"/>
        <v>100</v>
      </c>
      <c r="T37" s="776" t="s">
        <v>17</v>
      </c>
      <c r="U37" s="777">
        <f t="shared" si="11"/>
        <v>100</v>
      </c>
      <c r="V37" s="776" t="s">
        <v>17</v>
      </c>
      <c r="W37" s="777">
        <f t="shared" si="12"/>
        <v>100</v>
      </c>
      <c r="X37" s="778"/>
      <c r="Y37" s="3193"/>
      <c r="Z37" s="779">
        <f t="shared" si="13"/>
        <v>111</v>
      </c>
      <c r="AA37" s="1810">
        <f t="shared" si="3"/>
        <v>1</v>
      </c>
      <c r="AB37" s="1810">
        <f t="shared" si="4"/>
        <v>1</v>
      </c>
      <c r="AC37" s="1810">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93"/>
      <c r="Q38" s="1809" t="str">
        <f>B38</f>
        <v>宗地面积</v>
      </c>
      <c r="R38" s="773" t="s">
        <v>17</v>
      </c>
      <c r="S38" s="774" t="e">
        <f t="shared" si="10"/>
        <v>#N/A</v>
      </c>
      <c r="T38" s="773" t="s">
        <v>17</v>
      </c>
      <c r="U38" s="774" t="e">
        <f t="shared" si="11"/>
        <v>#N/A</v>
      </c>
      <c r="V38" s="773" t="s">
        <v>17</v>
      </c>
      <c r="W38" s="774" t="e">
        <f t="shared" si="12"/>
        <v>#N/A</v>
      </c>
      <c r="X38" s="1812"/>
      <c r="Y38" s="3193"/>
      <c r="Z38" s="1813" t="str">
        <f t="shared" si="13"/>
        <v>宗地面积</v>
      </c>
      <c r="AA38" s="1810" t="e">
        <f t="shared" si="3"/>
        <v>#N/A</v>
      </c>
      <c r="AB38" s="1810" t="e">
        <f t="shared" si="4"/>
        <v>#N/A</v>
      </c>
      <c r="AC38" s="1810" t="e">
        <f t="shared" si="5"/>
        <v>#N/A</v>
      </c>
    </row>
    <row r="39" spans="1:29" ht="15">
      <c r="A39" s="471"/>
      <c r="B39" s="421" t="s">
        <v>2751</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39"/>
      <c r="M39" s="1130"/>
      <c r="N39" s="1130"/>
      <c r="O39" s="1138"/>
      <c r="P39" s="3193"/>
      <c r="Q39" s="1809" t="str">
        <f t="shared" ref="Q39:Q45" si="14">B39</f>
        <v>宗地形状</v>
      </c>
      <c r="R39" s="773" t="s">
        <v>17</v>
      </c>
      <c r="S39" s="774">
        <f t="shared" si="10"/>
        <v>100</v>
      </c>
      <c r="T39" s="773" t="s">
        <v>17</v>
      </c>
      <c r="U39" s="774">
        <f t="shared" si="11"/>
        <v>100</v>
      </c>
      <c r="V39" s="773" t="s">
        <v>17</v>
      </c>
      <c r="W39" s="774">
        <f t="shared" si="12"/>
        <v>100</v>
      </c>
      <c r="X39" s="1812"/>
      <c r="Y39" s="3193"/>
      <c r="Z39" s="1813" t="str">
        <f t="shared" si="13"/>
        <v>宗地形状</v>
      </c>
      <c r="AA39" s="1810">
        <f t="shared" si="3"/>
        <v>1</v>
      </c>
      <c r="AB39" s="1810">
        <f t="shared" si="4"/>
        <v>1</v>
      </c>
      <c r="AC39" s="1810">
        <f t="shared" si="5"/>
        <v>1</v>
      </c>
    </row>
    <row r="40" spans="1:29" ht="15">
      <c r="A40" s="471"/>
      <c r="B40" s="421" t="s">
        <v>2752</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39"/>
      <c r="M40" s="1130"/>
      <c r="N40" s="1130"/>
      <c r="O40" s="1138"/>
      <c r="P40" s="3193"/>
      <c r="Q40" s="1809" t="str">
        <f t="shared" si="14"/>
        <v>临街宽度及深度</v>
      </c>
      <c r="R40" s="773" t="s">
        <v>17</v>
      </c>
      <c r="S40" s="774">
        <f t="shared" si="10"/>
        <v>100</v>
      </c>
      <c r="T40" s="773" t="s">
        <v>17</v>
      </c>
      <c r="U40" s="774">
        <f t="shared" si="11"/>
        <v>100</v>
      </c>
      <c r="V40" s="773" t="s">
        <v>17</v>
      </c>
      <c r="W40" s="774">
        <f t="shared" si="12"/>
        <v>100</v>
      </c>
      <c r="X40" s="1812"/>
      <c r="Y40" s="3193"/>
      <c r="Z40" s="1813" t="str">
        <f t="shared" si="13"/>
        <v>临街宽度及深度</v>
      </c>
      <c r="AA40" s="1810">
        <f t="shared" si="3"/>
        <v>1</v>
      </c>
      <c r="AB40" s="1810">
        <f t="shared" si="4"/>
        <v>1</v>
      </c>
      <c r="AC40" s="1810">
        <f t="shared" si="5"/>
        <v>1</v>
      </c>
    </row>
    <row r="41" spans="1:29" s="116" customFormat="1" ht="15">
      <c r="A41" s="472"/>
      <c r="B41" s="421" t="s">
        <v>2753</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1"/>
      <c r="M41" s="1132"/>
      <c r="N41" s="1132"/>
      <c r="O41" s="1133"/>
      <c r="P41" s="3193"/>
      <c r="Q41" s="1809" t="str">
        <f t="shared" si="14"/>
        <v>宗地开发程度</v>
      </c>
      <c r="R41" s="769" t="s">
        <v>17</v>
      </c>
      <c r="S41" s="770">
        <f t="shared" si="10"/>
        <v>100</v>
      </c>
      <c r="T41" s="769" t="s">
        <v>17</v>
      </c>
      <c r="U41" s="770">
        <f t="shared" si="11"/>
        <v>100</v>
      </c>
      <c r="V41" s="769" t="s">
        <v>17</v>
      </c>
      <c r="W41" s="770">
        <f t="shared" si="12"/>
        <v>100</v>
      </c>
      <c r="X41" s="771"/>
      <c r="Y41" s="3193"/>
      <c r="Z41" s="54" t="str">
        <f t="shared" si="13"/>
        <v>宗地开发程度</v>
      </c>
      <c r="AA41" s="772">
        <f t="shared" si="3"/>
        <v>1</v>
      </c>
      <c r="AB41" s="772">
        <f t="shared" si="4"/>
        <v>1</v>
      </c>
      <c r="AC41" s="772">
        <f t="shared" si="5"/>
        <v>1</v>
      </c>
    </row>
    <row r="42" spans="1:29" ht="15">
      <c r="A42" s="471"/>
      <c r="B42" s="421" t="s">
        <v>2754</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39"/>
      <c r="M42" s="1130"/>
      <c r="N42" s="1130"/>
      <c r="O42" s="1138"/>
      <c r="P42" s="3193" t="s">
        <v>2564</v>
      </c>
      <c r="Q42" s="1809" t="str">
        <f t="shared" si="14"/>
        <v>工程地质条件</v>
      </c>
      <c r="R42" s="773" t="s">
        <v>17</v>
      </c>
      <c r="S42" s="774">
        <f t="shared" si="10"/>
        <v>100</v>
      </c>
      <c r="T42" s="773" t="s">
        <v>17</v>
      </c>
      <c r="U42" s="774">
        <f t="shared" si="11"/>
        <v>100</v>
      </c>
      <c r="V42" s="773" t="s">
        <v>17</v>
      </c>
      <c r="W42" s="774">
        <f t="shared" si="12"/>
        <v>100</v>
      </c>
      <c r="X42" s="1812"/>
      <c r="Y42" s="3193" t="s">
        <v>2564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93"/>
      <c r="Q43" s="1809">
        <f t="shared" si="14"/>
        <v>111</v>
      </c>
      <c r="R43" s="773" t="s">
        <v>17</v>
      </c>
      <c r="S43" s="774">
        <f t="shared" si="10"/>
        <v>100</v>
      </c>
      <c r="T43" s="773" t="s">
        <v>17</v>
      </c>
      <c r="U43" s="774">
        <f t="shared" si="11"/>
        <v>100</v>
      </c>
      <c r="V43" s="773" t="s">
        <v>17</v>
      </c>
      <c r="W43" s="774">
        <f t="shared" si="12"/>
        <v>100</v>
      </c>
      <c r="X43" s="1812"/>
      <c r="Y43" s="3193"/>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93"/>
      <c r="Q44" s="1809">
        <f t="shared" si="14"/>
        <v>111</v>
      </c>
      <c r="R44" s="773" t="s">
        <v>17</v>
      </c>
      <c r="S44" s="774">
        <f t="shared" si="10"/>
        <v>100</v>
      </c>
      <c r="T44" s="773" t="s">
        <v>17</v>
      </c>
      <c r="U44" s="774">
        <f t="shared" si="11"/>
        <v>100</v>
      </c>
      <c r="V44" s="773" t="s">
        <v>17</v>
      </c>
      <c r="W44" s="774">
        <f t="shared" si="12"/>
        <v>100</v>
      </c>
      <c r="X44" s="1812"/>
      <c r="Y44" s="3193"/>
      <c r="Z44" s="1813">
        <f t="shared" si="13"/>
        <v>111</v>
      </c>
      <c r="AA44" s="1810">
        <f t="shared" si="3"/>
        <v>1</v>
      </c>
      <c r="AB44" s="1810">
        <f t="shared" si="4"/>
        <v>1</v>
      </c>
      <c r="AC44" s="1810">
        <f t="shared" si="5"/>
        <v>1</v>
      </c>
    </row>
    <row r="45" spans="1:29" s="470" customFormat="1" ht="15.75" thickBot="1">
      <c r="A45" s="467"/>
      <c r="B45" s="1386">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93"/>
      <c r="Q45" s="1809">
        <f t="shared" si="14"/>
        <v>111</v>
      </c>
      <c r="R45" s="776" t="s">
        <v>17</v>
      </c>
      <c r="S45" s="777">
        <f t="shared" si="10"/>
        <v>100</v>
      </c>
      <c r="T45" s="776" t="s">
        <v>17</v>
      </c>
      <c r="U45" s="777">
        <f t="shared" si="11"/>
        <v>100</v>
      </c>
      <c r="V45" s="776" t="s">
        <v>17</v>
      </c>
      <c r="W45" s="777">
        <f t="shared" si="12"/>
        <v>100</v>
      </c>
      <c r="X45" s="778"/>
      <c r="Y45" s="3193"/>
      <c r="Z45" s="779">
        <f t="shared" si="13"/>
        <v>111</v>
      </c>
      <c r="AA45" s="1810">
        <f t="shared" si="3"/>
        <v>1</v>
      </c>
      <c r="AB45" s="1810">
        <f t="shared" si="4"/>
        <v>1</v>
      </c>
      <c r="AC45" s="1810">
        <f t="shared" si="5"/>
        <v>1</v>
      </c>
    </row>
    <row r="46" spans="1:29" ht="15">
      <c r="A46" s="478" t="s">
        <v>2719</v>
      </c>
      <c r="B46" s="2705" t="s">
        <v>2755</v>
      </c>
      <c r="C46" s="681" t="s">
        <v>1</v>
      </c>
      <c r="D46" s="480"/>
      <c r="E46" s="481"/>
      <c r="F46" s="482"/>
      <c r="G46" s="483"/>
      <c r="H46" s="484"/>
      <c r="I46" s="481"/>
      <c r="J46" s="484"/>
      <c r="K46" s="782"/>
      <c r="L46" s="1142"/>
      <c r="M46" s="1143"/>
      <c r="N46" s="1130"/>
      <c r="O46" s="1143"/>
      <c r="P46" s="3195" t="str">
        <f>A46</f>
        <v>成交单价</v>
      </c>
      <c r="Q46" s="3195"/>
      <c r="R46" s="3157">
        <f>E46</f>
        <v>0</v>
      </c>
      <c r="S46" s="3157"/>
      <c r="T46" s="3157">
        <f>G46</f>
        <v>0</v>
      </c>
      <c r="U46" s="3157"/>
      <c r="V46" s="3157">
        <f>I46</f>
        <v>0</v>
      </c>
      <c r="W46" s="3157"/>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195" t="str">
        <f>A47</f>
        <v>比较价值（元/平方米）</v>
      </c>
      <c r="Q47" s="3195"/>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197" t="str">
        <f>A48</f>
        <v>估价对象XX用房的比较价值（楼面单价，元/平方米）</v>
      </c>
      <c r="Q48" s="3198"/>
      <c r="R48" s="3248" t="e">
        <f>ROUND(AVERAGE(R47:V47),0)</f>
        <v>#DIV/0!</v>
      </c>
      <c r="S48" s="3248"/>
      <c r="T48" s="3248"/>
      <c r="U48" s="3248"/>
      <c r="V48" s="3248"/>
      <c r="W48" s="324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6" t="s">
        <v>2759</v>
      </c>
      <c r="D55" s="2707" t="s">
        <v>2760</v>
      </c>
      <c r="E55" s="685" t="s">
        <v>2761</v>
      </c>
      <c r="F55" s="1106" t="s">
        <v>2762</v>
      </c>
      <c r="G55" s="3173" t="s">
        <v>2763</v>
      </c>
      <c r="H55" s="3249"/>
      <c r="I55" s="143" t="s">
        <v>2764</v>
      </c>
      <c r="J55" s="2708">
        <f>项目基本情况!F35</f>
        <v>0</v>
      </c>
      <c r="K55" s="2709" t="s">
        <v>2765</v>
      </c>
      <c r="L55" s="1105"/>
      <c r="M55" s="1143"/>
      <c r="N55" s="1143"/>
      <c r="O55" s="1143"/>
    </row>
    <row r="56" spans="1:15" s="691" customFormat="1">
      <c r="A56" s="687" t="s">
        <v>2766</v>
      </c>
      <c r="B56" s="688" t="e">
        <f>C48</f>
        <v>#DIV/0!</v>
      </c>
      <c r="C56" s="689">
        <v>1</v>
      </c>
      <c r="D56" s="1162">
        <v>1</v>
      </c>
      <c r="E56" s="689">
        <f>'数据-汇总表'!E8+'数据-汇总表'!E9</f>
        <v>3967.28</v>
      </c>
      <c r="F56" s="1102" t="e">
        <f t="shared" ref="F56:F65" si="15">ROUND(B56*E56/10000,0)</f>
        <v>#DIV/0!</v>
      </c>
      <c r="G56" s="3172"/>
      <c r="H56" s="3195"/>
      <c r="I56" s="1107">
        <v>1</v>
      </c>
      <c r="J56" s="1110">
        <v>1</v>
      </c>
      <c r="K56" s="1144"/>
      <c r="L56" s="940"/>
      <c r="M56" s="940"/>
      <c r="N56" s="940"/>
      <c r="O56" s="940"/>
    </row>
    <row r="57" spans="1:15" s="691" customFormat="1">
      <c r="A57" s="692" t="s">
        <v>2767</v>
      </c>
      <c r="B57" s="261" t="e">
        <f>ROUND($C$48*C57*D57,0)</f>
        <v>#DIV/0!</v>
      </c>
      <c r="C57" s="199">
        <f t="shared" ref="C57:C65" si="16">IF($C$55="北京市系数",I57,J57)</f>
        <v>0</v>
      </c>
      <c r="D57" s="1163">
        <v>0.25</v>
      </c>
      <c r="E57" s="693"/>
      <c r="F57" s="1102" t="e">
        <f t="shared" si="15"/>
        <v>#DIV/0!</v>
      </c>
      <c r="G57" s="3250" t="s">
        <v>2768</v>
      </c>
      <c r="H57" s="1103">
        <f>项目基本情况!B37</f>
        <v>0</v>
      </c>
      <c r="I57" s="1107">
        <f>SUMIF(修正!A45:A56,H57,修正!B45:B56)</f>
        <v>0</v>
      </c>
      <c r="J57" s="1111"/>
      <c r="K57" s="1143"/>
      <c r="L57" s="940"/>
      <c r="M57" s="940"/>
      <c r="N57" s="940"/>
      <c r="O57" s="940"/>
    </row>
    <row r="58" spans="1:15" s="691" customFormat="1">
      <c r="A58" s="692" t="s">
        <v>2769</v>
      </c>
      <c r="B58" s="261" t="e">
        <f t="shared" ref="B58:B65" si="17">ROUND($C$48*C58*D58,0)</f>
        <v>#DIV/0!</v>
      </c>
      <c r="C58" s="199">
        <f t="shared" si="16"/>
        <v>0</v>
      </c>
      <c r="D58" s="1163">
        <v>0.25</v>
      </c>
      <c r="E58" s="693"/>
      <c r="F58" s="1102" t="e">
        <f t="shared" si="15"/>
        <v>#DIV/0!</v>
      </c>
      <c r="G58" s="3250"/>
      <c r="H58" s="1103">
        <f>项目基本情况!B37</f>
        <v>0</v>
      </c>
      <c r="I58" s="1107">
        <f>SUMIF(修正!A45:A56,H58,修正!C45:C56)</f>
        <v>0</v>
      </c>
      <c r="J58" s="1111"/>
      <c r="K58" s="1144"/>
      <c r="L58" s="940"/>
      <c r="M58" s="940"/>
      <c r="N58" s="940"/>
      <c r="O58" s="940"/>
    </row>
    <row r="59" spans="1:15" s="691" customFormat="1">
      <c r="A59" s="692" t="s">
        <v>2770</v>
      </c>
      <c r="B59" s="261" t="e">
        <f t="shared" si="17"/>
        <v>#DIV/0!</v>
      </c>
      <c r="C59" s="199">
        <f t="shared" si="16"/>
        <v>0</v>
      </c>
      <c r="D59" s="1163">
        <v>0.25</v>
      </c>
      <c r="E59" s="693"/>
      <c r="F59" s="1102" t="e">
        <f t="shared" si="15"/>
        <v>#DIV/0!</v>
      </c>
      <c r="G59" s="3250"/>
      <c r="H59" s="1103">
        <f>项目基本情况!B37</f>
        <v>0</v>
      </c>
      <c r="I59" s="1107">
        <f>SUMIF(修正!A45:A56,H59,修正!D45:D56)</f>
        <v>0</v>
      </c>
      <c r="J59" s="1111"/>
      <c r="K59" s="1143"/>
      <c r="L59" s="940"/>
      <c r="M59" s="940"/>
      <c r="N59" s="940"/>
      <c r="O59" s="940"/>
    </row>
    <row r="60" spans="1:15" s="691" customFormat="1">
      <c r="A60" s="692" t="s">
        <v>2771</v>
      </c>
      <c r="B60" s="261" t="e">
        <f t="shared" si="17"/>
        <v>#DIV/0!</v>
      </c>
      <c r="C60" s="199">
        <f t="shared" si="16"/>
        <v>0</v>
      </c>
      <c r="D60" s="1163">
        <v>0.25</v>
      </c>
      <c r="E60" s="693"/>
      <c r="F60" s="1102" t="e">
        <f t="shared" si="15"/>
        <v>#DIV/0!</v>
      </c>
      <c r="G60" s="3250"/>
      <c r="H60" s="1103">
        <f>项目基本情况!B37</f>
        <v>0</v>
      </c>
      <c r="I60" s="1107">
        <f>SUMIF(修正!A45:A56,H60,修正!E45:E56)</f>
        <v>0</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10"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v>
      </c>
      <c r="D64" s="1163">
        <v>0.25</v>
      </c>
      <c r="E64" s="260">
        <f>'数据-汇总表'!E14</f>
        <v>0</v>
      </c>
      <c r="F64" s="1102" t="e">
        <f t="shared" si="15"/>
        <v>#DIV/0!</v>
      </c>
      <c r="G64" s="2710" t="s">
        <v>2768</v>
      </c>
      <c r="H64" s="1103">
        <f>项目基本情况!B37</f>
        <v>0</v>
      </c>
      <c r="I64" s="1107">
        <f>SUMIF(修正!A45:A56,H64,修正!H45:H56)</f>
        <v>0</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11"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3967.28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12" t="s">
        <v>2781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6" customFormat="1" ht="30" customHeight="1">
      <c r="A71" s="2713"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6"/>
      <c r="N71" s="594"/>
      <c r="O71" s="1567"/>
      <c r="P71" s="503"/>
    </row>
    <row r="72" spans="1:17" s="116" customFormat="1" ht="15.75" thickBot="1">
      <c r="A72" s="514" t="s">
        <v>2584</v>
      </c>
      <c r="B72" s="515"/>
      <c r="C72" s="516"/>
      <c r="D72" s="517"/>
      <c r="E72" s="517"/>
      <c r="F72" s="517"/>
      <c r="G72" s="517"/>
      <c r="H72" s="517"/>
      <c r="I72" s="517"/>
      <c r="J72" s="517"/>
      <c r="K72" s="517"/>
      <c r="L72" s="517"/>
      <c r="M72" s="518"/>
      <c r="N72" s="517"/>
      <c r="O72" s="1161"/>
      <c r="P72" s="503"/>
      <c r="Q72" s="503"/>
    </row>
    <row r="73" spans="1:17" s="116" customFormat="1" ht="15">
      <c r="A73" s="520" t="s">
        <v>2549</v>
      </c>
      <c r="B73" s="509"/>
      <c r="C73" s="521" t="s">
        <v>2651</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2556</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2690</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2749</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2791</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2792</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173" t="s">
        <v>2645</v>
      </c>
      <c r="D4" s="3174"/>
      <c r="E4" s="3175" t="s">
        <v>2646</v>
      </c>
      <c r="F4" s="3176"/>
      <c r="G4" s="3173" t="s">
        <v>2647</v>
      </c>
      <c r="H4" s="3174"/>
      <c r="I4" s="3173" t="s">
        <v>2648</v>
      </c>
      <c r="J4" s="3174"/>
      <c r="K4" s="609" t="s">
        <v>2649</v>
      </c>
      <c r="L4" s="1129"/>
      <c r="M4" s="1130"/>
      <c r="N4" s="1130"/>
      <c r="O4" s="1130"/>
      <c r="P4" s="3177" t="s">
        <v>2650</v>
      </c>
      <c r="Q4" s="3178"/>
      <c r="R4" s="3160" t="s">
        <v>2646</v>
      </c>
      <c r="S4" s="3161"/>
      <c r="T4" s="3160" t="s">
        <v>2647</v>
      </c>
      <c r="U4" s="3161"/>
      <c r="V4" s="3157" t="s">
        <v>2648</v>
      </c>
      <c r="W4" s="3157"/>
      <c r="X4" s="1812"/>
      <c r="Y4" s="3160" t="s">
        <v>2650</v>
      </c>
      <c r="Z4" s="3161"/>
      <c r="AA4" s="3154" t="s">
        <v>2646</v>
      </c>
      <c r="AB4" s="3155" t="s">
        <v>2647</v>
      </c>
      <c r="AC4" s="3154" t="s">
        <v>2648</v>
      </c>
    </row>
    <row r="5" spans="1:29" ht="15">
      <c r="A5" s="403"/>
      <c r="B5" s="404"/>
      <c r="C5" s="3166" t="s">
        <v>2541</v>
      </c>
      <c r="D5" s="3167"/>
      <c r="E5" s="3164" t="s">
        <v>2542</v>
      </c>
      <c r="F5" s="3165"/>
      <c r="G5" s="3166" t="s">
        <v>2543</v>
      </c>
      <c r="H5" s="3167"/>
      <c r="I5" s="3166" t="s">
        <v>2544</v>
      </c>
      <c r="J5" s="3167"/>
      <c r="K5" s="609"/>
      <c r="L5" s="1129"/>
      <c r="M5" s="1130"/>
      <c r="N5" s="1130"/>
      <c r="O5" s="1130"/>
      <c r="P5" s="3179"/>
      <c r="Q5" s="3180"/>
      <c r="R5" s="3162"/>
      <c r="S5" s="3163"/>
      <c r="T5" s="3162"/>
      <c r="U5" s="3163"/>
      <c r="V5" s="3157"/>
      <c r="W5" s="3157"/>
      <c r="X5" s="1812"/>
      <c r="Y5" s="3162"/>
      <c r="Z5" s="3163"/>
      <c r="AA5" s="3155"/>
      <c r="AB5" s="3155"/>
      <c r="AC5" s="3155"/>
    </row>
    <row r="6" spans="1:29" ht="15.75" thickBot="1">
      <c r="A6" s="405"/>
      <c r="B6" s="406"/>
      <c r="C6" s="3251" t="s">
        <v>2796</v>
      </c>
      <c r="D6" s="3252"/>
      <c r="E6" s="3253" t="s">
        <v>2796</v>
      </c>
      <c r="F6" s="3254"/>
      <c r="G6" s="3251" t="s">
        <v>2796</v>
      </c>
      <c r="H6" s="3252"/>
      <c r="I6" s="3251" t="s">
        <v>2796</v>
      </c>
      <c r="J6" s="3252"/>
      <c r="K6" s="609" t="s">
        <v>2546</v>
      </c>
      <c r="L6" s="1129"/>
      <c r="M6" s="1130"/>
      <c r="N6" s="1130"/>
      <c r="O6" s="1130"/>
      <c r="P6" s="3181"/>
      <c r="Q6" s="3182"/>
      <c r="R6" s="3162"/>
      <c r="S6" s="3163"/>
      <c r="T6" s="3183"/>
      <c r="U6" s="3184"/>
      <c r="V6" s="3157"/>
      <c r="W6" s="3157"/>
      <c r="X6" s="1812"/>
      <c r="Y6" s="3183"/>
      <c r="Z6" s="3184"/>
      <c r="AA6" s="3156"/>
      <c r="AB6" s="3156"/>
      <c r="AC6" s="3156"/>
    </row>
    <row r="7" spans="1:29" s="116" customFormat="1" ht="15.75" thickBot="1">
      <c r="A7" s="407" t="s">
        <v>2547</v>
      </c>
      <c r="B7" s="408"/>
      <c r="C7" s="409">
        <f>'数据-取费表'!B2</f>
        <v>43969</v>
      </c>
      <c r="D7" s="410">
        <v>100</v>
      </c>
      <c r="E7" s="411"/>
      <c r="F7" s="412">
        <f>SUMIF(65:65,YEAR(E7)&amp;"-"&amp;INT((MONTH(E7)+2)/3),66:66)</f>
        <v>0</v>
      </c>
      <c r="G7" s="2697"/>
      <c r="H7" s="410">
        <f>SUMIF(65:65,YEAR(G7)&amp;"-"&amp;INT((MONTH(G7)+2)/3),66:66)</f>
        <v>0</v>
      </c>
      <c r="I7" s="2697"/>
      <c r="J7" s="410">
        <f>SUMIF(65:65,YEAR(I7)&amp;"-"&amp;INT((MONTH(I7)+2)/3),66:66)</f>
        <v>0</v>
      </c>
      <c r="K7" s="610"/>
      <c r="L7" s="1131"/>
      <c r="M7" s="1132"/>
      <c r="N7" s="1132"/>
      <c r="O7" s="1132"/>
      <c r="P7" s="3158" t="s">
        <v>2548</v>
      </c>
      <c r="Q7" s="3185"/>
      <c r="R7" s="769" t="s">
        <v>17</v>
      </c>
      <c r="S7" s="770">
        <f t="shared" ref="S7:S15" si="0">F7</f>
        <v>0</v>
      </c>
      <c r="T7" s="769" t="s">
        <v>17</v>
      </c>
      <c r="U7" s="770">
        <f t="shared" ref="U7:U15" si="1">H7</f>
        <v>0</v>
      </c>
      <c r="V7" s="769" t="s">
        <v>17</v>
      </c>
      <c r="W7" s="770">
        <f t="shared" ref="W7:W15" si="2">J7</f>
        <v>0</v>
      </c>
      <c r="X7" s="771"/>
      <c r="Y7" s="3158" t="s">
        <v>2548</v>
      </c>
      <c r="Z7" s="3159"/>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58" t="s">
        <v>2551</v>
      </c>
      <c r="Q8" s="3159"/>
      <c r="R8" s="769" t="s">
        <v>17</v>
      </c>
      <c r="S8" s="770">
        <f t="shared" si="0"/>
        <v>0</v>
      </c>
      <c r="T8" s="769" t="s">
        <v>17</v>
      </c>
      <c r="U8" s="770">
        <f t="shared" si="1"/>
        <v>0</v>
      </c>
      <c r="V8" s="769" t="s">
        <v>17</v>
      </c>
      <c r="W8" s="770">
        <f t="shared" si="2"/>
        <v>0</v>
      </c>
      <c r="X8" s="771"/>
      <c r="Y8" s="3158" t="s">
        <v>2551</v>
      </c>
      <c r="Z8" s="3159"/>
      <c r="AA8" s="772" t="e">
        <f t="shared" ref="AA8:AA40" si="3">D8/F8</f>
        <v>#DIV/0!</v>
      </c>
      <c r="AB8" s="772" t="e">
        <f t="shared" ref="AB8:AB40" si="4">D8/H8</f>
        <v>#DIV/0!</v>
      </c>
      <c r="AC8" s="772" t="e">
        <f t="shared" ref="AC8:AC40" si="5">D8/J8</f>
        <v>#DIV/0!</v>
      </c>
    </row>
    <row r="9" spans="1:29" s="116" customFormat="1">
      <c r="A9" s="414" t="s">
        <v>2552</v>
      </c>
      <c r="B9" s="70" t="s">
        <v>2553</v>
      </c>
      <c r="C9" s="2700"/>
      <c r="D9" s="134">
        <v>100</v>
      </c>
      <c r="E9" s="2700"/>
      <c r="F9" s="134">
        <f>SUMIF(70:70,E9,71:71)-SUMIF(70:70,C9,71:71)+100</f>
        <v>100</v>
      </c>
      <c r="G9" s="2700"/>
      <c r="H9" s="134">
        <f>SUMIF(70:70,G9,71:71)-SUMIF(70:70,C9,71:71)+100</f>
        <v>100</v>
      </c>
      <c r="I9" s="2700"/>
      <c r="J9" s="134">
        <f>SUMIF(70:70,I9,71:71)-SUMIF(70:70,C9,71:71)+100</f>
        <v>100</v>
      </c>
      <c r="K9" s="610"/>
      <c r="L9" s="1131"/>
      <c r="M9" s="1132"/>
      <c r="N9" s="1132"/>
      <c r="O9" s="1133"/>
      <c r="P9" s="3195" t="s">
        <v>2554</v>
      </c>
      <c r="Q9" s="1794" t="str">
        <f t="shared" ref="Q9:Q15" si="6">B9</f>
        <v>用途</v>
      </c>
      <c r="R9" s="769" t="s">
        <v>17</v>
      </c>
      <c r="S9" s="770">
        <f t="shared" si="0"/>
        <v>100</v>
      </c>
      <c r="T9" s="769" t="s">
        <v>17</v>
      </c>
      <c r="U9" s="770">
        <f t="shared" si="1"/>
        <v>100</v>
      </c>
      <c r="V9" s="769" t="s">
        <v>17</v>
      </c>
      <c r="W9" s="770">
        <f t="shared" si="2"/>
        <v>100</v>
      </c>
      <c r="X9" s="771"/>
      <c r="Y9" s="3031"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111</v>
      </c>
      <c r="G10" s="431"/>
      <c r="H10" s="135">
        <f>ROUND(100/'数据-取费表'!G16,0)</f>
        <v>111</v>
      </c>
      <c r="I10" s="431"/>
      <c r="J10" s="135">
        <f>ROUND(100/'数据-取费表'!G16,0)</f>
        <v>111</v>
      </c>
      <c r="K10" s="671"/>
      <c r="L10" s="1134"/>
      <c r="M10" s="1135"/>
      <c r="N10" s="1135"/>
      <c r="O10" s="1136"/>
      <c r="P10" s="3195"/>
      <c r="Q10" s="1794" t="str">
        <f t="shared" si="6"/>
        <v>土地使用年限（年）</v>
      </c>
      <c r="R10" s="769" t="s">
        <v>17</v>
      </c>
      <c r="S10" s="770">
        <f t="shared" si="0"/>
        <v>111</v>
      </c>
      <c r="T10" s="769" t="s">
        <v>17</v>
      </c>
      <c r="U10" s="770">
        <f t="shared" si="1"/>
        <v>111</v>
      </c>
      <c r="V10" s="769" t="s">
        <v>17</v>
      </c>
      <c r="W10" s="770">
        <f t="shared" si="2"/>
        <v>111</v>
      </c>
      <c r="X10" s="771"/>
      <c r="Y10" s="3031"/>
      <c r="Z10" s="54" t="str">
        <f t="shared" si="7"/>
        <v>土地使用年限（年）</v>
      </c>
      <c r="AA10" s="772">
        <f t="shared" si="3"/>
        <v>0.90090090090090091</v>
      </c>
      <c r="AB10" s="772">
        <f t="shared" si="4"/>
        <v>0.90090090090090091</v>
      </c>
      <c r="AC10" s="772">
        <f t="shared" si="5"/>
        <v>0.90090090090090091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95"/>
      <c r="Q11" s="1794"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95"/>
      <c r="Q12" s="1794">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95"/>
      <c r="Q13" s="1794">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95"/>
      <c r="Q14" s="1794">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57">
      <c r="A15" s="439" t="s">
        <v>2558</v>
      </c>
      <c r="B15" s="628" t="s">
        <v>2797</v>
      </c>
      <c r="C15" s="269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8" t="s">
        <v>2559</v>
      </c>
      <c r="Q15" s="1809" t="str">
        <f t="shared" si="6"/>
        <v>产业集聚程度</v>
      </c>
      <c r="R15" s="773" t="s">
        <v>17</v>
      </c>
      <c r="S15" s="774">
        <f t="shared" si="0"/>
        <v>100</v>
      </c>
      <c r="T15" s="773" t="s">
        <v>17</v>
      </c>
      <c r="U15" s="774">
        <f t="shared" si="1"/>
        <v>100</v>
      </c>
      <c r="V15" s="773" t="s">
        <v>17</v>
      </c>
      <c r="W15" s="774">
        <f t="shared" si="2"/>
        <v>100</v>
      </c>
      <c r="X15" s="1812"/>
      <c r="Y15" s="3188" t="s">
        <v>2559</v>
      </c>
      <c r="Z15" s="1813" t="str">
        <f t="shared" si="7"/>
        <v>产业集聚程度</v>
      </c>
      <c r="AA15" s="1810">
        <f t="shared" si="3"/>
        <v>1</v>
      </c>
      <c r="AB15" s="1810">
        <f t="shared" si="4"/>
        <v>1</v>
      </c>
      <c r="AC15" s="1810">
        <f t="shared" si="5"/>
        <v>1</v>
      </c>
    </row>
    <row r="16" spans="1:29" ht="15">
      <c r="A16" s="427"/>
      <c r="B16" s="629"/>
      <c r="C16" s="446"/>
      <c r="D16" s="447"/>
      <c r="E16" s="2612"/>
      <c r="F16" s="447"/>
      <c r="G16" s="2612"/>
      <c r="H16" s="449"/>
      <c r="I16" s="2612"/>
      <c r="J16" s="447"/>
      <c r="K16" s="671"/>
      <c r="L16" s="1139"/>
      <c r="M16" s="1130"/>
      <c r="N16" s="1130"/>
      <c r="O16" s="1138"/>
      <c r="P16" s="3189"/>
      <c r="Q16" s="1809"/>
      <c r="R16" s="773"/>
      <c r="S16" s="774"/>
      <c r="T16" s="773"/>
      <c r="U16" s="774"/>
      <c r="V16" s="773"/>
      <c r="W16" s="774"/>
      <c r="X16" s="1812"/>
      <c r="Y16" s="3189"/>
      <c r="Z16" s="1813"/>
      <c r="AA16" s="1810">
        <v>1</v>
      </c>
      <c r="AB16" s="1810">
        <v>1</v>
      </c>
      <c r="AC16" s="1810">
        <v>1</v>
      </c>
    </row>
    <row r="17" spans="1:29" ht="85.5">
      <c r="A17" s="427"/>
      <c r="B17" s="630" t="s">
        <v>2708</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89"/>
      <c r="Q17" s="1809" t="str">
        <f>B17</f>
        <v>交通便捷度</v>
      </c>
      <c r="R17" s="773" t="s">
        <v>17</v>
      </c>
      <c r="S17" s="774">
        <f>F17</f>
        <v>100</v>
      </c>
      <c r="T17" s="773" t="s">
        <v>17</v>
      </c>
      <c r="U17" s="774">
        <f>H17</f>
        <v>100</v>
      </c>
      <c r="V17" s="773" t="s">
        <v>17</v>
      </c>
      <c r="W17" s="774">
        <f>J17</f>
        <v>100</v>
      </c>
      <c r="X17" s="1812"/>
      <c r="Y17" s="3189"/>
      <c r="Z17" s="1813" t="str">
        <f>Q17</f>
        <v>交通便捷度</v>
      </c>
      <c r="AA17" s="1810">
        <f t="shared" si="3"/>
        <v>1</v>
      </c>
      <c r="AB17" s="1810">
        <f t="shared" si="4"/>
        <v>1</v>
      </c>
      <c r="AC17" s="1810">
        <f t="shared" si="5"/>
        <v>1</v>
      </c>
    </row>
    <row r="18" spans="1:29" ht="15">
      <c r="A18" s="427"/>
      <c r="B18" s="631"/>
      <c r="C18" s="446"/>
      <c r="D18" s="447"/>
      <c r="E18" s="2606"/>
      <c r="F18" s="447"/>
      <c r="G18" s="2606"/>
      <c r="H18" s="447"/>
      <c r="I18" s="2605"/>
      <c r="J18" s="447"/>
      <c r="K18" s="671"/>
      <c r="L18" s="1139"/>
      <c r="M18" s="1130"/>
      <c r="N18" s="1130"/>
      <c r="O18" s="1138"/>
      <c r="P18" s="3189"/>
      <c r="Q18" s="1809"/>
      <c r="R18" s="773"/>
      <c r="S18" s="774"/>
      <c r="T18" s="773"/>
      <c r="U18" s="774"/>
      <c r="V18" s="773"/>
      <c r="W18" s="774"/>
      <c r="X18" s="1812"/>
      <c r="Y18" s="3189"/>
      <c r="Z18" s="1813"/>
      <c r="AA18" s="1810">
        <v>1</v>
      </c>
      <c r="AB18" s="1810">
        <v>1</v>
      </c>
      <c r="AC18" s="1810">
        <v>1</v>
      </c>
    </row>
    <row r="19" spans="1:29" ht="15">
      <c r="A19" s="427"/>
      <c r="B19" s="630" t="s">
        <v>2747</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89"/>
      <c r="Q19" s="1809" t="str">
        <f t="shared" ref="Q19:Q33" si="8">B19</f>
        <v>区域土地利用方向</v>
      </c>
      <c r="R19" s="773" t="s">
        <v>17</v>
      </c>
      <c r="S19" s="774">
        <f>F19</f>
        <v>100</v>
      </c>
      <c r="T19" s="773" t="s">
        <v>17</v>
      </c>
      <c r="U19" s="774">
        <f>H19</f>
        <v>100</v>
      </c>
      <c r="V19" s="773" t="s">
        <v>17</v>
      </c>
      <c r="W19" s="774">
        <f>J19</f>
        <v>100</v>
      </c>
      <c r="X19" s="1812"/>
      <c r="Y19" s="3189"/>
      <c r="Z19" s="1813" t="str">
        <f>Q19</f>
        <v>区域土地利用方向</v>
      </c>
      <c r="AA19" s="1810">
        <f t="shared" si="3"/>
        <v>1</v>
      </c>
      <c r="AB19" s="1810">
        <f t="shared" si="4"/>
        <v>1</v>
      </c>
      <c r="AC19" s="1810">
        <f t="shared" si="5"/>
        <v>1</v>
      </c>
    </row>
    <row r="20" spans="1:29" ht="15">
      <c r="A20" s="403"/>
      <c r="B20" s="631"/>
      <c r="C20" s="446"/>
      <c r="D20" s="447"/>
      <c r="E20" s="2606"/>
      <c r="F20" s="447"/>
      <c r="G20" s="2606"/>
      <c r="H20" s="447"/>
      <c r="I20" s="2606"/>
      <c r="J20" s="447"/>
      <c r="K20" s="811"/>
      <c r="L20" s="1139"/>
      <c r="M20" s="1130"/>
      <c r="N20" s="1130"/>
      <c r="O20" s="1138"/>
      <c r="P20" s="3189"/>
      <c r="Q20" s="1809"/>
      <c r="R20" s="773"/>
      <c r="S20" s="774"/>
      <c r="T20" s="773"/>
      <c r="U20" s="774"/>
      <c r="V20" s="773"/>
      <c r="W20" s="774"/>
      <c r="X20" s="1812"/>
      <c r="Y20" s="3189"/>
      <c r="Z20" s="1813"/>
      <c r="AA20" s="1810"/>
      <c r="AB20" s="1810"/>
      <c r="AC20" s="1810"/>
    </row>
    <row r="21" spans="1:29" ht="71.25">
      <c r="A21" s="403"/>
      <c r="B21" s="630" t="s">
        <v>2798</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89"/>
      <c r="Q21" s="1809" t="str">
        <f t="shared" si="8"/>
        <v>环境状况</v>
      </c>
      <c r="R21" s="773" t="s">
        <v>17</v>
      </c>
      <c r="S21" s="774">
        <f>F21</f>
        <v>100</v>
      </c>
      <c r="T21" s="773" t="s">
        <v>17</v>
      </c>
      <c r="U21" s="774">
        <f>H21</f>
        <v>100</v>
      </c>
      <c r="V21" s="773" t="s">
        <v>17</v>
      </c>
      <c r="W21" s="774">
        <f>J21</f>
        <v>100</v>
      </c>
      <c r="X21" s="1812"/>
      <c r="Y21" s="3189"/>
      <c r="Z21" s="1813" t="str">
        <f>Q21</f>
        <v>环境状况</v>
      </c>
      <c r="AA21" s="1810">
        <f t="shared" si="3"/>
        <v>1</v>
      </c>
      <c r="AB21" s="1810">
        <f t="shared" si="4"/>
        <v>1</v>
      </c>
      <c r="AC21" s="1810">
        <f t="shared" si="5"/>
        <v>1</v>
      </c>
    </row>
    <row r="22" spans="1:29" ht="15">
      <c r="A22" s="403"/>
      <c r="B22" s="631"/>
      <c r="C22" s="446"/>
      <c r="D22" s="447"/>
      <c r="E22" s="2612"/>
      <c r="F22" s="447"/>
      <c r="G22" s="2612"/>
      <c r="H22" s="447"/>
      <c r="I22" s="446"/>
      <c r="J22" s="447"/>
      <c r="K22" s="671"/>
      <c r="L22" s="1139"/>
      <c r="M22" s="1130"/>
      <c r="N22" s="1130"/>
      <c r="O22" s="1138"/>
      <c r="P22" s="3189"/>
      <c r="Q22" s="1809"/>
      <c r="R22" s="773"/>
      <c r="S22" s="774"/>
      <c r="T22" s="773"/>
      <c r="U22" s="774"/>
      <c r="V22" s="773"/>
      <c r="W22" s="774"/>
      <c r="X22" s="1812"/>
      <c r="Y22" s="3189"/>
      <c r="Z22" s="1813"/>
      <c r="AA22" s="1810">
        <v>1</v>
      </c>
      <c r="AB22" s="1810">
        <v>1</v>
      </c>
      <c r="AC22" s="1810">
        <v>1</v>
      </c>
    </row>
    <row r="23" spans="1:29" s="116" customFormat="1" ht="42.75">
      <c r="A23" s="648"/>
      <c r="B23" s="632" t="s">
        <v>2653</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89"/>
      <c r="Q23" s="1794" t="str">
        <f t="shared" si="8"/>
        <v>公共配套设施</v>
      </c>
      <c r="R23" s="769" t="s">
        <v>17</v>
      </c>
      <c r="S23" s="770">
        <f>F23</f>
        <v>100</v>
      </c>
      <c r="T23" s="769" t="s">
        <v>17</v>
      </c>
      <c r="U23" s="770">
        <f>H23</f>
        <v>100</v>
      </c>
      <c r="V23" s="769" t="s">
        <v>17</v>
      </c>
      <c r="W23" s="770">
        <f>J23</f>
        <v>100</v>
      </c>
      <c r="X23" s="771"/>
      <c r="Y23" s="3189"/>
      <c r="Z23" s="54" t="str">
        <f>Q23</f>
        <v>公共配套设施</v>
      </c>
      <c r="AA23" s="1810">
        <f>D23/F23</f>
        <v>1</v>
      </c>
      <c r="AB23" s="1810">
        <f>D23/H23</f>
        <v>1</v>
      </c>
      <c r="AC23" s="1810">
        <f>D23/J23</f>
        <v>1</v>
      </c>
    </row>
    <row r="24" spans="1:29" s="116" customFormat="1" ht="15">
      <c r="A24" s="648"/>
      <c r="B24" s="631"/>
      <c r="C24" s="2701"/>
      <c r="D24" s="447"/>
      <c r="E24" s="2612"/>
      <c r="F24" s="447"/>
      <c r="G24" s="2612"/>
      <c r="H24" s="447"/>
      <c r="I24" s="446"/>
      <c r="J24" s="447"/>
      <c r="K24" s="671"/>
      <c r="L24" s="1131"/>
      <c r="M24" s="1132"/>
      <c r="N24" s="1132"/>
      <c r="O24" s="1133"/>
      <c r="P24" s="3189"/>
      <c r="Q24" s="1794"/>
      <c r="R24" s="769"/>
      <c r="S24" s="770"/>
      <c r="T24" s="769"/>
      <c r="U24" s="770"/>
      <c r="V24" s="769"/>
      <c r="W24" s="770"/>
      <c r="X24" s="771"/>
      <c r="Y24" s="3189"/>
      <c r="Z24" s="54"/>
      <c r="AA24" s="772">
        <v>1</v>
      </c>
      <c r="AB24" s="772">
        <v>1</v>
      </c>
      <c r="AC24" s="772">
        <v>1</v>
      </c>
    </row>
    <row r="25" spans="1:29" s="116" customFormat="1" ht="28.5">
      <c r="A25" s="648"/>
      <c r="B25" s="632" t="s">
        <v>2654</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89"/>
      <c r="Q25" s="1794" t="str">
        <f t="shared" ref="Q25" si="9">B25</f>
        <v>基础设施水平</v>
      </c>
      <c r="R25" s="769" t="s">
        <v>17</v>
      </c>
      <c r="S25" s="770">
        <f>F25</f>
        <v>100</v>
      </c>
      <c r="T25" s="769" t="s">
        <v>17</v>
      </c>
      <c r="U25" s="770">
        <f>H25</f>
        <v>100</v>
      </c>
      <c r="V25" s="769" t="s">
        <v>17</v>
      </c>
      <c r="W25" s="770">
        <f>J25</f>
        <v>100</v>
      </c>
      <c r="X25" s="771"/>
      <c r="Y25" s="3189"/>
      <c r="Z25" s="54" t="str">
        <f>Q25</f>
        <v>基础设施水平</v>
      </c>
      <c r="AA25" s="1810">
        <f>D25/F25</f>
        <v>1</v>
      </c>
      <c r="AB25" s="1810">
        <f>D25/H25</f>
        <v>1</v>
      </c>
      <c r="AC25" s="1810">
        <f>D25/J25</f>
        <v>1</v>
      </c>
    </row>
    <row r="26" spans="1:29" s="116" customFormat="1" ht="15">
      <c r="A26" s="648"/>
      <c r="B26" s="631"/>
      <c r="C26" s="2701"/>
      <c r="D26" s="447"/>
      <c r="E26" s="2702"/>
      <c r="F26" s="447"/>
      <c r="G26" s="2702"/>
      <c r="H26" s="447"/>
      <c r="I26" s="2702"/>
      <c r="J26" s="447"/>
      <c r="K26" s="671"/>
      <c r="L26" s="1131"/>
      <c r="M26" s="1132"/>
      <c r="N26" s="1132"/>
      <c r="O26" s="1133"/>
      <c r="P26" s="3189"/>
      <c r="Q26" s="1794"/>
      <c r="R26" s="769"/>
      <c r="S26" s="770"/>
      <c r="T26" s="769"/>
      <c r="U26" s="770"/>
      <c r="V26" s="769"/>
      <c r="W26" s="770"/>
      <c r="X26" s="771"/>
      <c r="Y26" s="3189"/>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89"/>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89"/>
      <c r="Z27" s="1813" t="str">
        <f t="shared" ref="Z27:Z40" si="13">Q27</f>
        <v>临街状况</v>
      </c>
      <c r="AA27" s="1810">
        <f t="shared" si="3"/>
        <v>1</v>
      </c>
      <c r="AB27" s="1810">
        <f t="shared" si="4"/>
        <v>1</v>
      </c>
      <c r="AC27" s="1810">
        <f t="shared" si="5"/>
        <v>1</v>
      </c>
    </row>
    <row r="28" spans="1:29" ht="27">
      <c r="A28" s="427"/>
      <c r="B28" s="632" t="s">
        <v>2690</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89"/>
      <c r="Q28" s="1809" t="str">
        <f t="shared" si="8"/>
        <v>毗邻道路的类型与等级</v>
      </c>
      <c r="R28" s="773" t="s">
        <v>17</v>
      </c>
      <c r="S28" s="774">
        <f t="shared" si="10"/>
        <v>100</v>
      </c>
      <c r="T28" s="773" t="s">
        <v>17</v>
      </c>
      <c r="U28" s="774">
        <f t="shared" si="11"/>
        <v>100</v>
      </c>
      <c r="V28" s="773" t="s">
        <v>17</v>
      </c>
      <c r="W28" s="774">
        <f t="shared" si="12"/>
        <v>100</v>
      </c>
      <c r="X28" s="1812"/>
      <c r="Y28" s="3189"/>
      <c r="Z28" s="1813" t="str">
        <f t="shared" si="13"/>
        <v>毗邻道路的类型与等级</v>
      </c>
      <c r="AA28" s="1810">
        <f t="shared" si="3"/>
        <v>1</v>
      </c>
      <c r="AB28" s="1810">
        <f t="shared" si="4"/>
        <v>1</v>
      </c>
      <c r="AC28" s="1810">
        <f t="shared" si="5"/>
        <v>1</v>
      </c>
    </row>
    <row r="29" spans="1:29" ht="15">
      <c r="A29" s="427"/>
      <c r="B29" s="631"/>
      <c r="C29" s="446"/>
      <c r="D29" s="447"/>
      <c r="E29" s="2612"/>
      <c r="F29" s="447"/>
      <c r="G29" s="2612"/>
      <c r="H29" s="447"/>
      <c r="I29" s="2612"/>
      <c r="J29" s="447"/>
      <c r="K29" s="612"/>
      <c r="L29" s="1139"/>
      <c r="M29" s="1130"/>
      <c r="N29" s="1130"/>
      <c r="O29" s="1138"/>
      <c r="P29" s="3189"/>
      <c r="Q29" s="1809"/>
      <c r="R29" s="773"/>
      <c r="S29" s="774"/>
      <c r="T29" s="773"/>
      <c r="U29" s="774"/>
      <c r="V29" s="773"/>
      <c r="W29" s="774"/>
      <c r="X29" s="1812"/>
      <c r="Y29" s="3189"/>
      <c r="Z29" s="1813"/>
      <c r="AA29" s="1810">
        <v>1</v>
      </c>
      <c r="AB29" s="1810">
        <v>1</v>
      </c>
      <c r="AC29" s="1810">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89"/>
      <c r="Q30" s="1809" t="str">
        <f t="shared" si="8"/>
        <v>土地级别</v>
      </c>
      <c r="R30" s="773" t="s">
        <v>17</v>
      </c>
      <c r="S30" s="774">
        <f t="shared" si="10"/>
        <v>100</v>
      </c>
      <c r="T30" s="773" t="s">
        <v>17</v>
      </c>
      <c r="U30" s="774">
        <f t="shared" si="11"/>
        <v>100</v>
      </c>
      <c r="V30" s="773" t="s">
        <v>17</v>
      </c>
      <c r="W30" s="774">
        <f t="shared" si="12"/>
        <v>100</v>
      </c>
      <c r="X30" s="1812"/>
      <c r="Y30" s="3189"/>
      <c r="Z30" s="1813" t="str">
        <f t="shared" si="13"/>
        <v>土地级别</v>
      </c>
      <c r="AA30" s="1810">
        <f t="shared" si="3"/>
        <v>1</v>
      </c>
      <c r="AB30" s="1810">
        <f t="shared" si="4"/>
        <v>1</v>
      </c>
      <c r="AC30" s="1810">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89"/>
      <c r="Q31" s="1809">
        <f t="shared" si="8"/>
        <v>111</v>
      </c>
      <c r="R31" s="773" t="s">
        <v>17</v>
      </c>
      <c r="S31" s="774">
        <f t="shared" si="10"/>
        <v>100</v>
      </c>
      <c r="T31" s="773" t="s">
        <v>17</v>
      </c>
      <c r="U31" s="774">
        <f t="shared" si="11"/>
        <v>100</v>
      </c>
      <c r="V31" s="773" t="s">
        <v>17</v>
      </c>
      <c r="W31" s="774">
        <f t="shared" si="12"/>
        <v>100</v>
      </c>
      <c r="X31" s="1812"/>
      <c r="Y31" s="3189"/>
      <c r="Z31" s="1813">
        <f t="shared" si="13"/>
        <v>111</v>
      </c>
      <c r="AA31" s="1810">
        <f t="shared" si="3"/>
        <v>1</v>
      </c>
      <c r="AB31" s="1810">
        <f t="shared" si="4"/>
        <v>1</v>
      </c>
      <c r="AC31" s="1810">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6" t="s">
        <v>2564</v>
      </c>
      <c r="Q32" s="1809">
        <f t="shared" si="8"/>
        <v>111</v>
      </c>
      <c r="R32" s="773" t="s">
        <v>17</v>
      </c>
      <c r="S32" s="774">
        <f t="shared" si="10"/>
        <v>100</v>
      </c>
      <c r="T32" s="773" t="s">
        <v>17</v>
      </c>
      <c r="U32" s="774">
        <f t="shared" si="11"/>
        <v>100</v>
      </c>
      <c r="V32" s="773" t="s">
        <v>17</v>
      </c>
      <c r="W32" s="774">
        <f t="shared" si="12"/>
        <v>100</v>
      </c>
      <c r="X32" s="1812"/>
      <c r="Y32" s="3193" t="s">
        <v>2564</v>
      </c>
      <c r="Z32" s="1813">
        <f t="shared" si="13"/>
        <v>111</v>
      </c>
      <c r="AA32" s="1810">
        <f t="shared" si="3"/>
        <v>1</v>
      </c>
      <c r="AB32" s="1810">
        <f t="shared" si="4"/>
        <v>1</v>
      </c>
      <c r="AC32" s="1810">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93"/>
      <c r="Q33" s="1809">
        <f t="shared" si="8"/>
        <v>111</v>
      </c>
      <c r="R33" s="776" t="s">
        <v>17</v>
      </c>
      <c r="S33" s="777">
        <f t="shared" si="10"/>
        <v>100</v>
      </c>
      <c r="T33" s="776" t="s">
        <v>17</v>
      </c>
      <c r="U33" s="777">
        <f t="shared" si="11"/>
        <v>100</v>
      </c>
      <c r="V33" s="776" t="s">
        <v>17</v>
      </c>
      <c r="W33" s="777">
        <f t="shared" si="12"/>
        <v>100</v>
      </c>
      <c r="X33" s="778"/>
      <c r="Y33" s="3193"/>
      <c r="Z33" s="779">
        <f t="shared" si="13"/>
        <v>111</v>
      </c>
      <c r="AA33" s="1810">
        <f t="shared" si="3"/>
        <v>1</v>
      </c>
      <c r="AB33" s="1810">
        <f t="shared" si="4"/>
        <v>1</v>
      </c>
      <c r="AC33" s="1810">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93"/>
      <c r="Q34" s="1809" t="str">
        <f>B34</f>
        <v>宗地面积</v>
      </c>
      <c r="R34" s="773" t="s">
        <v>17</v>
      </c>
      <c r="S34" s="774" t="e">
        <f t="shared" si="10"/>
        <v>#N/A</v>
      </c>
      <c r="T34" s="773" t="s">
        <v>17</v>
      </c>
      <c r="U34" s="774" t="e">
        <f t="shared" si="11"/>
        <v>#N/A</v>
      </c>
      <c r="V34" s="773" t="s">
        <v>17</v>
      </c>
      <c r="W34" s="774" t="e">
        <f t="shared" si="12"/>
        <v>#N/A</v>
      </c>
      <c r="X34" s="1812"/>
      <c r="Y34" s="3193"/>
      <c r="Z34" s="1813" t="str">
        <f t="shared" si="13"/>
        <v>宗地面积</v>
      </c>
      <c r="AA34" s="1810" t="e">
        <f t="shared" si="3"/>
        <v>#N/A</v>
      </c>
      <c r="AB34" s="1810" t="e">
        <f t="shared" si="4"/>
        <v>#N/A</v>
      </c>
      <c r="AC34" s="1810" t="e">
        <f t="shared" si="5"/>
        <v>#N/A</v>
      </c>
    </row>
    <row r="35" spans="1:29" ht="15">
      <c r="A35" s="471"/>
      <c r="B35" s="421" t="s">
        <v>2751</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39"/>
      <c r="M35" s="1130"/>
      <c r="N35" s="1130"/>
      <c r="O35" s="1138"/>
      <c r="P35" s="3193"/>
      <c r="Q35" s="1809" t="str">
        <f t="shared" ref="Q35:Q40" si="14">B35</f>
        <v>宗地形状</v>
      </c>
      <c r="R35" s="773" t="s">
        <v>17</v>
      </c>
      <c r="S35" s="774">
        <f t="shared" si="10"/>
        <v>100</v>
      </c>
      <c r="T35" s="773" t="s">
        <v>17</v>
      </c>
      <c r="U35" s="774">
        <f t="shared" si="11"/>
        <v>100</v>
      </c>
      <c r="V35" s="773" t="s">
        <v>17</v>
      </c>
      <c r="W35" s="774">
        <f t="shared" si="12"/>
        <v>100</v>
      </c>
      <c r="X35" s="1812"/>
      <c r="Y35" s="3193"/>
      <c r="Z35" s="1813" t="str">
        <f t="shared" si="13"/>
        <v>宗地形状</v>
      </c>
      <c r="AA35" s="1810">
        <f t="shared" si="3"/>
        <v>1</v>
      </c>
      <c r="AB35" s="1810">
        <f t="shared" si="4"/>
        <v>1</v>
      </c>
      <c r="AC35" s="1810">
        <f t="shared" si="5"/>
        <v>1</v>
      </c>
    </row>
    <row r="36" spans="1:29" s="116" customFormat="1" ht="15">
      <c r="A36" s="472"/>
      <c r="B36" s="421" t="s">
        <v>2753</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1"/>
      <c r="M36" s="1132"/>
      <c r="N36" s="1132"/>
      <c r="O36" s="1133"/>
      <c r="P36" s="3193"/>
      <c r="Q36" s="1809" t="str">
        <f t="shared" si="14"/>
        <v>宗地开发程度</v>
      </c>
      <c r="R36" s="769" t="s">
        <v>17</v>
      </c>
      <c r="S36" s="770">
        <f t="shared" si="10"/>
        <v>100</v>
      </c>
      <c r="T36" s="769" t="s">
        <v>17</v>
      </c>
      <c r="U36" s="770">
        <f t="shared" si="11"/>
        <v>100</v>
      </c>
      <c r="V36" s="769" t="s">
        <v>17</v>
      </c>
      <c r="W36" s="770">
        <f t="shared" si="12"/>
        <v>100</v>
      </c>
      <c r="X36" s="771"/>
      <c r="Y36" s="3193"/>
      <c r="Z36" s="54" t="str">
        <f t="shared" si="13"/>
        <v>宗地开发程度</v>
      </c>
      <c r="AA36" s="772">
        <f t="shared" si="3"/>
        <v>1</v>
      </c>
      <c r="AB36" s="772">
        <f t="shared" si="4"/>
        <v>1</v>
      </c>
      <c r="AC36" s="772">
        <f t="shared" si="5"/>
        <v>1</v>
      </c>
    </row>
    <row r="37" spans="1:29" ht="15">
      <c r="A37" s="471"/>
      <c r="B37" s="421" t="s">
        <v>2754</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39"/>
      <c r="M37" s="1130"/>
      <c r="N37" s="1130"/>
      <c r="O37" s="1138"/>
      <c r="P37" s="3193" t="s">
        <v>2564</v>
      </c>
      <c r="Q37" s="1809" t="str">
        <f t="shared" si="14"/>
        <v>工程地质条件</v>
      </c>
      <c r="R37" s="773" t="s">
        <v>17</v>
      </c>
      <c r="S37" s="774">
        <f t="shared" si="10"/>
        <v>100</v>
      </c>
      <c r="T37" s="773" t="s">
        <v>17</v>
      </c>
      <c r="U37" s="774">
        <f t="shared" si="11"/>
        <v>100</v>
      </c>
      <c r="V37" s="773" t="s">
        <v>17</v>
      </c>
      <c r="W37" s="774">
        <f t="shared" si="12"/>
        <v>100</v>
      </c>
      <c r="X37" s="1812"/>
      <c r="Y37" s="3193" t="s">
        <v>2564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93"/>
      <c r="Q38" s="1809">
        <f t="shared" si="14"/>
        <v>111</v>
      </c>
      <c r="R38" s="773" t="s">
        <v>17</v>
      </c>
      <c r="S38" s="774">
        <f t="shared" si="10"/>
        <v>100</v>
      </c>
      <c r="T38" s="773" t="s">
        <v>17</v>
      </c>
      <c r="U38" s="774">
        <f t="shared" si="11"/>
        <v>100</v>
      </c>
      <c r="V38" s="773" t="s">
        <v>17</v>
      </c>
      <c r="W38" s="774">
        <f t="shared" si="12"/>
        <v>100</v>
      </c>
      <c r="X38" s="1812"/>
      <c r="Y38" s="3193"/>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93"/>
      <c r="Q39" s="1809">
        <f t="shared" si="14"/>
        <v>111</v>
      </c>
      <c r="R39" s="773" t="s">
        <v>17</v>
      </c>
      <c r="S39" s="774">
        <f t="shared" si="10"/>
        <v>100</v>
      </c>
      <c r="T39" s="773" t="s">
        <v>17</v>
      </c>
      <c r="U39" s="774">
        <f t="shared" si="11"/>
        <v>100</v>
      </c>
      <c r="V39" s="773" t="s">
        <v>17</v>
      </c>
      <c r="W39" s="774">
        <f t="shared" si="12"/>
        <v>100</v>
      </c>
      <c r="X39" s="1812"/>
      <c r="Y39" s="3193"/>
      <c r="Z39" s="1813">
        <f t="shared" si="13"/>
        <v>111</v>
      </c>
      <c r="AA39" s="1810">
        <f t="shared" si="3"/>
        <v>1</v>
      </c>
      <c r="AB39" s="1810">
        <f t="shared" si="4"/>
        <v>1</v>
      </c>
      <c r="AC39" s="1810">
        <f t="shared" si="5"/>
        <v>1</v>
      </c>
    </row>
    <row r="40" spans="1:29" s="470" customFormat="1" ht="15.75" thickBot="1">
      <c r="A40" s="467"/>
      <c r="B40" s="1386">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93"/>
      <c r="Q40" s="1809">
        <f t="shared" si="14"/>
        <v>111</v>
      </c>
      <c r="R40" s="776" t="s">
        <v>17</v>
      </c>
      <c r="S40" s="777">
        <f t="shared" si="10"/>
        <v>100</v>
      </c>
      <c r="T40" s="776" t="s">
        <v>17</v>
      </c>
      <c r="U40" s="777">
        <f t="shared" si="11"/>
        <v>100</v>
      </c>
      <c r="V40" s="776" t="s">
        <v>17</v>
      </c>
      <c r="W40" s="777">
        <f t="shared" si="12"/>
        <v>100</v>
      </c>
      <c r="X40" s="778"/>
      <c r="Y40" s="3193"/>
      <c r="Z40" s="779">
        <f t="shared" si="13"/>
        <v>111</v>
      </c>
      <c r="AA40" s="1810">
        <f t="shared" si="3"/>
        <v>1</v>
      </c>
      <c r="AB40" s="1810">
        <f t="shared" si="4"/>
        <v>1</v>
      </c>
      <c r="AC40" s="1810">
        <f t="shared" si="5"/>
        <v>1</v>
      </c>
    </row>
    <row r="41" spans="1:29" ht="15">
      <c r="A41" s="478" t="s">
        <v>2719</v>
      </c>
      <c r="B41" s="2705" t="s">
        <v>2799</v>
      </c>
      <c r="C41" s="681" t="s">
        <v>1</v>
      </c>
      <c r="D41" s="480"/>
      <c r="E41" s="481"/>
      <c r="F41" s="482"/>
      <c r="G41" s="483"/>
      <c r="H41" s="484"/>
      <c r="I41" s="481"/>
      <c r="J41" s="484"/>
      <c r="K41" s="782"/>
      <c r="L41" s="1142"/>
      <c r="M41" s="1130"/>
      <c r="N41" s="1130"/>
      <c r="O41" s="1143"/>
      <c r="P41" s="3195" t="str">
        <f>A41</f>
        <v>成交单价</v>
      </c>
      <c r="Q41" s="3195"/>
      <c r="R41" s="3157">
        <f>E41</f>
        <v>0</v>
      </c>
      <c r="S41" s="3157"/>
      <c r="T41" s="3157">
        <f>G41</f>
        <v>0</v>
      </c>
      <c r="U41" s="3157"/>
      <c r="V41" s="3157">
        <f>I41</f>
        <v>0</v>
      </c>
      <c r="W41" s="3157"/>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195" t="str">
        <f>A42</f>
        <v>比较价值（元/平方米）</v>
      </c>
      <c r="Q42" s="3195"/>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197" t="str">
        <f>A43</f>
        <v>估价对象XX用房的比较价值（楼面单价，元/平方米）</v>
      </c>
      <c r="Q43" s="3198"/>
      <c r="R43" s="3248" t="e">
        <f>ROUND(AVERAGE(R42:V42),0)</f>
        <v>#DIV/0!</v>
      </c>
      <c r="S43" s="3248"/>
      <c r="T43" s="3248"/>
      <c r="U43" s="3248"/>
      <c r="V43" s="3248"/>
      <c r="W43" s="324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6" t="s">
        <v>2759</v>
      </c>
      <c r="D50" s="2707" t="s">
        <v>2760</v>
      </c>
      <c r="E50" s="685" t="s">
        <v>2761</v>
      </c>
      <c r="F50" s="686" t="s">
        <v>2762</v>
      </c>
      <c r="G50" s="3173" t="s">
        <v>2763</v>
      </c>
      <c r="H50" s="3249"/>
      <c r="I50" s="1813" t="s">
        <v>2800</v>
      </c>
      <c r="J50" s="1813">
        <f>项目基本情况!F35</f>
        <v>0</v>
      </c>
      <c r="K50" s="2709" t="s">
        <v>2765</v>
      </c>
      <c r="L50" s="1105"/>
      <c r="M50" s="1143"/>
      <c r="N50" s="1143"/>
      <c r="O50" s="1143"/>
    </row>
    <row r="51" spans="1:17" s="691" customFormat="1">
      <c r="A51" s="687" t="s">
        <v>2766</v>
      </c>
      <c r="B51" s="688" t="e">
        <f>C43</f>
        <v>#DIV/0!</v>
      </c>
      <c r="C51" s="689">
        <v>1</v>
      </c>
      <c r="D51" s="1162">
        <v>1</v>
      </c>
      <c r="E51" s="689">
        <f>'数据-汇总表'!E8+'数据-汇总表'!E9</f>
        <v>3967.28</v>
      </c>
      <c r="F51" s="690" t="e">
        <f t="shared" ref="F51:F60" si="15">ROUND(B51*E51/10000,0)</f>
        <v>#DIV/0!</v>
      </c>
      <c r="G51" s="3172"/>
      <c r="H51" s="3195"/>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250"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250"/>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250"/>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250"/>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10"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10"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11"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1983.64</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12" t="s">
        <v>2781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6" customFormat="1" ht="30.75" customHeight="1">
      <c r="A66" s="2717" t="s">
        <v>2801</v>
      </c>
      <c r="B66" s="331"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2556</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2690</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2749</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2791</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39" t="s">
        <v>2803</v>
      </c>
      <c r="B1" s="240"/>
      <c r="C1" s="244" t="s">
        <v>2804</v>
      </c>
      <c r="D1" s="387">
        <f>SUM(D29:D30,D33:D39)</f>
        <v>0</v>
      </c>
      <c r="E1" s="2718"/>
      <c r="F1" s="2718"/>
      <c r="G1" s="2718"/>
      <c r="H1" s="2718"/>
      <c r="I1" s="2718"/>
      <c r="J1" s="2718"/>
      <c r="K1" s="1369"/>
      <c r="L1" s="2719" t="s">
        <v>2805</v>
      </c>
      <c r="M1" s="1079">
        <f>SUMPRODUCT((区片价!B5:B9=I2)*(区片价!C3:F3=E2)*(区片价!C5:F9))</f>
        <v>0</v>
      </c>
      <c r="N1" s="1082">
        <f>SUMPRODUCT((因素修正幅度!B5:B9=I2)*(因素修正幅度!C3:F3=E2)*(因素修正幅度!C5:F9))</f>
        <v>0</v>
      </c>
      <c r="O1" s="2720"/>
      <c r="P1" s="2720"/>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t="e">
        <f>C26</f>
        <v>#DIV/0!</v>
      </c>
      <c r="C2" s="2722" t="s">
        <v>2812</v>
      </c>
      <c r="D2" s="2723" t="s">
        <v>2813</v>
      </c>
      <c r="E2" s="2724"/>
      <c r="F2" s="2723" t="s">
        <v>2814</v>
      </c>
      <c r="G2" s="2725">
        <f>IF(E2="商业",项目基本情况!B37,IF(E2="办公",项目基本情况!C37,IF(E2="住宅",项目基本情况!D37,项目基本情况!E37)))</f>
        <v>0</v>
      </c>
      <c r="H2" s="2723" t="s">
        <v>2815</v>
      </c>
      <c r="I2" s="2725">
        <f>IF(E2="商业",项目基本情况!B38,IF(E2="办公",项目基本情况!C38,IF(E2="住宅",项目基本情况!D38,项目基本情况!E38)))</f>
        <v>0</v>
      </c>
      <c r="J2" s="2726"/>
      <c r="K2" s="1369"/>
      <c r="L2" s="2727"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2817</v>
      </c>
      <c r="B3" s="247" t="e">
        <f>ROUND(B2*10000/D1,0)</f>
        <v>#DIV/0!</v>
      </c>
      <c r="C3" s="2722" t="s">
        <v>2818</v>
      </c>
      <c r="D3" s="2723" t="s">
        <v>2819</v>
      </c>
      <c r="E3" s="2728"/>
      <c r="F3" s="2729" t="s">
        <v>2820</v>
      </c>
      <c r="G3" s="915">
        <f>IF(F3="宗地容积率",'数据-汇总表'!I4,IF(F3="估价对象容积率",'数据-汇总表'!I6,'数据-汇总表'!I7))</f>
        <v>2</v>
      </c>
      <c r="H3" s="197" t="s">
        <v>2821</v>
      </c>
      <c r="I3" s="943"/>
      <c r="J3" s="2726" t="s">
        <v>2822</v>
      </c>
      <c r="K3" s="1369"/>
      <c r="L3" s="2727"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1"/>
      <c r="B4" s="3272"/>
      <c r="C4" s="3272"/>
      <c r="D4" s="3273"/>
      <c r="E4" s="3273"/>
      <c r="F4" s="3273"/>
      <c r="G4" s="3273"/>
      <c r="H4" s="3273"/>
      <c r="I4" s="3273"/>
      <c r="J4" s="3274"/>
      <c r="K4" s="1369"/>
      <c r="L4" s="2727"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2825</v>
      </c>
      <c r="C5" s="916" t="e">
        <f>ROUND(IF(E2="商业",C6*C7+C16,(IF(E2="住宅",C6*C12+C16,C6+C16))),0)</f>
        <v>#DIV/0!</v>
      </c>
      <c r="D5" s="1786" t="e">
        <f>ROUND(C6+C16,0)</f>
        <v>#DIV/0!</v>
      </c>
      <c r="E5" s="1786"/>
      <c r="F5" s="2732"/>
      <c r="G5" s="2733"/>
      <c r="H5" s="2733"/>
      <c r="I5" s="2733"/>
      <c r="J5" s="2734"/>
      <c r="K5" s="2735"/>
      <c r="L5" s="2727" t="s">
        <v>2826</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6"/>
      <c r="AD5" s="2737"/>
      <c r="AE5" s="2737"/>
      <c r="AF5" s="2737"/>
      <c r="AG5" s="2737"/>
      <c r="AH5" s="2737"/>
      <c r="AI5" s="2737"/>
      <c r="AJ5" s="2738"/>
    </row>
    <row r="6" spans="1:36" ht="15.75" thickBot="1">
      <c r="A6" s="2740" t="s">
        <v>2827</v>
      </c>
      <c r="B6" s="2741" t="s">
        <v>2828</v>
      </c>
      <c r="C6" s="917">
        <f>SUMIF(L1:L12,G2,M1:M12)</f>
        <v>0</v>
      </c>
      <c r="D6" s="2742" t="s">
        <v>2829</v>
      </c>
      <c r="E6" s="2743"/>
      <c r="F6" s="2743"/>
      <c r="G6" s="2744"/>
      <c r="H6" s="2744"/>
      <c r="I6" s="2744"/>
      <c r="J6" s="2745"/>
      <c r="K6" s="1841"/>
      <c r="L6" s="2727"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6"/>
      <c r="AD6" s="2737"/>
      <c r="AE6" s="2737"/>
      <c r="AF6" s="2737"/>
      <c r="AG6" s="2737"/>
      <c r="AH6" s="2737"/>
      <c r="AI6" s="2737"/>
      <c r="AJ6" s="2738"/>
    </row>
    <row r="7" spans="1:36" ht="24">
      <c r="A7" s="3255" t="str">
        <f>IF(E2="商业",IF(C8="不临58条商业街","",2),"")</f>
        <v/>
      </c>
      <c r="B7" s="2746" t="s">
        <v>2831</v>
      </c>
      <c r="C7" s="918" t="e">
        <f>IF(C8="不临58条商业街",1,ROUND(1+(1.6*E8+1.2*E9+0.8*E10+0.4*E11)*C9,4))</f>
        <v>#DIV/0!</v>
      </c>
      <c r="D7" s="2747" t="s">
        <v>2832</v>
      </c>
      <c r="E7" s="944"/>
      <c r="F7" s="2748"/>
      <c r="G7" s="2749"/>
      <c r="H7" s="2749"/>
      <c r="I7" s="2749"/>
      <c r="J7" s="2750"/>
      <c r="K7" s="1841"/>
      <c r="L7" s="2727"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2</v>
      </c>
      <c r="AA7" s="1605"/>
      <c r="AB7" s="1605"/>
      <c r="AC7" s="1606"/>
      <c r="AD7" s="1607"/>
      <c r="AE7" s="1607"/>
      <c r="AF7" s="1607"/>
      <c r="AG7" s="1607"/>
      <c r="AH7" s="1607"/>
      <c r="AI7" s="1607"/>
      <c r="AJ7" s="1608"/>
    </row>
    <row r="8" spans="1:36" ht="15">
      <c r="A8" s="3275"/>
      <c r="B8" s="197" t="s">
        <v>2836</v>
      </c>
      <c r="C8" s="2751"/>
      <c r="D8" s="919" t="s">
        <v>139</v>
      </c>
      <c r="E8" s="920" t="e">
        <f>ROUND(C11/E7,4)</f>
        <v>#DIV/0!</v>
      </c>
      <c r="F8" s="2752" t="s">
        <v>2837</v>
      </c>
      <c r="G8" s="2753"/>
      <c r="H8" s="2753"/>
      <c r="I8" s="2753"/>
      <c r="J8" s="2754"/>
      <c r="K8" s="1369"/>
      <c r="L8" s="2727"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8" t="s">
        <v>2839</v>
      </c>
      <c r="X8" s="3269"/>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75"/>
      <c r="B9" s="197" t="s">
        <v>2852</v>
      </c>
      <c r="C9" s="921">
        <f>SUMIF(修正!C59:C119,C8,修正!E59:E119)</f>
        <v>0</v>
      </c>
      <c r="D9" s="199" t="s">
        <v>140</v>
      </c>
      <c r="E9" s="199" t="e">
        <f>ROUND(C11/E7,4)</f>
        <v>#DIV/0!</v>
      </c>
      <c r="F9" s="2752" t="s">
        <v>2853</v>
      </c>
      <c r="G9" s="2753"/>
      <c r="H9" s="2753"/>
      <c r="I9" s="2753"/>
      <c r="J9" s="2754"/>
      <c r="K9" s="1369"/>
      <c r="L9" s="2727"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0"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5"/>
      <c r="B10" s="197" t="s">
        <v>2857</v>
      </c>
      <c r="C10" s="199">
        <f>SUMIF(修正!C59:C119,C8,修正!F59:F119)</f>
        <v>0</v>
      </c>
      <c r="D10" s="199" t="s">
        <v>141</v>
      </c>
      <c r="E10" s="199" t="e">
        <f>ROUND(C11/E7,4)</f>
        <v>#DIV/0!</v>
      </c>
      <c r="F10" s="2752" t="s">
        <v>2858</v>
      </c>
      <c r="G10" s="2753"/>
      <c r="H10" s="2753"/>
      <c r="I10" s="2753"/>
      <c r="J10" s="2754"/>
      <c r="K10" s="1369"/>
      <c r="L10" s="2727"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5"/>
      <c r="B11" s="2755" t="s">
        <v>2860</v>
      </c>
      <c r="C11" s="922">
        <f>C10/4</f>
        <v>0</v>
      </c>
      <c r="D11" s="922" t="s">
        <v>142</v>
      </c>
      <c r="E11" s="922" t="e">
        <f>ROUND(C11/E7,4)</f>
        <v>#DIV/0!</v>
      </c>
      <c r="F11" s="2756" t="s">
        <v>2861</v>
      </c>
      <c r="G11" s="2757"/>
      <c r="H11" s="2757"/>
      <c r="I11" s="2757"/>
      <c r="J11" s="2758"/>
      <c r="K11" s="1369"/>
      <c r="L11" s="2727"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0" t="s">
        <v>2863</v>
      </c>
      <c r="X11" s="1613" t="s">
        <v>2864</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5" thickBot="1">
      <c r="A12" s="3255" t="s">
        <v>2865</v>
      </c>
      <c r="B12" s="2759" t="s">
        <v>2866</v>
      </c>
      <c r="C12" s="918">
        <f>ROUND(C15*D15*E15*F15*G15*H15*I15*J15,4)</f>
        <v>1</v>
      </c>
      <c r="D12" s="2760" t="s">
        <v>2867</v>
      </c>
      <c r="E12" s="2761"/>
      <c r="F12" s="2761"/>
      <c r="G12" s="2762"/>
      <c r="H12" s="2762"/>
      <c r="I12" s="2762"/>
      <c r="J12" s="2763"/>
      <c r="K12" s="1369"/>
      <c r="L12" s="2764"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0"/>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6"/>
      <c r="B13" s="2765" t="s">
        <v>2870</v>
      </c>
      <c r="C13" s="2766" t="s">
        <v>2871</v>
      </c>
      <c r="D13" s="1807" t="s">
        <v>2872</v>
      </c>
      <c r="E13" s="1807" t="s">
        <v>2873</v>
      </c>
      <c r="F13" s="29" t="s">
        <v>2874</v>
      </c>
      <c r="G13" s="2767" t="s">
        <v>2875</v>
      </c>
      <c r="H13" s="2767" t="s">
        <v>2875</v>
      </c>
      <c r="I13" s="2767" t="s">
        <v>2875</v>
      </c>
      <c r="J13" s="2768" t="s">
        <v>2875</v>
      </c>
      <c r="K13" s="1369"/>
      <c r="L13" s="1369"/>
      <c r="M13" s="1369"/>
      <c r="N13" s="1369"/>
      <c r="O13" s="1369"/>
      <c r="P13" s="1369"/>
      <c r="Q13" s="1369"/>
      <c r="R13" s="1601">
        <v>12</v>
      </c>
      <c r="S13" s="1602"/>
      <c r="T13" s="1601" t="e">
        <f t="shared" si="0"/>
        <v>#DIV/0!</v>
      </c>
      <c r="U13" s="1602"/>
      <c r="V13" s="1601" t="e">
        <f t="shared" si="1"/>
        <v>#DIV/0!</v>
      </c>
      <c r="W13" s="3270"/>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276"/>
      <c r="B14" s="2769"/>
      <c r="C14" s="2770"/>
      <c r="D14" s="2771"/>
      <c r="E14" s="2771"/>
      <c r="F14" s="2772"/>
      <c r="G14" s="2773" t="s">
        <v>2876</v>
      </c>
      <c r="H14" s="2774"/>
      <c r="I14" s="2775"/>
      <c r="J14" s="277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7"/>
      <c r="B15" s="2777" t="s">
        <v>2877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55" t="s">
        <v>2882</v>
      </c>
      <c r="B16" s="2746" t="s">
        <v>2883</v>
      </c>
      <c r="C16" s="2933" t="e">
        <f>ROUND(IF(F17="与级别开发程度一致",0,(G17-E17)/C17),0)</f>
        <v>#DIV/0!</v>
      </c>
      <c r="D16" s="3266" t="s">
        <v>2887</v>
      </c>
      <c r="E16" s="3267"/>
      <c r="F16" s="3266" t="s">
        <v>2884</v>
      </c>
      <c r="G16" s="3267"/>
      <c r="H16" s="2780"/>
      <c r="I16" s="2780"/>
      <c r="J16" s="2937"/>
      <c r="K16" s="2780"/>
      <c r="L16" s="2780"/>
      <c r="M16" s="2780"/>
      <c r="N16" s="2780"/>
      <c r="O16" s="278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56"/>
      <c r="B17" s="2944" t="s">
        <v>2886</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2889</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7.75" thickBot="1">
      <c r="A19" s="2785" t="s">
        <v>809</v>
      </c>
      <c r="B19" s="2786" t="s">
        <v>2890</v>
      </c>
      <c r="C19" s="923" t="e">
        <f>ROUND(IF(H19="按公示增长率计算",SUMPRODUCT((地价!A3:A29=YEAR(G19)&amp;"-"&amp;ROUNDUP(MONTH(G19)/3,0))*(地价!X2:AB2=E2)*(地价!X3:AB29)),IF(H19="地价指数",M20/M19,(1+I19)^O19)),4)</f>
        <v>#VALUE!</v>
      </c>
      <c r="D19" s="2790" t="s">
        <v>2891</v>
      </c>
      <c r="E19" s="924">
        <v>41640</v>
      </c>
      <c r="F19" s="2790" t="s">
        <v>2892</v>
      </c>
      <c r="G19" s="925">
        <f>'数据-取费表'!B2</f>
        <v>43969</v>
      </c>
      <c r="H19" s="2791"/>
      <c r="I19" s="926" t="str">
        <f>IF(H19="季度增幅（自定义）",SUMIF(N21:N24,E2,O21:O24),"")</f>
        <v/>
      </c>
      <c r="J19" s="2788"/>
      <c r="K19" s="1376"/>
      <c r="L19" s="2792" t="s">
        <v>2893</v>
      </c>
      <c r="M19" s="1733">
        <f>ROUND(SUMIF(地价!B2:F2,E2,地价!B29:F29),0)</f>
        <v>0</v>
      </c>
      <c r="N19" s="2793" t="s">
        <v>2894</v>
      </c>
      <c r="O19" s="927">
        <f>ROUNDDOWN(DATEDIF(E19,G19,"M")/3,0)</f>
        <v>25</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2895</v>
      </c>
      <c r="C20" s="928" t="e">
        <f>ROUND(POWER(1+G20,J20-I20)*(POWER(1+G20,I20)-1)/(POWER(1+G20,J20)-1),4)</f>
        <v>#DIV/0!</v>
      </c>
      <c r="D20" s="2799" t="s">
        <v>2896</v>
      </c>
      <c r="E20" s="1767">
        <f ca="1">存贷款利率!D4/100</f>
        <v>4.3499999999999997E-2</v>
      </c>
      <c r="F20" s="2799" t="s">
        <v>2888</v>
      </c>
      <c r="G20" s="933">
        <f>SUMIF(M26:P26,E2,M28:P28)</f>
        <v>0</v>
      </c>
      <c r="H20" s="2799" t="s">
        <v>2897</v>
      </c>
      <c r="I20" s="934" t="e">
        <f>SUMIF('数据-取费表'!C6:C15,E2,'数据-取费表'!F6:F15)/COUNTIF('数据-取费表'!C6:C15,E2)</f>
        <v>#DIV/0!</v>
      </c>
      <c r="J20" s="935">
        <f>IF(E2="住宅",70,IF(E2="商业",40,50))</f>
        <v>50</v>
      </c>
      <c r="K20" s="1376"/>
      <c r="L20" s="2800" t="s">
        <v>2898</v>
      </c>
      <c r="M20" s="1734">
        <f>ROUND(SUMPRODUCT((地价!A4:A29=YEAR(G19)&amp;"-"&amp;ROUNDUP(MONTH(G19)/3,0))*(地价!B2:F2=E2)*(地价!B4:F29)),0)</f>
        <v>0</v>
      </c>
      <c r="N20" s="2801" t="s">
        <v>2899</v>
      </c>
      <c r="O20" s="2802" t="s">
        <v>2900</v>
      </c>
      <c r="P20" s="2803" t="s">
        <v>2901</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2902</v>
      </c>
      <c r="C21" s="936">
        <f>IF(B21="容积率修正",IF(G3&lt;=10,D22,J22),C23)</f>
        <v>0</v>
      </c>
      <c r="D21" s="2806"/>
      <c r="E21" s="2806"/>
      <c r="F21" s="2806"/>
      <c r="G21" s="2806"/>
      <c r="H21" s="2806"/>
      <c r="I21" s="2806"/>
      <c r="J21" s="2807"/>
      <c r="K21" s="1376"/>
      <c r="N21" s="2808" t="s">
        <v>2903</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9" customFormat="1" ht="14.25">
      <c r="A22" s="2665" t="s">
        <v>2904</v>
      </c>
      <c r="B22" s="2809" t="s">
        <v>2905</v>
      </c>
      <c r="C22" s="1809" t="s">
        <v>2906</v>
      </c>
      <c r="D22" s="1809" t="b">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8" t="s">
        <v>2907</v>
      </c>
      <c r="O22" s="1560"/>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65" t="s">
        <v>2908</v>
      </c>
      <c r="B23" s="2810" t="s">
        <v>2909</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2910</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2911</v>
      </c>
      <c r="C24" s="923">
        <f>SUMIF(A45:A88,E2,B45:B88)</f>
        <v>0</v>
      </c>
      <c r="D24" s="2787"/>
      <c r="E24" s="2816"/>
      <c r="F24" s="2816"/>
      <c r="G24" s="2816"/>
      <c r="H24" s="2816"/>
      <c r="I24" s="2816"/>
      <c r="J24" s="2817"/>
      <c r="K24" s="1376"/>
      <c r="N24" s="2818" t="s">
        <v>2912</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2913</v>
      </c>
      <c r="C25" s="929"/>
      <c r="D25" s="2749"/>
      <c r="E25" s="2749"/>
      <c r="F25" s="2820"/>
      <c r="G25" s="2749"/>
      <c r="H25" s="2749"/>
      <c r="I25" s="2749"/>
      <c r="J25" s="2750"/>
      <c r="K25" s="1369"/>
      <c r="N25" s="2821" t="s">
        <v>2914</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22"/>
      <c r="B26" s="2809" t="s">
        <v>2915</v>
      </c>
      <c r="C26" s="205" t="e">
        <f>E29+SUM(E33:E39)</f>
        <v>#DIV/0!</v>
      </c>
      <c r="D26" s="2823"/>
      <c r="E26" s="2774"/>
      <c r="F26" s="2824"/>
      <c r="G26" s="2774"/>
      <c r="H26" s="2774"/>
      <c r="I26" s="2774"/>
      <c r="J26" s="2825"/>
      <c r="K26" s="1369"/>
      <c r="L26" s="2778" t="s">
        <v>2813</v>
      </c>
      <c r="M26" s="919" t="s">
        <v>2878</v>
      </c>
      <c r="N26" s="919" t="s">
        <v>2879</v>
      </c>
      <c r="O26" s="919" t="s">
        <v>2880</v>
      </c>
      <c r="P26" s="2779" t="s">
        <v>2881</v>
      </c>
      <c r="R26" s="1375"/>
      <c r="S26" s="1375"/>
      <c r="T26" s="1370"/>
      <c r="U26" s="1370"/>
      <c r="V26" s="1370"/>
      <c r="W26" s="1369"/>
      <c r="X26" s="1369"/>
      <c r="Y26" s="1369"/>
      <c r="Z26" s="1376"/>
      <c r="AA26" s="1377"/>
      <c r="AB26" s="1377"/>
      <c r="AC26" s="1377"/>
      <c r="AD26" s="1377"/>
    </row>
    <row r="27" spans="1:37" ht="15.75" thickBot="1">
      <c r="A27" s="2822"/>
      <c r="B27" s="2826" t="s">
        <v>2916</v>
      </c>
      <c r="C27" s="930" t="e">
        <f>E30+SUM(I33:I39)</f>
        <v>#DIV/0!</v>
      </c>
      <c r="D27" s="2827"/>
      <c r="E27" s="2828"/>
      <c r="F27" s="2829"/>
      <c r="G27" s="2828"/>
      <c r="H27" s="2828"/>
      <c r="I27" s="2828"/>
      <c r="J27" s="2830"/>
      <c r="K27" s="1369"/>
      <c r="L27" s="2782"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2917</v>
      </c>
      <c r="C28" s="2833" t="s">
        <v>2918</v>
      </c>
      <c r="D28" s="2833" t="s">
        <v>2919</v>
      </c>
      <c r="E28" s="2834" t="s">
        <v>2920</v>
      </c>
      <c r="F28" s="2835"/>
      <c r="G28" s="2762"/>
      <c r="H28" s="2762"/>
      <c r="I28" s="2762"/>
      <c r="J28" s="2763"/>
      <c r="K28" s="1369"/>
      <c r="L28" s="2783"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2921</v>
      </c>
      <c r="C29" s="205" t="e">
        <f>ROUND(C5*C18*C19*C20*C21*C24,0)</f>
        <v>#DIV/0!</v>
      </c>
      <c r="D29" s="2838"/>
      <c r="E29" s="941" t="e">
        <f>ROUND(C29*D29/10000,0)</f>
        <v>#DIV/0!</v>
      </c>
      <c r="F29" s="2839" t="s">
        <v>2922</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2923</v>
      </c>
      <c r="C30" s="228" t="e">
        <f>ROUND(IF(E2="工业",C29*M39,C29*M38),0)</f>
        <v>#DIV/0!</v>
      </c>
      <c r="D30" s="2844"/>
      <c r="E30" s="941" t="e">
        <f>ROUND(C30*D30/10000,0)</f>
        <v>#DIV/0!</v>
      </c>
      <c r="F30" s="2845" t="s">
        <v>2924</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2925</v>
      </c>
      <c r="C31" s="2850" t="s">
        <v>2926</v>
      </c>
      <c r="D31" s="2762"/>
      <c r="E31" s="2850"/>
      <c r="F31" s="2850"/>
      <c r="G31" s="2760" t="s">
        <v>2927</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0" t="s">
        <v>2918</v>
      </c>
      <c r="D32" s="497" t="s">
        <v>2919</v>
      </c>
      <c r="E32" s="497" t="s">
        <v>2920</v>
      </c>
      <c r="F32" s="387" t="s">
        <v>2928</v>
      </c>
      <c r="G32" s="2853" t="s">
        <v>2918</v>
      </c>
      <c r="H32" s="2853" t="s">
        <v>2919</v>
      </c>
      <c r="I32" s="2853"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63" t="s">
        <v>2929</v>
      </c>
      <c r="B33" s="2854" t="s">
        <v>2930</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4"/>
      <c r="B34" s="2766" t="s">
        <v>2931</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4"/>
      <c r="B35" s="2766" t="s">
        <v>2932</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9"/>
      <c r="L35" s="1369"/>
      <c r="M35" s="1369"/>
      <c r="N35" s="1369"/>
      <c r="O35" s="1369"/>
      <c r="P35" s="1369"/>
      <c r="Q35" s="1369"/>
      <c r="R35" s="1369"/>
      <c r="S35" s="1369"/>
      <c r="T35" s="1369"/>
      <c r="U35" s="1369"/>
      <c r="V35" s="1369"/>
      <c r="W35" s="1369"/>
      <c r="X35" s="1369"/>
      <c r="Y35" s="1369"/>
      <c r="Z35" s="1370"/>
    </row>
    <row r="36" spans="1:37" ht="13.5" thickBot="1">
      <c r="A36" s="3265"/>
      <c r="B36" s="2766" t="s">
        <v>2933</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2934</v>
      </c>
      <c r="C37" s="199" t="e">
        <f>ROUND(D5*C19*C20*C24*F37,0)</f>
        <v>#DIV/0!</v>
      </c>
      <c r="D37" s="2838"/>
      <c r="E37" s="199" t="e">
        <f t="shared" si="7"/>
        <v>#DIV/0!</v>
      </c>
      <c r="F37" s="205">
        <f>SUMIF(修正!A45:A56,G2,修正!F45:F56)</f>
        <v>0</v>
      </c>
      <c r="G37" s="199" t="e">
        <f>ROUND(IF(E2="工业",C37*$M$39,C37*$M$38),0)</f>
        <v>#DIV/0!</v>
      </c>
      <c r="H37" s="199">
        <f t="shared" si="8"/>
        <v>0</v>
      </c>
      <c r="I37" s="199" t="e">
        <f t="shared" si="9"/>
        <v>#DIV/0!</v>
      </c>
      <c r="J37" s="2855"/>
      <c r="K37" s="1369"/>
      <c r="L37" s="2857" t="s">
        <v>2935</v>
      </c>
      <c r="M37" s="2858"/>
      <c r="N37" s="1369"/>
      <c r="O37" s="1369"/>
      <c r="P37" s="1369"/>
      <c r="Q37" s="1369"/>
      <c r="R37" s="1369"/>
      <c r="S37" s="1369"/>
      <c r="T37" s="1369"/>
      <c r="U37" s="1369"/>
      <c r="V37" s="1369"/>
      <c r="W37" s="1369"/>
      <c r="X37" s="1369"/>
      <c r="Y37" s="1369"/>
      <c r="Z37" s="1370"/>
    </row>
    <row r="38" spans="1:37">
      <c r="A38" s="2856"/>
      <c r="B38" s="2766" t="s">
        <v>2936</v>
      </c>
      <c r="C38" s="199" t="e">
        <f>ROUND(D5*C19*C41*C24*F38,0)</f>
        <v>#DIV/0!</v>
      </c>
      <c r="D38" s="2838"/>
      <c r="E38" s="199" t="e">
        <f t="shared" si="7"/>
        <v>#DIV/0!</v>
      </c>
      <c r="F38" s="205">
        <f>SUMIF(修正!A45:A56,G2,修正!G45:G56)</f>
        <v>0</v>
      </c>
      <c r="G38" s="199" t="e">
        <f>ROUND(IF(E2="工业",C38*$M$39,C38*$M$38),0)</f>
        <v>#DIV/0!</v>
      </c>
      <c r="H38" s="199">
        <f t="shared" si="8"/>
        <v>0</v>
      </c>
      <c r="I38" s="199" t="e">
        <f t="shared" si="9"/>
        <v>#DIV/0!</v>
      </c>
      <c r="J38" s="2855"/>
      <c r="K38" s="1369"/>
      <c r="L38" s="1886" t="s">
        <v>2937</v>
      </c>
      <c r="M38" s="2859">
        <v>0.25</v>
      </c>
      <c r="N38" s="1369"/>
      <c r="O38" s="1369"/>
      <c r="P38" s="1369"/>
      <c r="Q38" s="1369"/>
      <c r="R38" s="1369"/>
      <c r="S38" s="1369"/>
      <c r="T38" s="1369"/>
      <c r="U38" s="1369"/>
      <c r="V38" s="1369"/>
      <c r="W38" s="1369"/>
      <c r="X38" s="1369"/>
      <c r="Y38" s="1369"/>
      <c r="Z38" s="1370"/>
    </row>
    <row r="39" spans="1:37" ht="13.5" thickBot="1">
      <c r="A39" s="2842"/>
      <c r="B39" s="2860" t="s">
        <v>2938</v>
      </c>
      <c r="C39" s="228" t="e">
        <f>ROUND(D5*C19*C41*C24*F39,0)</f>
        <v>#DIV/0!</v>
      </c>
      <c r="D39" s="2844"/>
      <c r="E39" s="228" t="e">
        <f t="shared" si="7"/>
        <v>#DIV/0!</v>
      </c>
      <c r="F39" s="931">
        <f>SUMIF(修正!A45:A56,G2,修正!H45:H56)</f>
        <v>0</v>
      </c>
      <c r="G39" s="228" t="e">
        <f>ROUND(IF(E2="工业",C39*$M$39,C39*$M$38),0)</f>
        <v>#DIV/0!</v>
      </c>
      <c r="H39" s="228">
        <f t="shared" si="8"/>
        <v>0</v>
      </c>
      <c r="I39" s="228" t="e">
        <f t="shared" si="9"/>
        <v>#DIV/0!</v>
      </c>
      <c r="J39" s="2861"/>
      <c r="K39" s="1369"/>
      <c r="L39" s="2862" t="s">
        <v>2881</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3046</v>
      </c>
      <c r="C41" s="387" t="e">
        <f>ROUND(POWER(1+E41,H41-G41)*(POWER(1+E41,G41)-1)/(POWER(1+E41,H41)-1),4)</f>
        <v>#DIV/0!</v>
      </c>
      <c r="D41" s="199" t="s">
        <v>2888</v>
      </c>
      <c r="E41" s="2930">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2939</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c r="A46" s="2867" t="s">
        <v>2940</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c r="A47" s="2871" t="s">
        <v>2941</v>
      </c>
      <c r="B47" s="1808" t="s">
        <v>2942</v>
      </c>
      <c r="C47" s="1808" t="s">
        <v>2943</v>
      </c>
      <c r="D47" s="1808" t="s">
        <v>2944</v>
      </c>
      <c r="E47" s="818" t="s">
        <v>2945</v>
      </c>
      <c r="F47" s="2872" t="s">
        <v>2946</v>
      </c>
      <c r="G47" s="1808" t="s">
        <v>754</v>
      </c>
      <c r="H47" s="2873" t="s">
        <v>2947</v>
      </c>
      <c r="I47" s="1808"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71" t="s">
        <v>2949</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1" t="s">
        <v>2950</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1" t="s">
        <v>2951</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1" t="s">
        <v>2952</v>
      </c>
      <c r="B51" s="2876" t="s">
        <v>2953</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1" t="s">
        <v>2954</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1" t="s">
        <v>2955</v>
      </c>
      <c r="B53" s="2877" t="s">
        <v>2956</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8" t="s">
        <v>2957</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8" t="s">
        <v>2958</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9" t="s">
        <v>2959</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7" t="s">
        <v>2960</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1" t="s">
        <v>2941</v>
      </c>
      <c r="B58" s="1808"/>
      <c r="C58" s="1808" t="s">
        <v>2943</v>
      </c>
      <c r="D58" s="1808" t="s">
        <v>2944</v>
      </c>
      <c r="E58" s="818" t="s">
        <v>2945</v>
      </c>
      <c r="F58" s="2872" t="s">
        <v>2961</v>
      </c>
      <c r="G58" s="1808" t="s">
        <v>754</v>
      </c>
      <c r="H58" s="2873" t="s">
        <v>2947</v>
      </c>
      <c r="I58" s="1808"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71" t="s">
        <v>2962</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1" t="s">
        <v>2950</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1" t="s">
        <v>2951</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1" t="s">
        <v>2952</v>
      </c>
      <c r="B62" s="2876" t="s">
        <v>2953</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1" t="s">
        <v>2954</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1" t="s">
        <v>2955</v>
      </c>
      <c r="B64" s="2877" t="s">
        <v>2956</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1" t="s">
        <v>2957</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1" t="s">
        <v>2958</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9" t="s">
        <v>2959</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7" t="s">
        <v>2963</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1" t="s">
        <v>2941</v>
      </c>
      <c r="B69" s="1808"/>
      <c r="C69" s="1808" t="s">
        <v>2943</v>
      </c>
      <c r="D69" s="1808" t="s">
        <v>2944</v>
      </c>
      <c r="E69" s="818" t="s">
        <v>2945</v>
      </c>
      <c r="F69" s="2872" t="s">
        <v>2961</v>
      </c>
      <c r="G69" s="1808" t="s">
        <v>754</v>
      </c>
      <c r="H69" s="2873" t="s">
        <v>2947</v>
      </c>
      <c r="I69" s="1808"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71" t="s">
        <v>2964</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1" t="s">
        <v>2950</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1" t="s">
        <v>2951</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1" t="s">
        <v>2965</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1" t="s">
        <v>2957</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1" t="s">
        <v>2958</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c r="A76" s="2871" t="s">
        <v>2955</v>
      </c>
      <c r="B76" s="2877" t="s">
        <v>2956</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c r="A77" s="2871" t="s">
        <v>2959</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thickBot="1">
      <c r="A78" s="2879" t="s">
        <v>2966</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2967</v>
      </c>
      <c r="B79" s="2868">
        <f>1+E81</f>
        <v>1</v>
      </c>
      <c r="C79" s="813"/>
      <c r="D79" s="813"/>
      <c r="E79" s="814"/>
      <c r="F79" s="2870"/>
      <c r="G79" s="6"/>
      <c r="H79" s="6"/>
      <c r="I79" s="6"/>
      <c r="J79" s="7"/>
      <c r="K79" s="7"/>
      <c r="L79" s="7"/>
      <c r="M79" s="7"/>
      <c r="N79" s="7"/>
      <c r="Z79" s="2721"/>
      <c r="AA79" s="2789"/>
      <c r="AG79" s="1371"/>
      <c r="AK79" s="2789"/>
    </row>
    <row r="80" spans="1:37" ht="24.75">
      <c r="A80" s="2871" t="s">
        <v>2941</v>
      </c>
      <c r="B80" s="1808"/>
      <c r="C80" s="1808" t="s">
        <v>2943</v>
      </c>
      <c r="D80" s="1808" t="s">
        <v>2944</v>
      </c>
      <c r="E80" s="818" t="s">
        <v>2945</v>
      </c>
      <c r="F80" s="2872" t="s">
        <v>2961</v>
      </c>
      <c r="G80" s="1808" t="s">
        <v>754</v>
      </c>
      <c r="H80" s="2873" t="s">
        <v>2947</v>
      </c>
      <c r="I80" s="1808" t="s">
        <v>2948</v>
      </c>
      <c r="J80" s="602" t="s">
        <v>2596</v>
      </c>
      <c r="K80" s="602" t="s">
        <v>2597</v>
      </c>
      <c r="L80" s="602" t="s">
        <v>2598</v>
      </c>
      <c r="M80" s="602" t="s">
        <v>2599</v>
      </c>
      <c r="N80" s="602" t="s">
        <v>2600</v>
      </c>
      <c r="Z80" s="2721"/>
      <c r="AA80" s="2789"/>
      <c r="AG80" s="1371"/>
      <c r="AK80" s="2789"/>
    </row>
    <row r="81" spans="1:37" ht="38.25">
      <c r="A81" s="2871" t="s">
        <v>2968</v>
      </c>
      <c r="B81" s="2875" t="str">
        <f>估价对象房地状况!G15</f>
        <v>估价对象位于XX开发区，园区建设成熟度XX，产业集聚程度XX</v>
      </c>
      <c r="C81" s="2771"/>
      <c r="D81" s="1285">
        <f t="shared" ref="D81:D88" si="25">SUMIF($J$80:$N$80,C81,J81:N81)</f>
        <v>0</v>
      </c>
      <c r="E81" s="820">
        <f>ROUND(SUM(D81:D88),4)</f>
        <v>0</v>
      </c>
      <c r="F81" s="2502"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1"/>
      <c r="AA81" s="2789"/>
      <c r="AG81" s="1371"/>
      <c r="AK81" s="2789"/>
    </row>
    <row r="82" spans="1:37" ht="51">
      <c r="A82" s="2871" t="s">
        <v>2950</v>
      </c>
      <c r="B82" s="2875" t="str">
        <f>估价对象房地状况!G16</f>
        <v>估价对象周边道路状况、公共交通通达情况、停车便捷程度，综合评价交通便捷度较好</v>
      </c>
      <c r="C82" s="2771"/>
      <c r="D82" s="1285">
        <f t="shared" si="25"/>
        <v>0</v>
      </c>
      <c r="E82" s="825"/>
      <c r="F82" s="2502"/>
      <c r="G82" s="1283"/>
      <c r="H82" s="1287" t="str">
        <f t="shared" si="26"/>
        <v>——</v>
      </c>
      <c r="I82" s="819">
        <v>0.33</v>
      </c>
      <c r="J82" s="1284">
        <f t="shared" si="27"/>
        <v>0</v>
      </c>
      <c r="K82" s="1284">
        <f t="shared" si="28"/>
        <v>0</v>
      </c>
      <c r="L82" s="1284">
        <v>0</v>
      </c>
      <c r="M82" s="1284">
        <f t="shared" si="29"/>
        <v>0</v>
      </c>
      <c r="N82" s="1284">
        <f t="shared" si="29"/>
        <v>0</v>
      </c>
      <c r="Z82" s="2721"/>
      <c r="AA82" s="2789"/>
      <c r="AG82" s="1371"/>
      <c r="AK82" s="2789"/>
    </row>
    <row r="83" spans="1:37" ht="24">
      <c r="A83" s="2871" t="s">
        <v>2951</v>
      </c>
      <c r="B83" s="2875">
        <f>估价对象房地状况!G17</f>
        <v>0</v>
      </c>
      <c r="C83" s="2771"/>
      <c r="D83" s="1285">
        <f t="shared" si="25"/>
        <v>0</v>
      </c>
      <c r="E83" s="825"/>
      <c r="F83" s="2502"/>
      <c r="G83" s="1283"/>
      <c r="H83" s="1287" t="str">
        <f t="shared" si="26"/>
        <v>——</v>
      </c>
      <c r="I83" s="819">
        <v>0.05</v>
      </c>
      <c r="J83" s="1284">
        <f t="shared" si="27"/>
        <v>0</v>
      </c>
      <c r="K83" s="1284">
        <f t="shared" si="28"/>
        <v>0</v>
      </c>
      <c r="L83" s="1284">
        <v>0</v>
      </c>
      <c r="M83" s="1284">
        <f t="shared" si="29"/>
        <v>0</v>
      </c>
      <c r="N83" s="1284">
        <f t="shared" si="29"/>
        <v>0</v>
      </c>
      <c r="Z83" s="2721"/>
      <c r="AA83" s="2789"/>
      <c r="AG83" s="1371"/>
      <c r="AK83" s="2789"/>
    </row>
    <row r="84" spans="1:37" ht="14.25">
      <c r="A84" s="2871" t="s">
        <v>2965</v>
      </c>
      <c r="B84" s="2875">
        <f>估价对象房地状况!G22</f>
        <v>0</v>
      </c>
      <c r="C84" s="2771"/>
      <c r="D84" s="1285">
        <f t="shared" si="25"/>
        <v>0</v>
      </c>
      <c r="E84" s="825"/>
      <c r="F84" s="2502"/>
      <c r="G84" s="1283"/>
      <c r="H84" s="1287" t="str">
        <f t="shared" si="26"/>
        <v>——</v>
      </c>
      <c r="I84" s="819">
        <v>0.04</v>
      </c>
      <c r="J84" s="1284">
        <f t="shared" si="27"/>
        <v>0</v>
      </c>
      <c r="K84" s="1284">
        <f t="shared" si="28"/>
        <v>0</v>
      </c>
      <c r="L84" s="1284">
        <v>0</v>
      </c>
      <c r="M84" s="1284">
        <f t="shared" si="29"/>
        <v>0</v>
      </c>
      <c r="N84" s="1284">
        <f t="shared" si="29"/>
        <v>0</v>
      </c>
      <c r="Z84" s="2721"/>
      <c r="AA84" s="2789"/>
      <c r="AG84" s="1371"/>
      <c r="AK84" s="2789"/>
    </row>
    <row r="85" spans="1:37" ht="25.5">
      <c r="A85" s="2871" t="s">
        <v>2957</v>
      </c>
      <c r="B85" s="1724" t="str">
        <f>估价对象房地状况!G19</f>
        <v>估价对象所在区域公共配套设施齐备情况</v>
      </c>
      <c r="C85" s="2771"/>
      <c r="D85" s="1285">
        <f t="shared" si="25"/>
        <v>0</v>
      </c>
      <c r="E85" s="825"/>
      <c r="F85" s="2502"/>
      <c r="G85" s="1283"/>
      <c r="H85" s="1287" t="str">
        <f t="shared" si="26"/>
        <v>——</v>
      </c>
      <c r="I85" s="819">
        <v>0.06</v>
      </c>
      <c r="J85" s="1284">
        <f t="shared" si="27"/>
        <v>0</v>
      </c>
      <c r="K85" s="1284">
        <f t="shared" si="28"/>
        <v>0</v>
      </c>
      <c r="L85" s="1284">
        <v>0</v>
      </c>
      <c r="M85" s="1284">
        <f t="shared" si="29"/>
        <v>0</v>
      </c>
      <c r="N85" s="1284">
        <f t="shared" si="29"/>
        <v>0</v>
      </c>
      <c r="Z85" s="2721"/>
      <c r="AA85" s="2789"/>
      <c r="AG85" s="1371"/>
      <c r="AK85" s="2789"/>
    </row>
    <row r="86" spans="1:37" ht="25.5">
      <c r="A86" s="2871" t="s">
        <v>2958</v>
      </c>
      <c r="B86" s="1724" t="str">
        <f>估价对象房地状况!G20</f>
        <v>估价对象所在区域基础设施水平</v>
      </c>
      <c r="C86" s="2771"/>
      <c r="D86" s="1285">
        <f t="shared" si="25"/>
        <v>0</v>
      </c>
      <c r="E86" s="825"/>
      <c r="F86" s="2502"/>
      <c r="G86" s="1283"/>
      <c r="H86" s="1287" t="str">
        <f t="shared" si="26"/>
        <v>——</v>
      </c>
      <c r="I86" s="819">
        <v>0.15</v>
      </c>
      <c r="J86" s="1284">
        <f t="shared" si="27"/>
        <v>0</v>
      </c>
      <c r="K86" s="1284">
        <f t="shared" si="28"/>
        <v>0</v>
      </c>
      <c r="L86" s="1284">
        <v>0</v>
      </c>
      <c r="M86" s="1284">
        <f t="shared" si="29"/>
        <v>0</v>
      </c>
      <c r="N86" s="1284">
        <f t="shared" si="29"/>
        <v>0</v>
      </c>
      <c r="Z86" s="2721"/>
      <c r="AA86" s="2789"/>
      <c r="AG86" s="1371"/>
      <c r="AK86" s="2789"/>
    </row>
    <row r="87" spans="1:37" ht="24">
      <c r="A87" s="2871" t="s">
        <v>2955</v>
      </c>
      <c r="B87" s="2877" t="s">
        <v>2969</v>
      </c>
      <c r="C87" s="2771"/>
      <c r="D87" s="1285">
        <f t="shared" si="25"/>
        <v>0</v>
      </c>
      <c r="E87" s="825"/>
      <c r="F87" s="2502"/>
      <c r="G87" s="1283"/>
      <c r="H87" s="1287" t="str">
        <f t="shared" si="26"/>
        <v>——</v>
      </c>
      <c r="I87" s="819">
        <v>0.05</v>
      </c>
      <c r="J87" s="1284">
        <f t="shared" si="27"/>
        <v>0</v>
      </c>
      <c r="K87" s="1284">
        <f t="shared" si="28"/>
        <v>0</v>
      </c>
      <c r="L87" s="1284">
        <v>0</v>
      </c>
      <c r="M87" s="1284">
        <f t="shared" si="29"/>
        <v>0</v>
      </c>
      <c r="N87" s="1284">
        <f t="shared" si="29"/>
        <v>0</v>
      </c>
      <c r="Z87" s="2721"/>
      <c r="AA87" s="2789"/>
      <c r="AG87" s="1371"/>
      <c r="AK87" s="2789"/>
    </row>
    <row r="88" spans="1:37" ht="39" thickBot="1">
      <c r="A88" s="2879" t="s">
        <v>2970</v>
      </c>
      <c r="B88" s="2884" t="str">
        <f>估价对象房地状况!G18</f>
        <v>该园区内是否有污染型企业，绿化情况，卫生条件，整体环境状况判断</v>
      </c>
      <c r="C88" s="2771"/>
      <c r="D88" s="1285">
        <f t="shared" si="25"/>
        <v>0</v>
      </c>
      <c r="E88" s="826"/>
      <c r="F88" s="2502"/>
      <c r="G88" s="1283"/>
      <c r="H88" s="1287" t="str">
        <f t="shared" si="26"/>
        <v>——</v>
      </c>
      <c r="I88" s="823">
        <v>0.06</v>
      </c>
      <c r="J88" s="1284">
        <f t="shared" si="27"/>
        <v>0</v>
      </c>
      <c r="K88" s="1284">
        <f t="shared" si="28"/>
        <v>0</v>
      </c>
      <c r="L88" s="1284">
        <v>0</v>
      </c>
      <c r="M88" s="1284">
        <f t="shared" si="29"/>
        <v>0</v>
      </c>
      <c r="N88" s="1284">
        <f t="shared" si="29"/>
        <v>0</v>
      </c>
      <c r="Z88" s="2721"/>
      <c r="AA88" s="2789"/>
      <c r="AG88" s="1371"/>
      <c r="AK88" s="2789"/>
    </row>
    <row r="90" spans="1:37">
      <c r="A90" s="3257" t="s">
        <v>2971</v>
      </c>
      <c r="B90" s="3257"/>
      <c r="C90" s="3257"/>
      <c r="D90" s="3257"/>
      <c r="E90" s="3257"/>
      <c r="F90" s="3257"/>
      <c r="G90" s="3257"/>
      <c r="H90" s="3257"/>
      <c r="I90" s="3257"/>
      <c r="J90" s="3257"/>
      <c r="K90" s="2885"/>
      <c r="L90" s="2885"/>
      <c r="M90" s="2885"/>
      <c r="N90" s="2885"/>
    </row>
    <row r="91" spans="1:37">
      <c r="A91" s="3259" t="s">
        <v>2972</v>
      </c>
      <c r="B91" s="3259" t="s">
        <v>2973</v>
      </c>
      <c r="C91" s="2839" t="s">
        <v>2974</v>
      </c>
      <c r="D91" s="2840"/>
      <c r="E91" s="2840"/>
      <c r="F91" s="2840"/>
      <c r="G91" s="2840"/>
      <c r="H91" s="2840"/>
      <c r="I91" s="2840"/>
      <c r="J91" s="2886"/>
      <c r="K91" s="2887"/>
      <c r="L91" s="2887"/>
      <c r="M91" s="2887"/>
      <c r="N91" s="2887"/>
    </row>
    <row r="92" spans="1:37">
      <c r="A92" s="3259"/>
      <c r="B92" s="3259"/>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60" t="s">
        <v>2975</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1"/>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6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60" t="s">
        <v>2976</v>
      </c>
      <c r="B101" s="2892" t="s">
        <v>2977</v>
      </c>
      <c r="C101" s="2893">
        <f>$G$3</f>
        <v>2</v>
      </c>
      <c r="D101" s="2893">
        <f t="shared" ref="D101:N101" si="31">$G$3</f>
        <v>2</v>
      </c>
      <c r="E101" s="2893">
        <f t="shared" si="31"/>
        <v>2</v>
      </c>
      <c r="F101" s="2893">
        <f t="shared" si="31"/>
        <v>2</v>
      </c>
      <c r="G101" s="2893">
        <f t="shared" si="31"/>
        <v>2</v>
      </c>
      <c r="H101" s="2893">
        <f t="shared" si="31"/>
        <v>2</v>
      </c>
      <c r="I101" s="2893">
        <f t="shared" si="31"/>
        <v>2</v>
      </c>
      <c r="J101" s="2893">
        <f t="shared" si="31"/>
        <v>2</v>
      </c>
      <c r="K101" s="2893">
        <f t="shared" si="31"/>
        <v>2</v>
      </c>
      <c r="L101" s="2893">
        <f t="shared" si="31"/>
        <v>2</v>
      </c>
      <c r="M101" s="2893">
        <f t="shared" si="31"/>
        <v>2</v>
      </c>
      <c r="N101" s="2893">
        <f t="shared" si="31"/>
        <v>2</v>
      </c>
    </row>
    <row r="102" spans="1:14">
      <c r="A102" s="3261"/>
      <c r="B102" s="2888">
        <v>1</v>
      </c>
      <c r="C102" s="2889">
        <f>1.9362/C101</f>
        <v>0.96809999999999996</v>
      </c>
      <c r="D102" s="2889">
        <f>1.9362/D101</f>
        <v>0.96809999999999996</v>
      </c>
      <c r="E102" s="2889">
        <f>1.8629/E101</f>
        <v>0.93145</v>
      </c>
      <c r="F102" s="2889">
        <f>1.8629/F101</f>
        <v>0.93145</v>
      </c>
      <c r="G102" s="2889">
        <f>1.8629/G101</f>
        <v>0.93145</v>
      </c>
      <c r="H102" s="2889">
        <f>1.8629/H101</f>
        <v>0.93145</v>
      </c>
      <c r="I102" s="2889">
        <f>1.8629/I101</f>
        <v>0.93145</v>
      </c>
      <c r="J102" s="2889">
        <f>1.942/J101</f>
        <v>0.97099999999999997</v>
      </c>
      <c r="K102" s="2889">
        <f>1.942/K101</f>
        <v>0.97099999999999997</v>
      </c>
      <c r="L102" s="2889">
        <f>1.942/L101</f>
        <v>0.97099999999999997</v>
      </c>
      <c r="M102" s="2889">
        <f>1.942/M101</f>
        <v>0.97099999999999997</v>
      </c>
      <c r="N102" s="2889">
        <f>1.942/N101</f>
        <v>0.97099999999999997</v>
      </c>
    </row>
    <row r="103" spans="1:14">
      <c r="A103" s="3261"/>
      <c r="B103" s="2888">
        <v>2</v>
      </c>
      <c r="C103" s="2889">
        <f>1.4198/C101</f>
        <v>0.70989999999999998</v>
      </c>
      <c r="D103" s="2889">
        <f>1.4198/D101</f>
        <v>0.70989999999999998</v>
      </c>
      <c r="E103" s="2889">
        <f>1.3372/E101</f>
        <v>0.66859999999999997</v>
      </c>
      <c r="F103" s="2889">
        <f>1.3372/F101</f>
        <v>0.66859999999999997</v>
      </c>
      <c r="G103" s="2889">
        <f>1.3372/G101</f>
        <v>0.66859999999999997</v>
      </c>
      <c r="H103" s="2889">
        <f>1.3372/H101</f>
        <v>0.66859999999999997</v>
      </c>
      <c r="I103" s="2889">
        <f>1.3372/I101</f>
        <v>0.66859999999999997</v>
      </c>
      <c r="J103" s="2889">
        <f>1.2799/J101</f>
        <v>0.63995000000000002</v>
      </c>
      <c r="K103" s="2889">
        <f>1.2799/K101</f>
        <v>0.63995000000000002</v>
      </c>
      <c r="L103" s="2889">
        <f>1.2799/L101</f>
        <v>0.63995000000000002</v>
      </c>
      <c r="M103" s="2889">
        <f>1.2799/M101</f>
        <v>0.63995000000000002</v>
      </c>
      <c r="N103" s="2889">
        <f>1.2799/N101</f>
        <v>0.63995000000000002</v>
      </c>
    </row>
    <row r="104" spans="1:14">
      <c r="A104" s="3261"/>
      <c r="B104" s="2888">
        <v>3</v>
      </c>
      <c r="C104" s="2889">
        <f>1.1594/C101</f>
        <v>0.57969999999999999</v>
      </c>
      <c r="D104" s="2889">
        <f>1.1594/D101</f>
        <v>0.57969999999999999</v>
      </c>
      <c r="E104" s="2889">
        <f>1.0788/E101</f>
        <v>0.53939999999999999</v>
      </c>
      <c r="F104" s="2889">
        <f>1.0788/F101</f>
        <v>0.53939999999999999</v>
      </c>
      <c r="G104" s="2889">
        <f>1.0788/G101</f>
        <v>0.53939999999999999</v>
      </c>
      <c r="H104" s="2889">
        <f>1.0788/H101</f>
        <v>0.53939999999999999</v>
      </c>
      <c r="I104" s="2889">
        <f>1.0788/I101</f>
        <v>0.53939999999999999</v>
      </c>
      <c r="J104" s="2889">
        <f>1.0072/J101</f>
        <v>0.50360000000000005</v>
      </c>
      <c r="K104" s="2889">
        <f>1.0072/K101</f>
        <v>0.50360000000000005</v>
      </c>
      <c r="L104" s="2889">
        <f>1.0072/L101</f>
        <v>0.50360000000000005</v>
      </c>
      <c r="M104" s="2889">
        <f>1.0072/M101</f>
        <v>0.50360000000000005</v>
      </c>
      <c r="N104" s="2889">
        <f>1.0072/N101</f>
        <v>0.50360000000000005</v>
      </c>
    </row>
    <row r="105" spans="1:14">
      <c r="A105" s="3261"/>
      <c r="B105" s="2888">
        <v>4</v>
      </c>
      <c r="C105" s="2889">
        <f>0.9622/C101</f>
        <v>0.48110000000000003</v>
      </c>
      <c r="D105" s="2889">
        <f>0.9622/D101</f>
        <v>0.48110000000000003</v>
      </c>
      <c r="E105" s="2889">
        <f>0.8656/E101</f>
        <v>0.43280000000000002</v>
      </c>
      <c r="F105" s="2889">
        <f>0.8656/F101</f>
        <v>0.43280000000000002</v>
      </c>
      <c r="G105" s="2889">
        <f>0.8656/G101</f>
        <v>0.43280000000000002</v>
      </c>
      <c r="H105" s="2889">
        <f>0.8656/H101</f>
        <v>0.43280000000000002</v>
      </c>
      <c r="I105" s="2889">
        <f>0.8656/I101</f>
        <v>0.43280000000000002</v>
      </c>
      <c r="J105" s="2889">
        <f>0.7525/J101</f>
        <v>0.37624999999999997</v>
      </c>
      <c r="K105" s="2889">
        <f>0.7525/K101</f>
        <v>0.37624999999999997</v>
      </c>
      <c r="L105" s="2889">
        <f>0.7525/L101</f>
        <v>0.37624999999999997</v>
      </c>
      <c r="M105" s="2889">
        <f>0.7525/M101</f>
        <v>0.37624999999999997</v>
      </c>
      <c r="N105" s="2889">
        <f>0.7525/N101</f>
        <v>0.37624999999999997</v>
      </c>
    </row>
    <row r="106" spans="1:14">
      <c r="A106" s="3261"/>
      <c r="B106" s="2888">
        <v>5</v>
      </c>
      <c r="C106" s="2889">
        <f>0.8417/C101</f>
        <v>0.42085</v>
      </c>
      <c r="D106" s="2889">
        <f>0.8417/D101</f>
        <v>0.42085</v>
      </c>
      <c r="E106" s="2889">
        <f>0.7371/E101</f>
        <v>0.36854999999999999</v>
      </c>
      <c r="F106" s="2889">
        <f>0.7371/F101</f>
        <v>0.36854999999999999</v>
      </c>
      <c r="G106" s="2889">
        <f>0.7371/G101</f>
        <v>0.36854999999999999</v>
      </c>
      <c r="H106" s="2889">
        <f>0.7371/H101</f>
        <v>0.36854999999999999</v>
      </c>
      <c r="I106" s="2889">
        <f>0.7371/I101</f>
        <v>0.36854999999999999</v>
      </c>
      <c r="J106" s="2889">
        <f>0.5659/J101</f>
        <v>0.28294999999999998</v>
      </c>
      <c r="K106" s="2889">
        <f>0.5659/K101</f>
        <v>0.28294999999999998</v>
      </c>
      <c r="L106" s="2889">
        <f>0.5659/L101</f>
        <v>0.28294999999999998</v>
      </c>
      <c r="M106" s="2889">
        <f>0.5659/M101</f>
        <v>0.28294999999999998</v>
      </c>
      <c r="N106" s="2889">
        <f>0.5659/N101</f>
        <v>0.28294999999999998</v>
      </c>
    </row>
    <row r="107" spans="1:14">
      <c r="A107" s="3261"/>
      <c r="B107" s="2888">
        <v>6</v>
      </c>
      <c r="C107" s="2889">
        <f>0.7608/C101</f>
        <v>0.38040000000000002</v>
      </c>
      <c r="D107" s="2889">
        <f>0.7608/D101</f>
        <v>0.38040000000000002</v>
      </c>
      <c r="E107" s="2889">
        <f>0.6482/E101</f>
        <v>0.3241</v>
      </c>
      <c r="F107" s="2889">
        <f>0.6482/F101</f>
        <v>0.3241</v>
      </c>
      <c r="G107" s="2889">
        <f>0.6482/G101</f>
        <v>0.3241</v>
      </c>
      <c r="H107" s="2889">
        <f>0.6482/H101</f>
        <v>0.3241</v>
      </c>
      <c r="I107" s="2889">
        <f>0.6482/I101</f>
        <v>0.3241</v>
      </c>
      <c r="J107" s="2889">
        <f>0.4525/J101</f>
        <v>0.22625000000000001</v>
      </c>
      <c r="K107" s="2889">
        <f>0.4525/K101</f>
        <v>0.22625000000000001</v>
      </c>
      <c r="L107" s="2889">
        <f>0.4525/L101</f>
        <v>0.22625000000000001</v>
      </c>
      <c r="M107" s="2889">
        <f>0.4525/M101</f>
        <v>0.22625000000000001</v>
      </c>
      <c r="N107" s="2889">
        <f>0.4525/N101</f>
        <v>0.22625000000000001</v>
      </c>
    </row>
    <row r="108" spans="1:14">
      <c r="A108" s="3261"/>
      <c r="B108" s="3085" t="s">
        <v>2978</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62"/>
      <c r="B109" s="3086"/>
      <c r="C109" s="2891">
        <f>(-0.163*(C108^2)-0.59*C108+7617)*(10^(-4))/C101</f>
        <v>0.38085000000000002</v>
      </c>
      <c r="D109" s="2891">
        <f>(-0.163*(D108^2)-0.59*D108+7617)*(10^(-4))/D101</f>
        <v>0.38085000000000002</v>
      </c>
      <c r="E109" s="2891">
        <f>(-0.161*(E108^2)-7.509*E108+6533)*(10^(-4))/E101</f>
        <v>0.32665</v>
      </c>
      <c r="F109" s="2891">
        <f>(-0.161*(F108^2)-7.509*F108+6533)*(10^(-4))/F101</f>
        <v>0.32665</v>
      </c>
      <c r="G109" s="2891">
        <f>(-0.161*(G108^2)-7.509*G108+6533)*(10^(-4))/G101</f>
        <v>0.32665</v>
      </c>
      <c r="H109" s="2891">
        <f>(-0.161*(H108^2)-7.509*H108+6533)*(10^(-4))/H101</f>
        <v>0.32665</v>
      </c>
      <c r="I109" s="2891">
        <f>(-0.161*(I108^2)-7.509*I108+6533)*(10^(-4))/I101</f>
        <v>0.32665</v>
      </c>
      <c r="J109" s="2891">
        <f>(-0.214*(J108^2)-21.991*J108+4665)*(10^(-4))/J101</f>
        <v>0.23325000000000001</v>
      </c>
      <c r="K109" s="2891">
        <f>(-0.214*(K108^2)-21.991*K108+4665)*(10^(-4))/K101</f>
        <v>0.23325000000000001</v>
      </c>
      <c r="L109" s="2891">
        <f>(-0.214*(L108^2)-21.991*L108+4665)*(10^(-4))/L101</f>
        <v>0.23325000000000001</v>
      </c>
      <c r="M109" s="2891">
        <f>(-0.214*(M108^2)-21.991*M108+4665)*(10^(-4))/M101</f>
        <v>0.23325000000000001</v>
      </c>
      <c r="N109" s="2891">
        <f>(-0.214*(N108^2)-21.991*N108+4665)*(10^(-4))/N101</f>
        <v>0.23325000000000001</v>
      </c>
    </row>
    <row r="110" spans="1:14">
      <c r="A110" s="3258" t="s">
        <v>2979</v>
      </c>
      <c r="B110" s="3258"/>
      <c r="C110" s="3258"/>
      <c r="D110" s="3258"/>
      <c r="E110" s="3258"/>
      <c r="F110" s="3258"/>
      <c r="G110" s="3258"/>
      <c r="H110" s="3258"/>
      <c r="I110" s="3258"/>
      <c r="J110" s="3258"/>
      <c r="K110" s="2894"/>
      <c r="L110" s="2894"/>
      <c r="M110" s="2894"/>
      <c r="N110" s="2894"/>
    </row>
    <row r="112" spans="1:14" ht="13.5" thickBot="1"/>
    <row r="113" spans="1:13" ht="25.5" thickBot="1">
      <c r="A113" s="902" t="s">
        <v>2980</v>
      </c>
      <c r="B113" s="1286">
        <f>G3</f>
        <v>2</v>
      </c>
      <c r="C113" s="903" t="s">
        <v>2981</v>
      </c>
      <c r="D113" s="904">
        <f>SUMPRODUCT((A115:A118=F113)*(B114:M114=H113)*B115:M118)</f>
        <v>0</v>
      </c>
      <c r="E113" s="2725" t="s">
        <v>2813</v>
      </c>
      <c r="F113" s="2896">
        <f>E2</f>
        <v>0</v>
      </c>
      <c r="G113" s="2725" t="s">
        <v>2814</v>
      </c>
      <c r="H113" s="2896">
        <f>G2</f>
        <v>0</v>
      </c>
      <c r="I113" s="2725"/>
      <c r="J113" s="2897"/>
      <c r="K113" s="2897"/>
      <c r="L113" s="2897"/>
      <c r="M113" s="2897"/>
    </row>
    <row r="114" spans="1:13">
      <c r="A114" s="907"/>
      <c r="B114" s="2898" t="s">
        <v>2982</v>
      </c>
      <c r="C114" s="2898" t="s">
        <v>2983</v>
      </c>
      <c r="D114" s="2898" t="s">
        <v>2984</v>
      </c>
      <c r="E114" s="2899" t="s">
        <v>2985</v>
      </c>
      <c r="F114" s="2899" t="s">
        <v>2986</v>
      </c>
      <c r="G114" s="2899" t="s">
        <v>2987</v>
      </c>
      <c r="H114" s="2900" t="s">
        <v>2988</v>
      </c>
      <c r="I114" s="2900" t="s">
        <v>2989</v>
      </c>
      <c r="J114" s="2901" t="s">
        <v>2990</v>
      </c>
      <c r="K114" s="2901" t="s">
        <v>2991</v>
      </c>
      <c r="L114" s="2901" t="s">
        <v>2992</v>
      </c>
      <c r="M114" s="2902" t="s">
        <v>2993</v>
      </c>
    </row>
    <row r="115" spans="1:13">
      <c r="A115" s="908" t="s">
        <v>2878</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2879</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2880</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5" thickBot="1">
      <c r="A118" s="713" t="s">
        <v>2881</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9"/>
      <c r="B4" s="2969" t="s">
        <v>1624</v>
      </c>
      <c r="C4" s="2969"/>
      <c r="D4" s="2969"/>
      <c r="E4" s="1959"/>
    </row>
    <row r="5" spans="1:5" ht="16.5" thickTop="1">
      <c r="A5" s="1957"/>
      <c r="B5" s="2967" t="s">
        <v>1616</v>
      </c>
      <c r="C5" s="1960" t="s">
        <v>1617</v>
      </c>
      <c r="D5" s="1039">
        <f ca="1">结果表!H101</f>
        <v>4983</v>
      </c>
      <c r="E5" s="1957"/>
    </row>
    <row r="6" spans="1:5" ht="15.75">
      <c r="A6" s="1957"/>
      <c r="B6" s="2967"/>
      <c r="C6" s="1960" t="s">
        <v>1618</v>
      </c>
      <c r="D6" s="1039" t="str">
        <f ca="1">NUMBERSTRING(INT(D5*10000),2)&amp;"元整"</f>
        <v>肆仟玖佰捌拾叁万元整</v>
      </c>
      <c r="E6" s="1957"/>
    </row>
    <row r="7" spans="1:5" ht="15.75">
      <c r="A7" s="1957"/>
      <c r="B7" s="2972"/>
      <c r="C7" s="1961" t="s">
        <v>1619</v>
      </c>
      <c r="D7" s="1040">
        <f ca="1">结果表!H102</f>
        <v>12560</v>
      </c>
      <c r="E7" s="1957"/>
    </row>
    <row r="8" spans="1:5" ht="15.75">
      <c r="A8" s="1957"/>
      <c r="B8" s="2973" t="str">
        <f>结果表!E103</f>
        <v>2.估价师知悉的法定优先受偿款</v>
      </c>
      <c r="C8" s="1962" t="s">
        <v>1620</v>
      </c>
      <c r="D8" s="1040">
        <f>结果表!H103</f>
        <v>0</v>
      </c>
      <c r="E8" s="1957"/>
    </row>
    <row r="9" spans="1:5" ht="15.75">
      <c r="A9" s="1957"/>
      <c r="B9" s="2975"/>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66" t="str">
        <f>结果表!E107</f>
        <v>3.房地产抵押价值</v>
      </c>
      <c r="C13" s="1965" t="s">
        <v>1617</v>
      </c>
      <c r="D13" s="1042">
        <f ca="1">结果表!H107</f>
        <v>4983</v>
      </c>
      <c r="E13" s="1957"/>
    </row>
    <row r="14" spans="1:5" ht="15.75">
      <c r="A14" s="1957"/>
      <c r="B14" s="2967"/>
      <c r="C14" s="1960" t="s">
        <v>1618</v>
      </c>
      <c r="D14" s="1039" t="str">
        <f ca="1">NUMBERSTRING(INT(D13*10000),2)&amp;"元整"</f>
        <v>肆仟玖佰捌拾叁万元整</v>
      </c>
      <c r="E14" s="1957"/>
    </row>
    <row r="15" spans="1:5" ht="15">
      <c r="A15" s="1957"/>
      <c r="B15" s="2972"/>
      <c r="C15" s="1961" t="s">
        <v>1628</v>
      </c>
      <c r="D15" s="1051">
        <f ca="1">结果表!H108</f>
        <v>12560</v>
      </c>
      <c r="E15" s="1957"/>
    </row>
    <row r="16" spans="1:5" ht="15">
      <c r="A16" s="1957"/>
      <c r="B16" s="2973" t="str">
        <f>结果表!E109</f>
        <v>——</v>
      </c>
      <c r="C16" s="1965" t="s">
        <v>1629</v>
      </c>
      <c r="D16" s="1966" t="str">
        <f>结果表!H109</f>
        <v>——</v>
      </c>
      <c r="E16" s="1957"/>
    </row>
    <row r="17" spans="1:5" ht="15.75">
      <c r="A17" s="1957"/>
      <c r="B17" s="2974"/>
      <c r="C17" s="1960" t="s">
        <v>1630</v>
      </c>
      <c r="D17" s="1039" t="e">
        <f>NUMBERSTRING(INT(D16*10000),2)&amp;"元整"</f>
        <v>#VALUE!</v>
      </c>
      <c r="E17" s="1957"/>
    </row>
    <row r="18" spans="1:5" ht="15">
      <c r="A18" s="1957"/>
      <c r="B18" s="2975"/>
      <c r="C18" s="1961" t="s">
        <v>1619</v>
      </c>
      <c r="D18" s="1051" t="str">
        <f>结果表!H110</f>
        <v>——</v>
      </c>
      <c r="E18" s="1957"/>
    </row>
    <row r="19" spans="1:5" ht="15.75">
      <c r="A19" s="1957"/>
      <c r="B19" s="2966" t="str">
        <f>结果表!E111</f>
        <v>——</v>
      </c>
      <c r="C19" s="1965" t="s">
        <v>1617</v>
      </c>
      <c r="D19" s="1040" t="str">
        <f>结果表!H111</f>
        <v>——</v>
      </c>
      <c r="E19" s="1957"/>
    </row>
    <row r="20" spans="1:5" ht="15.75">
      <c r="A20" s="1957"/>
      <c r="B20" s="2967"/>
      <c r="C20" s="1960" t="s">
        <v>1630</v>
      </c>
      <c r="D20" s="1039" t="e">
        <f>NUMBERSTRING(INT(D19*10000),2)&amp;"元整"</f>
        <v>#VALUE!</v>
      </c>
      <c r="E20" s="1957"/>
    </row>
    <row r="21" spans="1:5" ht="15.75" thickBot="1">
      <c r="A21" s="1957"/>
      <c r="B21" s="2968"/>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3002</v>
      </c>
    </row>
    <row r="2" spans="1:5" ht="15.75">
      <c r="A2" s="2903" t="s">
        <v>2994</v>
      </c>
      <c r="B2" s="2904" t="e">
        <f ca="1">SUMIF(B6:B13,"&lt;&gt;#ref!",B6:B13)</f>
        <v>#DIV/0!</v>
      </c>
      <c r="C2" s="2903" t="s">
        <v>2995</v>
      </c>
      <c r="D2" s="2903" t="s">
        <v>2996</v>
      </c>
      <c r="E2" s="2904">
        <f ca="1">SUMIF(E6:E13,"&lt;&gt;#ref!",E6:E13)</f>
        <v>0</v>
      </c>
    </row>
    <row r="3" spans="1:5" ht="15.75">
      <c r="A3" s="2903" t="s">
        <v>2997</v>
      </c>
      <c r="B3" s="2904" t="e">
        <f ca="1">ROUND(B2*10000/E2,0)</f>
        <v>#DIV/0!</v>
      </c>
      <c r="C3" s="2903" t="s">
        <v>3003</v>
      </c>
      <c r="D3" s="2905"/>
      <c r="E3" s="2905"/>
    </row>
    <row r="4" spans="1:5" ht="15.75">
      <c r="A4" s="2906"/>
      <c r="B4" s="2905"/>
      <c r="C4" s="2905"/>
      <c r="D4" s="2905"/>
      <c r="E4" s="2905"/>
    </row>
    <row r="5" spans="1:5" ht="28.5">
      <c r="A5" s="2907" t="s">
        <v>2998</v>
      </c>
      <c r="B5" s="2903" t="s">
        <v>2999</v>
      </c>
      <c r="C5" s="2904"/>
      <c r="D5" s="2905"/>
      <c r="E5" s="2903" t="s">
        <v>3000</v>
      </c>
    </row>
    <row r="6" spans="1:5" ht="15.75">
      <c r="A6" s="2908" t="s">
        <v>3001</v>
      </c>
      <c r="B6" s="2904" t="e">
        <f ca="1">SUMIF(INDIRECT("'"&amp;A6&amp;"'"&amp;"!A:A"),"总价",INDIRECT("'"&amp;A6&amp;"'"&amp;"!B:B"))</f>
        <v>#DIV/0!</v>
      </c>
      <c r="C6" s="2903" t="s">
        <v>2995</v>
      </c>
      <c r="D6" s="2905"/>
      <c r="E6" s="2576">
        <f ca="1">SUMIF(INDIRECT("'"&amp;A6&amp;"'"&amp;"!C:C"),"建筑面积",INDIRECT("'"&amp;A6&amp;"'"&amp;"!D:D"))</f>
        <v>0</v>
      </c>
    </row>
    <row r="7" spans="1:5" ht="15.75">
      <c r="A7" s="2908"/>
      <c r="B7" s="2904" t="e">
        <f ca="1">SUMIF(INDIRECT("'"&amp;A7&amp;"'"&amp;"!A:A"),"总价",INDIRECT("'"&amp;A7&amp;"'"&amp;"!B:B"))</f>
        <v>#REF!</v>
      </c>
      <c r="C7" s="2903" t="s">
        <v>2995</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2995</v>
      </c>
      <c r="D8" s="2905"/>
      <c r="E8" s="2576" t="e">
        <f t="shared" ca="1" si="0"/>
        <v>#REF!</v>
      </c>
    </row>
    <row r="9" spans="1:5" ht="15.75">
      <c r="A9" s="2908"/>
      <c r="B9" s="2904" t="e">
        <f t="shared" ca="1" si="1"/>
        <v>#REF!</v>
      </c>
      <c r="C9" s="2903" t="s">
        <v>2995</v>
      </c>
      <c r="D9" s="2905"/>
      <c r="E9" s="2576" t="e">
        <f t="shared" ca="1" si="0"/>
        <v>#REF!</v>
      </c>
    </row>
    <row r="10" spans="1:5" ht="15.75">
      <c r="A10" s="2908"/>
      <c r="B10" s="2904" t="e">
        <f t="shared" ca="1" si="1"/>
        <v>#REF!</v>
      </c>
      <c r="C10" s="2903" t="s">
        <v>2995</v>
      </c>
      <c r="D10" s="2905"/>
      <c r="E10" s="2576" t="e">
        <f t="shared" ca="1" si="0"/>
        <v>#REF!</v>
      </c>
    </row>
    <row r="11" spans="1:5" ht="15.75">
      <c r="A11" s="2908"/>
      <c r="B11" s="2904" t="e">
        <f t="shared" ca="1" si="1"/>
        <v>#REF!</v>
      </c>
      <c r="C11" s="2903" t="s">
        <v>2995</v>
      </c>
      <c r="D11" s="2905"/>
      <c r="E11" s="2576" t="e">
        <f t="shared" ca="1" si="0"/>
        <v>#REF!</v>
      </c>
    </row>
    <row r="12" spans="1:5" ht="15.75">
      <c r="A12" s="2908"/>
      <c r="B12" s="2904" t="e">
        <f t="shared" ca="1" si="1"/>
        <v>#REF!</v>
      </c>
      <c r="C12" s="2903" t="s">
        <v>2995</v>
      </c>
      <c r="D12" s="2905"/>
      <c r="E12" s="2576" t="e">
        <f t="shared" ca="1" si="0"/>
        <v>#REF!</v>
      </c>
    </row>
    <row r="13" spans="1:5" ht="15.75">
      <c r="A13" s="2908"/>
      <c r="B13" s="2904" t="e">
        <f t="shared" ca="1" si="1"/>
        <v>#REF!</v>
      </c>
      <c r="C13" s="2903" t="s">
        <v>2995</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1145</v>
      </c>
      <c r="C1" s="3284"/>
      <c r="D1" s="3284"/>
      <c r="E1" s="3284"/>
      <c r="F1" s="3284"/>
      <c r="G1" s="3280" t="s">
        <v>1146</v>
      </c>
      <c r="H1" s="3280"/>
      <c r="I1" s="3280"/>
      <c r="J1" s="3280"/>
      <c r="K1" s="3280"/>
      <c r="L1" s="3280"/>
      <c r="N1" s="3280" t="s">
        <v>1147</v>
      </c>
      <c r="O1" s="3280"/>
      <c r="P1" s="3280"/>
      <c r="Q1" s="3280"/>
      <c r="R1" s="1445"/>
      <c r="S1" s="3280" t="s">
        <v>1148</v>
      </c>
      <c r="T1" s="3280"/>
      <c r="U1" s="3280"/>
      <c r="V1" s="3280"/>
      <c r="X1" s="3279" t="s">
        <v>1149</v>
      </c>
      <c r="Y1" s="3280"/>
      <c r="Z1" s="3280"/>
      <c r="AA1" s="3280"/>
      <c r="AB1" s="3280"/>
      <c r="AD1" s="3279" t="s">
        <v>1150</v>
      </c>
      <c r="AE1" s="3280"/>
      <c r="AF1" s="3280"/>
      <c r="AG1" s="3280"/>
      <c r="AH1" s="328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9" customFormat="1" ht="14.25">
      <c r="A3" s="2928" t="s">
        <v>3037</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6">
        <f t="shared" ref="N5" si="7">I5/100</f>
        <v>0</v>
      </c>
      <c r="O5" s="1466">
        <f t="shared" ref="O5" si="8">J5/100</f>
        <v>0</v>
      </c>
      <c r="P5" s="1466">
        <f t="shared" ref="P5" si="9">K5/100</f>
        <v>0</v>
      </c>
      <c r="Q5" s="1466">
        <f t="shared" ref="Q5" si="10">L5/100</f>
        <v>0</v>
      </c>
      <c r="R5" s="1731"/>
      <c r="S5" s="1732"/>
      <c r="T5" s="1731"/>
      <c r="U5" s="1731"/>
      <c r="V5" s="1731"/>
      <c r="W5" s="2918" t="s">
        <v>3038</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3055</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3051</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3049</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3047</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3050</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82">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3044</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82"/>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3043</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82"/>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3036</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89"/>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3033</v>
      </c>
      <c r="B14" s="1468">
        <v>439</v>
      </c>
      <c r="C14" s="1468">
        <v>327</v>
      </c>
      <c r="D14" s="1468">
        <f>C14</f>
        <v>327</v>
      </c>
      <c r="E14" s="1468">
        <v>627</v>
      </c>
      <c r="F14" s="1469">
        <v>283</v>
      </c>
      <c r="G14" s="3285">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3034</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82"/>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82"/>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89"/>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85">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82"/>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82"/>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83"/>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81">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82"/>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82"/>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83"/>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81">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82"/>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82"/>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83"/>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86">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87"/>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87"/>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88"/>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81">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82"/>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82"/>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83"/>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81">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82">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82">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83">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81">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82">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82">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83">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81">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82">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82">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83">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81">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82">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82">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83">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81">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82">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82">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83">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81">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82">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82">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83">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81">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82">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82">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83">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81">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82">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82">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83">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81">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82">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82">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83">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81">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82">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82">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83">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27800</v>
      </c>
      <c r="C2" s="2" t="s">
        <v>133</v>
      </c>
      <c r="D2" s="242"/>
      <c r="E2" s="242"/>
      <c r="F2" s="242"/>
      <c r="G2" s="242"/>
    </row>
    <row r="3" spans="1:7" s="243" customFormat="1" ht="18" customHeight="1" thickBot="1">
      <c r="A3" s="246" t="s">
        <v>85</v>
      </c>
      <c r="B3" s="247">
        <f ca="1">ROUND(B2*10000/'数据-汇总表'!E3,0)</f>
        <v>70073</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810</v>
      </c>
      <c r="D7" s="263"/>
      <c r="E7" s="261"/>
      <c r="F7" s="264">
        <f>'数据-取费表'!B48+'数据-取费表'!B49</f>
        <v>4.0500000000000001E-2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33.200000000000003</v>
      </c>
      <c r="F9" s="264"/>
      <c r="G9" s="269"/>
    </row>
    <row r="10" spans="1:7" s="257" customFormat="1" ht="13.5" customHeight="1">
      <c r="A10" s="949" t="s">
        <v>801</v>
      </c>
      <c r="B10" s="267" t="s">
        <v>94</v>
      </c>
      <c r="C10" s="268">
        <f>ROUND(D10*E10/10000,0)</f>
        <v>9</v>
      </c>
      <c r="D10" s="1031">
        <f>'数据-汇总表'!E6</f>
        <v>3967.28</v>
      </c>
      <c r="E10" s="268">
        <f>'数据-取费表'!B28</f>
        <v>21.6</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60</v>
      </c>
      <c r="D19" s="1035">
        <f>'数据-汇总表'!E3</f>
        <v>3967.28</v>
      </c>
      <c r="E19" s="254">
        <f>'数据-取费表'!B31</f>
        <v>150</v>
      </c>
      <c r="F19" s="274"/>
      <c r="G19" s="1" t="s">
        <v>1070</v>
      </c>
    </row>
    <row r="20" spans="1:7" s="257" customFormat="1" ht="13.5" customHeight="1">
      <c r="A20" s="947" t="s">
        <v>1053</v>
      </c>
      <c r="B20" s="253" t="s">
        <v>104</v>
      </c>
      <c r="C20" s="275">
        <f>ROUND((C5+C19)*F20,0)</f>
        <v>417</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917</v>
      </c>
      <c r="D22" s="278">
        <f ca="1">C26</f>
        <v>4.0000000000000002E-4</v>
      </c>
      <c r="E22" s="279" t="s">
        <v>126</v>
      </c>
      <c r="F22" s="280">
        <f ca="1">'数据-取费表'!B40</f>
        <v>4.3499999999999997E-2</v>
      </c>
      <c r="G22" s="1288" t="str">
        <f>IF('数据-取费表'!B22&lt;=1,"单利计息","复利计息")</f>
        <v>单利计息</v>
      </c>
    </row>
    <row r="23" spans="1:7" s="257" customFormat="1" ht="13.5" customHeight="1">
      <c r="A23" s="950" t="s">
        <v>794</v>
      </c>
      <c r="B23" s="258" t="s">
        <v>1057</v>
      </c>
      <c r="C23" s="1354">
        <f ca="1">ROUND(IF('数据-取费表'!B22&lt;=1,C5*F22*'数据-取费表'!B23,C5*(POWER((1+F22),'数据-取费表'!B23)-1)),0)</f>
        <v>905</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3</v>
      </c>
      <c r="D24" s="281"/>
      <c r="E24" s="281"/>
      <c r="F24" s="282"/>
      <c r="G24" s="283" t="s">
        <v>109</v>
      </c>
    </row>
    <row r="25" spans="1:7" s="257" customFormat="1" ht="24">
      <c r="A25" s="950" t="s">
        <v>793</v>
      </c>
      <c r="B25" s="258" t="s">
        <v>1054</v>
      </c>
      <c r="C25" s="1354">
        <f ca="1">ROUND(IF('数据-取费表'!B22&lt;=1,C20*F22*'数据-取费表'!B23/2,C20*(POWER((1+F22),'数据-取费表'!B23/2)-1)),0)</f>
        <v>9</v>
      </c>
      <c r="D25" s="281"/>
      <c r="E25" s="284"/>
      <c r="F25" s="282"/>
      <c r="G25" s="285" t="s">
        <v>110</v>
      </c>
    </row>
    <row r="26" spans="1:7" s="257" customFormat="1">
      <c r="A26" s="950" t="s">
        <v>795</v>
      </c>
      <c r="B26" s="258" t="s">
        <v>1056</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2129</v>
      </c>
      <c r="D27" s="278">
        <f>C29</f>
        <v>2E-3</v>
      </c>
      <c r="E27" s="279" t="s">
        <v>126</v>
      </c>
      <c r="F27" s="289">
        <f>'数据-取费表'!Q16</f>
        <v>0.1</v>
      </c>
      <c r="G27" s="290" t="s">
        <v>1065</v>
      </c>
    </row>
    <row r="28" spans="1:7" s="257" customFormat="1" ht="13.5" customHeight="1">
      <c r="A28" s="950" t="s">
        <v>794</v>
      </c>
      <c r="B28" s="291" t="s">
        <v>1058</v>
      </c>
      <c r="C28" s="292">
        <f>ROUND((C5+C19+C20)*F27*'数据-取费表'!B21/'数据-取费表'!B20,0)</f>
        <v>2129</v>
      </c>
      <c r="D28" s="278"/>
      <c r="E28" s="279"/>
      <c r="F28" s="289"/>
      <c r="G28" s="290"/>
    </row>
    <row r="29" spans="1:7" s="257" customFormat="1" ht="13.5" customHeight="1">
      <c r="A29" s="950" t="s">
        <v>792</v>
      </c>
      <c r="B29" s="291" t="s">
        <v>1059</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26300</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1304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1190</v>
      </c>
      <c r="D34" s="260"/>
      <c r="E34" s="263"/>
      <c r="F34" s="300">
        <f>IF('数据-取费表'!B24=0,1,'数据-取费表'!N16)</f>
        <v>1</v>
      </c>
      <c r="G34" s="262" t="s">
        <v>116</v>
      </c>
    </row>
    <row r="35" spans="1:7" ht="13.5" customHeight="1">
      <c r="A35" s="950" t="s">
        <v>796</v>
      </c>
      <c r="B35" s="258" t="s">
        <v>60</v>
      </c>
      <c r="C35" s="263">
        <f>ROUND(C34*F35,0)</f>
        <v>36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60</v>
      </c>
      <c r="D37" s="260">
        <f>'数据-汇总表'!E3</f>
        <v>3967.28</v>
      </c>
      <c r="E37" s="292">
        <f>'数据-取费表'!B35</f>
        <v>150</v>
      </c>
      <c r="F37" s="302"/>
      <c r="G37" s="304" t="s">
        <v>119</v>
      </c>
    </row>
    <row r="38" spans="1:7" ht="13.5" customHeight="1">
      <c r="A38" s="950" t="s">
        <v>799</v>
      </c>
      <c r="B38" s="258" t="s">
        <v>63</v>
      </c>
      <c r="C38" s="263">
        <f>ROUND(C34*F38,0)</f>
        <v>18</v>
      </c>
      <c r="D38" s="263"/>
      <c r="E38" s="263"/>
      <c r="F38" s="302">
        <f>'数据-取费表'!B36</f>
        <v>1.4999999999999999E-2</v>
      </c>
      <c r="G38" s="262" t="s">
        <v>117</v>
      </c>
    </row>
    <row r="39" spans="1:7" s="257" customFormat="1" ht="13.5" customHeight="1">
      <c r="A39" s="947" t="s">
        <v>783</v>
      </c>
      <c r="B39" s="253" t="s">
        <v>104</v>
      </c>
      <c r="C39" s="275">
        <f>ROUND(C33*F20,0)</f>
        <v>26</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29</v>
      </c>
      <c r="D41" s="278">
        <f ca="1">C44</f>
        <v>4.0000000000000002E-4</v>
      </c>
      <c r="E41" s="279" t="s">
        <v>129</v>
      </c>
      <c r="F41" s="280"/>
      <c r="G41" s="1288" t="str">
        <f>IF('数据-取费表'!B22&lt;=1,"单利计息","复利计息")</f>
        <v>单利计息</v>
      </c>
    </row>
    <row r="42" spans="1:7" ht="13.5" customHeight="1">
      <c r="A42" s="950" t="s">
        <v>794</v>
      </c>
      <c r="B42" s="258" t="s">
        <v>1057</v>
      </c>
      <c r="C42" s="281">
        <f ca="1">ROUND(IF('数据-取费表'!B22&lt;=1,C33*F22*'数据-取费表'!B21/2,C33*(POWER((1+F22),'数据-取费表'!B21/2)-1)),0)</f>
        <v>28</v>
      </c>
      <c r="D42" s="281"/>
      <c r="E42" s="281"/>
      <c r="F42" s="282"/>
      <c r="G42" s="3151" t="s">
        <v>121</v>
      </c>
    </row>
    <row r="43" spans="1:7" ht="13.5" customHeight="1">
      <c r="A43" s="950" t="s">
        <v>792</v>
      </c>
      <c r="B43" s="258" t="s">
        <v>1060</v>
      </c>
      <c r="C43" s="281">
        <f ca="1">ROUND(IF('数据-取费表'!B22&lt;=1,C39*F22*'数据-取费表'!B21/2,C39*(POWER((1+F22),'数据-取费表'!B21/2)-1)),0)</f>
        <v>1</v>
      </c>
      <c r="D43" s="281"/>
      <c r="E43" s="281"/>
      <c r="F43" s="282"/>
      <c r="G43" s="3152"/>
    </row>
    <row r="44" spans="1:7" ht="13.5" customHeight="1">
      <c r="A44" s="950" t="s">
        <v>793</v>
      </c>
      <c r="B44" s="258" t="s">
        <v>1062</v>
      </c>
      <c r="C44" s="281">
        <f ca="1">ROUND(IF('数据-取费表'!B22&lt;=1,C40*F22*'数据-取费表'!B21/2,C40*(POWER((1+F22),'数据-取费表'!B21/2)-1)),4)</f>
        <v>4.0000000000000002E-4</v>
      </c>
      <c r="D44" s="281"/>
      <c r="E44" s="281"/>
      <c r="F44" s="282"/>
      <c r="G44" s="3153"/>
    </row>
    <row r="45" spans="1:7" s="257" customFormat="1" ht="13.5" customHeight="1">
      <c r="A45" s="947" t="s">
        <v>786</v>
      </c>
      <c r="B45" s="287" t="s">
        <v>112</v>
      </c>
      <c r="C45" s="288">
        <f>C46</f>
        <v>133</v>
      </c>
      <c r="D45" s="278">
        <f>C47</f>
        <v>2E-3</v>
      </c>
      <c r="E45" s="279" t="s">
        <v>129</v>
      </c>
      <c r="F45" s="289"/>
      <c r="G45" s="290" t="s">
        <v>1068</v>
      </c>
    </row>
    <row r="46" spans="1:7" s="257" customFormat="1" ht="13.5" customHeight="1">
      <c r="A46" s="950" t="s">
        <v>794</v>
      </c>
      <c r="B46" s="291" t="s">
        <v>1061</v>
      </c>
      <c r="C46" s="292">
        <f>ROUND((C33+C39)*F27,0)</f>
        <v>133</v>
      </c>
      <c r="D46" s="306"/>
      <c r="E46" s="279"/>
      <c r="F46" s="289"/>
      <c r="G46" s="290"/>
    </row>
    <row r="47" spans="1:7" s="257" customFormat="1" ht="13.5" customHeight="1">
      <c r="A47" s="950" t="s">
        <v>792</v>
      </c>
      <c r="B47" s="291" t="s">
        <v>1063</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1613</v>
      </c>
      <c r="D49" s="275"/>
      <c r="E49" s="275"/>
      <c r="F49" s="307"/>
      <c r="G49" s="277" t="s">
        <v>1069</v>
      </c>
    </row>
    <row r="50" spans="1:7" s="301" customFormat="1" ht="24">
      <c r="A50" s="947" t="s">
        <v>789</v>
      </c>
      <c r="B50" s="253" t="s">
        <v>124</v>
      </c>
      <c r="C50" s="275"/>
      <c r="D50" s="275"/>
      <c r="E50" s="275"/>
      <c r="F50" s="307">
        <f>IF('数据-取费表'!B24=0,'数据-取费表'!N16,1)</f>
        <v>0.93</v>
      </c>
      <c r="G50" s="290" t="s">
        <v>125</v>
      </c>
    </row>
    <row r="51" spans="1:7" ht="16.5" customHeight="1">
      <c r="A51" s="947" t="s">
        <v>790</v>
      </c>
      <c r="B51" s="253" t="s">
        <v>132</v>
      </c>
      <c r="C51" s="275">
        <f ca="1">ROUND(C49*F50,0)</f>
        <v>1500</v>
      </c>
      <c r="D51" s="275"/>
      <c r="E51" s="275"/>
      <c r="F51" s="307"/>
      <c r="G51" s="277" t="s">
        <v>64</v>
      </c>
    </row>
    <row r="52" spans="1:7" s="251" customFormat="1" ht="16.5" thickBot="1">
      <c r="A52" s="308" t="s">
        <v>65</v>
      </c>
      <c r="B52" s="309"/>
      <c r="C52" s="310">
        <f ca="1">C31+C51</f>
        <v>27800</v>
      </c>
      <c r="D52" s="309"/>
      <c r="E52" s="309"/>
      <c r="F52" s="309"/>
      <c r="G52" s="311"/>
    </row>
    <row r="55" spans="1:7" ht="15">
      <c r="B55" s="313" t="s">
        <v>66</v>
      </c>
      <c r="C55" s="314"/>
    </row>
    <row r="56" spans="1:7">
      <c r="B56" s="316" t="s">
        <v>67</v>
      </c>
      <c r="C56" s="317">
        <f ca="1">ROUND(C51/C52,3)</f>
        <v>5.3999999999999999E-2</v>
      </c>
    </row>
    <row r="57" spans="1:7">
      <c r="B57" s="316" t="s">
        <v>68</v>
      </c>
      <c r="C57" s="318">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0" t="s">
        <v>156</v>
      </c>
      <c r="B1" s="3290"/>
      <c r="C1" s="3290"/>
      <c r="D1" s="3290"/>
      <c r="E1" s="3290"/>
      <c r="F1" s="329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1" t="s">
        <v>169</v>
      </c>
      <c r="B2" s="3291"/>
      <c r="C2" s="3291"/>
      <c r="D2" s="3291"/>
      <c r="E2" s="3291"/>
      <c r="F2" s="329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0" t="s">
        <v>867</v>
      </c>
      <c r="B1" s="3290"/>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43969</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3" sqref="C4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3" t="s">
        <v>1632</v>
      </c>
      <c r="E3" s="1043" t="s">
        <v>1638</v>
      </c>
      <c r="F3" s="1043" t="s">
        <v>1632</v>
      </c>
      <c r="G3" s="1043" t="s">
        <v>1633</v>
      </c>
      <c r="H3" s="1043" t="s">
        <v>1632</v>
      </c>
      <c r="I3" s="1043" t="s">
        <v>1633</v>
      </c>
    </row>
    <row r="4" spans="1:9" ht="15">
      <c r="A4" s="1971" t="str">
        <f>项目基本情况!S2</f>
        <v>房地产</v>
      </c>
      <c r="B4" s="1043">
        <f>项目基本情况!C17</f>
        <v>3967.28</v>
      </c>
      <c r="C4" s="1043">
        <f>项目基本情况!C18</f>
        <v>1983.64</v>
      </c>
      <c r="D4" s="1043">
        <f ca="1">结果表!D118</f>
        <v>1116</v>
      </c>
      <c r="E4" s="1043">
        <f ca="1">结果表!E118</f>
        <v>2813</v>
      </c>
      <c r="F4" s="1043">
        <f ca="1">结果表!F118</f>
        <v>3867</v>
      </c>
      <c r="G4" s="1043">
        <f ca="1">结果表!G118</f>
        <v>9747</v>
      </c>
      <c r="H4" s="1043">
        <f ca="1">结果表!H118</f>
        <v>4983</v>
      </c>
      <c r="I4" s="1043">
        <f ca="1">结果表!I118</f>
        <v>12560</v>
      </c>
    </row>
    <row r="5" spans="1:9" ht="30" customHeight="1">
      <c r="A5" s="2978" t="s">
        <v>1634</v>
      </c>
      <c r="B5" s="2978"/>
      <c r="C5" s="2978"/>
      <c r="D5" s="2979" t="str">
        <f ca="1">结果表!D119</f>
        <v>壹仟壹佰壹拾陆万元整</v>
      </c>
      <c r="E5" s="2979"/>
      <c r="F5" s="2979" t="str">
        <f ca="1">结果表!F119</f>
        <v>叁仟捌佰陆拾柒万元整</v>
      </c>
      <c r="G5" s="2979"/>
      <c r="H5" s="2979" t="str">
        <f ca="1">结果表!H119</f>
        <v>肆仟玖佰捌拾叁万元整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1634</v>
      </c>
      <c r="B7" s="2978"/>
      <c r="C7" s="2978"/>
      <c r="D7" s="2981" t="str">
        <f>结果表!D121</f>
        <v>零元整</v>
      </c>
      <c r="E7" s="2982"/>
      <c r="F7" s="2982"/>
      <c r="G7" s="2982"/>
      <c r="H7" s="2982"/>
      <c r="I7" s="2983"/>
    </row>
    <row r="8" spans="1:9" ht="15.75">
      <c r="A8" s="2980" t="str">
        <f>结果表!A122</f>
        <v>房地产抵押价值</v>
      </c>
      <c r="B8" s="2980"/>
      <c r="C8" s="2980"/>
      <c r="D8" s="2980">
        <f ca="1">结果表!D122</f>
        <v>4983</v>
      </c>
      <c r="E8" s="2980"/>
      <c r="F8" s="2980"/>
      <c r="G8" s="2980"/>
      <c r="H8" s="2980"/>
      <c r="I8" s="2980"/>
    </row>
    <row r="9" spans="1:9" ht="15">
      <c r="A9" s="2978" t="s">
        <v>1634</v>
      </c>
      <c r="B9" s="2978"/>
      <c r="C9" s="2978"/>
      <c r="D9" s="2979" t="str">
        <f ca="1">结果表!D123</f>
        <v>肆仟玖佰捌拾叁万元整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1634</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1634</v>
      </c>
      <c r="B13" s="2984"/>
      <c r="C13" s="2984"/>
      <c r="D13" s="2985" t="e">
        <f>结果表!D127</f>
        <v>#VALUE!</v>
      </c>
      <c r="E13" s="2985"/>
      <c r="F13" s="2985"/>
      <c r="G13" s="2985"/>
      <c r="H13" s="2985"/>
      <c r="I13" s="2985"/>
    </row>
    <row r="14" spans="1:9" ht="15" thickTop="1">
      <c r="A14" s="2986" t="s">
        <v>1639</v>
      </c>
      <c r="B14" s="2986"/>
      <c r="C14" s="2986"/>
      <c r="D14" s="2986"/>
      <c r="E14" s="2986"/>
      <c r="F14" s="2986"/>
      <c r="G14" s="2986"/>
      <c r="H14" s="2986"/>
      <c r="I14" s="298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7" t="s">
        <v>1656</v>
      </c>
      <c r="B1" s="2987"/>
      <c r="C1" s="2987"/>
      <c r="D1" s="2987"/>
    </row>
    <row r="2" spans="1:4" ht="18">
      <c r="A2" s="2988" t="s">
        <v>1640</v>
      </c>
      <c r="B2" s="2988"/>
      <c r="C2" s="2988"/>
      <c r="D2" s="2988"/>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2988" t="s">
        <v>1646</v>
      </c>
      <c r="B6" s="2988"/>
      <c r="C6" s="2988"/>
      <c r="D6" s="2988"/>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89"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1650</v>
      </c>
      <c r="B16" s="2993"/>
      <c r="C16" s="2993"/>
      <c r="D16" s="2993"/>
    </row>
    <row r="17" spans="1:4" ht="144" customHeight="1">
      <c r="A17" s="2993" t="s">
        <v>1651</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1652</v>
      </c>
      <c r="B22" s="2995"/>
      <c r="C22" s="2995"/>
      <c r="D22" s="2995"/>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01" t="s">
        <v>1663</v>
      </c>
      <c r="B15" s="2996" t="s">
        <v>136</v>
      </c>
      <c r="C15" s="2997"/>
    </row>
    <row r="16" spans="1:7" ht="13.5">
      <c r="A16" s="3002"/>
      <c r="B16" s="2996" t="s">
        <v>69</v>
      </c>
      <c r="C16" s="2997"/>
    </row>
    <row r="17" spans="1:3" ht="13.5">
      <c r="A17" s="3002"/>
      <c r="B17" s="2999" t="s">
        <v>1664</v>
      </c>
      <c r="C17" s="1998" t="s">
        <v>1663</v>
      </c>
    </row>
    <row r="18" spans="1:3" ht="13.5">
      <c r="A18" s="3002"/>
      <c r="B18" s="2999"/>
      <c r="C18" s="1998" t="s">
        <v>1665</v>
      </c>
    </row>
    <row r="19" spans="1:3" ht="13.5">
      <c r="A19" s="3002"/>
      <c r="B19" s="2999"/>
      <c r="C19" s="1998" t="s">
        <v>1666</v>
      </c>
    </row>
    <row r="20" spans="1:3" ht="13.5">
      <c r="A20" s="3003"/>
      <c r="B20" s="2998" t="s">
        <v>1667</v>
      </c>
      <c r="C20" s="2997"/>
    </row>
    <row r="21" spans="1:3" ht="13.5">
      <c r="A21" s="1999" t="s">
        <v>1668</v>
      </c>
      <c r="B21" s="2000"/>
      <c r="C21" s="2001"/>
    </row>
    <row r="22" spans="1:3" ht="13.5">
      <c r="A22" s="3000" t="s">
        <v>1669</v>
      </c>
      <c r="B22" s="2998" t="s">
        <v>1670</v>
      </c>
      <c r="C22" s="2997"/>
    </row>
    <row r="23" spans="1:3" ht="13.5">
      <c r="A23" s="3000"/>
      <c r="B23" s="2998" t="s">
        <v>1671</v>
      </c>
      <c r="C23" s="2997"/>
    </row>
    <row r="24" spans="1:3" ht="13.5">
      <c r="A24" s="3000"/>
      <c r="B24" s="2998" t="s">
        <v>1672</v>
      </c>
      <c r="C24" s="2997"/>
    </row>
    <row r="25" spans="1:3" ht="13.5">
      <c r="A25" s="3000"/>
      <c r="B25" s="2999" t="s">
        <v>1673</v>
      </c>
      <c r="C25" s="1998" t="s">
        <v>1674</v>
      </c>
    </row>
    <row r="26" spans="1:3" ht="13.5">
      <c r="A26" s="3000"/>
      <c r="B26" s="2999"/>
      <c r="C26" s="1998" t="s">
        <v>1675</v>
      </c>
    </row>
    <row r="27" spans="1:3" ht="13.5">
      <c r="A27" s="3000"/>
      <c r="B27" s="2999"/>
      <c r="C27" s="1998" t="s">
        <v>1676</v>
      </c>
    </row>
    <row r="28" spans="1:3" ht="13.5">
      <c r="A28" s="3000"/>
      <c r="B28" s="2999"/>
      <c r="C28" s="1998" t="s">
        <v>1677</v>
      </c>
    </row>
    <row r="29" spans="1:3" ht="13.5">
      <c r="A29" s="3000"/>
      <c r="B29" s="2999"/>
      <c r="C29" s="1998" t="s">
        <v>1678</v>
      </c>
    </row>
    <row r="30" spans="1:3" ht="13.5">
      <c r="A30" s="3000"/>
      <c r="B30" s="2999"/>
      <c r="C30" s="1998" t="s">
        <v>1679</v>
      </c>
    </row>
    <row r="31" spans="1:3" ht="13.5">
      <c r="A31" s="3000"/>
      <c r="B31" s="2999"/>
      <c r="C31" s="1998" t="s">
        <v>1680</v>
      </c>
    </row>
    <row r="32" spans="1:3" ht="13.5">
      <c r="A32" s="3000"/>
      <c r="B32" s="2999"/>
      <c r="C32" s="1998" t="s">
        <v>1681</v>
      </c>
    </row>
    <row r="33" spans="1:3" ht="13.5">
      <c r="A33" s="3000"/>
      <c r="B33" s="2999"/>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43970</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929">
        <v>44876</v>
      </c>
      <c r="D4" s="2350" t="s">
        <v>832</v>
      </c>
      <c r="E4" s="1021">
        <f ca="1">IF(F4&lt;B2,"已过期",96010014)</f>
        <v>96010014</v>
      </c>
      <c r="F4" s="1029">
        <v>47118</v>
      </c>
    </row>
    <row r="5" spans="1:6" ht="24" customHeight="1">
      <c r="A5" s="1701"/>
      <c r="B5" s="1021"/>
      <c r="C5" s="2347"/>
      <c r="D5" s="2350"/>
      <c r="E5" s="1021"/>
      <c r="F5" s="1029"/>
    </row>
    <row r="6" spans="1:6" ht="24" customHeight="1">
      <c r="A6" s="1701" t="s">
        <v>833</v>
      </c>
      <c r="B6" s="1021">
        <f ca="1">IF(C6&lt;B2,"已过期",1119970111)</f>
        <v>1119970111</v>
      </c>
      <c r="C6" s="2347">
        <v>44876</v>
      </c>
      <c r="D6" s="2350" t="s">
        <v>833</v>
      </c>
      <c r="E6" s="1021">
        <f ca="1">IF(F6&lt;B2,"已过期",94010078)</f>
        <v>94010078</v>
      </c>
      <c r="F6" s="1029">
        <v>46387</v>
      </c>
    </row>
    <row r="7" spans="1:6" ht="24" customHeight="1">
      <c r="A7" s="1701" t="s">
        <v>834</v>
      </c>
      <c r="B7" s="1021">
        <f ca="1">IF(C7&lt;B2,"已过期",1120050019)</f>
        <v>1120050019</v>
      </c>
      <c r="C7" s="2347">
        <v>44395</v>
      </c>
      <c r="D7" s="2350" t="s">
        <v>834</v>
      </c>
      <c r="E7" s="1021">
        <f ca="1">IF(F7&lt;B2,"已过期",2002110030)</f>
        <v>2002110030</v>
      </c>
      <c r="F7" s="1029">
        <v>46387</v>
      </c>
    </row>
    <row r="8" spans="1:6" ht="24" customHeight="1">
      <c r="A8" s="1701" t="s">
        <v>835</v>
      </c>
      <c r="B8" s="1021">
        <f ca="1">IF(C8&lt;B2,"已过期",1120000080)</f>
        <v>1120000080</v>
      </c>
      <c r="C8" s="2929">
        <v>44876</v>
      </c>
      <c r="D8" s="2350" t="s">
        <v>835</v>
      </c>
      <c r="E8" s="1021">
        <f ca="1">IF(F8&lt;B2,"已过期",2000110082)</f>
        <v>2000110082</v>
      </c>
      <c r="F8" s="1029">
        <v>46387</v>
      </c>
    </row>
    <row r="9" spans="1:6" ht="24" customHeight="1">
      <c r="A9" s="1701" t="s">
        <v>836</v>
      </c>
      <c r="B9" s="1021">
        <f ca="1">IF(C9&lt;B2,"已过期",1419970001)</f>
        <v>1419970001</v>
      </c>
      <c r="C9" s="2929">
        <v>44899</v>
      </c>
      <c r="D9" s="2350" t="s">
        <v>836</v>
      </c>
      <c r="E9" s="1021">
        <f ca="1">IF(F9&lt;B2,"已过期",2002110125)</f>
        <v>2002110125</v>
      </c>
      <c r="F9" s="1029">
        <v>47118</v>
      </c>
    </row>
    <row r="10" spans="1:6" ht="24" customHeight="1">
      <c r="A10" s="1701" t="s">
        <v>837</v>
      </c>
      <c r="B10" s="1021">
        <f ca="1">IF(C10&lt;B2,"已过期",1120060040)</f>
        <v>1120060040</v>
      </c>
      <c r="C10" s="2347">
        <v>44554</v>
      </c>
      <c r="D10" s="2350" t="s">
        <v>837</v>
      </c>
      <c r="E10" s="1021">
        <f ca="1">IF(F10&lt;B2,"已过期",2004110096)</f>
        <v>2004110096</v>
      </c>
      <c r="F10" s="1029">
        <v>47118</v>
      </c>
    </row>
    <row r="11" spans="1:6" ht="24" customHeight="1">
      <c r="A11" s="1701" t="s">
        <v>838</v>
      </c>
      <c r="B11" s="1021">
        <f ca="1">IF(C11&lt;B2,"已过期",1120100036)</f>
        <v>1120100036</v>
      </c>
      <c r="C11" s="2347">
        <v>44675</v>
      </c>
      <c r="D11" s="2350" t="s">
        <v>838</v>
      </c>
      <c r="E11" s="1021">
        <f ca="1">IF(F11&lt;B2,"已过期",2010110070)</f>
        <v>2010110070</v>
      </c>
      <c r="F11" s="1029">
        <v>47907</v>
      </c>
    </row>
    <row r="12" spans="1:6" ht="24" customHeight="1">
      <c r="A12" s="1701"/>
      <c r="B12" s="1021"/>
      <c r="C12" s="2929"/>
      <c r="D12" s="1701"/>
      <c r="E12" s="1021"/>
      <c r="F12" s="1029"/>
    </row>
    <row r="13" spans="1:6" ht="24" customHeight="1">
      <c r="A13" s="1701" t="s">
        <v>839</v>
      </c>
      <c r="B13" s="1021">
        <f ca="1">IF(C13&lt;B2,"已过期",1120070131)</f>
        <v>1120070131</v>
      </c>
      <c r="C13" s="2347">
        <v>44849</v>
      </c>
      <c r="D13" s="2350" t="s">
        <v>839</v>
      </c>
      <c r="E13" s="1021">
        <f ca="1">IF(F13&lt;B2,"已过期",2014110011)</f>
        <v>2014110011</v>
      </c>
      <c r="F13" s="1029">
        <v>49302</v>
      </c>
    </row>
    <row r="14" spans="1:6" ht="24" customHeight="1">
      <c r="A14" s="1701" t="s">
        <v>3045</v>
      </c>
      <c r="B14" s="1021">
        <f ca="1">IF(C14&lt;B2,"已过期",1120040230)</f>
        <v>1120040230</v>
      </c>
      <c r="C14" s="2347">
        <v>44864</v>
      </c>
      <c r="D14" s="2350" t="s">
        <v>3045</v>
      </c>
      <c r="E14" s="1021">
        <f ca="1">IF(F14&lt;B2,"已过期",98030020)</f>
        <v>98030020</v>
      </c>
      <c r="F14" s="1029">
        <v>47118</v>
      </c>
    </row>
    <row r="15" spans="1:6" ht="24" customHeight="1">
      <c r="A15" s="1702"/>
      <c r="B15" s="1021"/>
      <c r="C15" s="2347"/>
      <c r="D15" s="2351"/>
      <c r="E15" s="1021"/>
      <c r="F15" s="1022"/>
    </row>
    <row r="16" spans="1:6" ht="24" customHeight="1">
      <c r="A16" s="1701"/>
      <c r="B16" s="1021"/>
      <c r="C16" s="2929"/>
      <c r="D16" s="2350"/>
      <c r="E16" s="1021"/>
      <c r="F16" s="1029"/>
    </row>
    <row r="17" spans="1:7" ht="24" customHeight="1">
      <c r="A17" s="1701"/>
      <c r="B17" s="1021"/>
      <c r="C17" s="2347"/>
      <c r="D17" s="2350"/>
      <c r="E17" s="1021"/>
      <c r="F17" s="1029"/>
    </row>
    <row r="18" spans="1:7" ht="24" customHeight="1">
      <c r="A18" s="1701" t="s">
        <v>3052</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840</v>
      </c>
      <c r="E21" s="1021">
        <f ca="1">IF(F21&lt;B2,"已过期",2011110090)</f>
        <v>2011110090</v>
      </c>
      <c r="F21" s="1029">
        <v>48302</v>
      </c>
    </row>
    <row r="22" spans="1:7" ht="24" customHeight="1">
      <c r="A22" s="1701" t="s">
        <v>841</v>
      </c>
      <c r="B22" s="1021">
        <f ca="1">IF(C22&lt;B2,"已过期",1120020033)</f>
        <v>1120020033</v>
      </c>
      <c r="C22" s="2929">
        <v>44339</v>
      </c>
      <c r="D22" s="2350" t="s">
        <v>841</v>
      </c>
      <c r="E22" s="1021">
        <f ca="1">IF(F22&lt;B2,"已过期",2000110137)</f>
        <v>2000110137</v>
      </c>
      <c r="F22" s="1029">
        <v>46387</v>
      </c>
    </row>
    <row r="23" spans="1:7" ht="24" customHeight="1">
      <c r="A23" s="1701" t="s">
        <v>3054</v>
      </c>
      <c r="B23" s="1021">
        <v>1119980106</v>
      </c>
      <c r="C23" s="2347">
        <v>43916</v>
      </c>
      <c r="D23" s="1701" t="s">
        <v>3057</v>
      </c>
      <c r="E23" s="1021">
        <v>96010063</v>
      </c>
      <c r="F23" s="1029">
        <v>47118</v>
      </c>
    </row>
    <row r="24" spans="1:7" s="1023" customFormat="1" ht="24" customHeight="1">
      <c r="A24" s="1702" t="s">
        <v>1328</v>
      </c>
      <c r="B24" s="1702" t="s">
        <v>1328</v>
      </c>
      <c r="C24" s="2348" t="s">
        <v>1328</v>
      </c>
      <c r="D24" s="2351" t="s">
        <v>1328</v>
      </c>
      <c r="E24" s="1702" t="s">
        <v>1328</v>
      </c>
      <c r="F24" s="1702" t="s">
        <v>1328</v>
      </c>
    </row>
    <row r="25" spans="1:7" ht="24" customHeight="1">
      <c r="A25" s="3004" t="s">
        <v>842</v>
      </c>
      <c r="B25" s="3004"/>
      <c r="C25" s="3004"/>
      <c r="D25" s="3004"/>
      <c r="E25" s="3004"/>
      <c r="F25" s="3004"/>
      <c r="G25" s="3004"/>
    </row>
    <row r="26" spans="1:7" s="1024" customFormat="1" ht="24" customHeight="1">
      <c r="A26" s="3005" t="s">
        <v>843</v>
      </c>
      <c r="B26" s="3005"/>
      <c r="C26" s="3006"/>
      <c r="D26" s="3007" t="s">
        <v>844</v>
      </c>
      <c r="E26" s="3005"/>
      <c r="F26" s="3005"/>
    </row>
    <row r="27" spans="1:7" s="1026" customFormat="1" ht="24" customHeight="1">
      <c r="A27" s="1025" t="s">
        <v>845</v>
      </c>
      <c r="B27" s="1020" t="s">
        <v>846</v>
      </c>
      <c r="C27" s="2346" t="s">
        <v>847</v>
      </c>
      <c r="D27" s="2353" t="s">
        <v>845</v>
      </c>
      <c r="E27" s="1020" t="s">
        <v>846</v>
      </c>
      <c r="F27" s="1020" t="s">
        <v>847</v>
      </c>
    </row>
    <row r="28" spans="1:7" s="1026" customFormat="1" ht="24" customHeight="1">
      <c r="A28" s="1027" t="s">
        <v>848</v>
      </c>
      <c r="B28" s="1028" t="s">
        <v>849</v>
      </c>
      <c r="C28" s="1029">
        <v>44820</v>
      </c>
      <c r="D28" s="2354" t="s">
        <v>850</v>
      </c>
      <c r="E28" s="1027" t="s">
        <v>851</v>
      </c>
      <c r="F28" s="1057">
        <v>44377</v>
      </c>
    </row>
    <row r="29" spans="1:7" s="1026" customFormat="1" ht="24" customHeight="1">
      <c r="A29" s="1027"/>
      <c r="B29" s="1027"/>
      <c r="C29" s="2352"/>
      <c r="D29" s="2354" t="s">
        <v>852</v>
      </c>
      <c r="E29" s="1201" t="s">
        <v>3053</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比较法-商业</vt:lpstr>
      <vt:lpstr>商业案例</vt:lpstr>
      <vt:lpstr>典型户型修正</vt:lpstr>
      <vt:lpstr>收益法 (元)</vt:lpstr>
      <vt:lpstr>成本法 (元)</vt:lpstr>
      <vt:lpstr>假设开发法</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2020-05-19T06:36:08Z</dcterms:modified>
</cp:coreProperties>
</file>