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25" windowWidth="21840" windowHeight="56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明细表" sheetId="80" state="hidden"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state="hidden" r:id="rId24"/>
    <sheet name="典型户型修正" sheetId="31" r:id="rId25"/>
    <sheet name="结果表商业" sheetId="82" state="hidden" r:id="rId26"/>
    <sheet name="比较法-商业" sheetId="33"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租金" sheetId="83" state="hidden" r:id="rId41"/>
    <sheet name="收益法 (元)" sheetId="67"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9" hidden="1">'比较法-住宅'!$A$1:$L$49</definedName>
    <definedName name="_xlnm._FilterDatabase" localSheetId="40" hidden="1">'比较法-租金'!$A$1:$L$49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9">'比较法-住宅'!$A$1:$K$54,'比较法-住宅'!$A$57:$M$131</definedName>
    <definedName name="_xlnm.Print_Area" localSheetId="40">'比较法-租金'!$A$1:$K$54,'比较法-租金'!$A$57:$M$131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结果表商业!$A$1:$I$127</definedName>
    <definedName name="_xlnm.Print_Area" localSheetId="22">收益法!$A$1:$F$43,收益法!$H$3:$M$29,收益法!$A$46:$F$71,收益法!$I$46:$N$65</definedName>
    <definedName name="_xlnm.Print_Area" localSheetId="41">'收益法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0">'比较法-租金'!$B$116:$M$116</definedName>
    <definedName name="商业层高">'比较法-商业'!$B$116:$M$116</definedName>
    <definedName name="商业成新度" localSheetId="40">'比较法-租金'!$B$109:$M$109</definedName>
    <definedName name="商业成新度">'比较法-商业'!$B$109:$M$109</definedName>
    <definedName name="商业繁华度">定义!$L$1:$L$6</definedName>
    <definedName name="商业公共部分装修" localSheetId="40">'比较法-租金'!$B$107:$M$107</definedName>
    <definedName name="商业公共部分装修">'比较法-商业'!$B$107:$M$107</definedName>
    <definedName name="商业基础设施水平" localSheetId="40">'比较法-租金'!$B$112:$M$112</definedName>
    <definedName name="商业基础设施水平">'比较法-商业'!$B$112:$M$112</definedName>
    <definedName name="商业建筑结构" localSheetId="40">'比较法-租金'!$B$105:$M$105</definedName>
    <definedName name="商业建筑结构">'比较法-商业'!$B$105:$M$105</definedName>
    <definedName name="商业交易情况" localSheetId="40">'比较法-租金'!$A$61:$M$61</definedName>
    <definedName name="商业交易情况">'比较法-商业'!$A$61:$M$61</definedName>
    <definedName name="商业街名称">修正!$C$71:$C$138</definedName>
    <definedName name="商业进深比" localSheetId="40">'比较法-租金'!$B$120:$M$120</definedName>
    <definedName name="商业进深比">'比较法-商业'!$B$120:$M$120</definedName>
    <definedName name="商业类型" localSheetId="40">'比较法-租金'!$B$100:$M$100</definedName>
    <definedName name="商业类型">'比较法-商业'!$B$100:$M$100</definedName>
    <definedName name="商业临街状况" localSheetId="40">'比较法-租金'!$B$86:$M$86</definedName>
    <definedName name="商业临街状况">'比较法-商业'!$B$86:$M$86</definedName>
    <definedName name="商业楼层" localSheetId="40">'比较法-租金'!$B$92:$M$92</definedName>
    <definedName name="商业楼层">'比较法-商业'!$B$92:$M$92</definedName>
    <definedName name="商业内部装修" localSheetId="40">'比较法-租金'!$B$122:$M$122</definedName>
    <definedName name="商业内部装修">'比较法-商业'!$B$122:$M$122</definedName>
    <definedName name="商业人流量" localSheetId="40">'比较法-租金'!$B$90:$M$90</definedName>
    <definedName name="商业人流量">'比较法-商业'!$B$90:$M$90</definedName>
    <definedName name="商业业态" localSheetId="40">'比较法-租金'!$B$114:$M$114</definedName>
    <definedName name="商业业态">'比较法-商业'!$B$114:$M$114</definedName>
    <definedName name="商业用途" localSheetId="40">'比较法-租金'!$B$63:$M$63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33" i="9" l="1"/>
  <c r="C75" i="9"/>
  <c r="C66" i="9"/>
  <c r="B14" i="74"/>
  <c r="B25" i="31"/>
  <c r="B24" i="31"/>
  <c r="N6" i="1" l="1"/>
  <c r="F19" i="6"/>
  <c r="B130" i="83" l="1"/>
  <c r="B128" i="83"/>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E104" i="83"/>
  <c r="F104" i="83" s="1"/>
  <c r="G104" i="83" s="1"/>
  <c r="H104" i="83" s="1"/>
  <c r="D104" i="83"/>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D91" i="83"/>
  <c r="E91" i="83" s="1"/>
  <c r="F91" i="83" s="1"/>
  <c r="G91" i="83" s="1"/>
  <c r="H91" i="83" s="1"/>
  <c r="I91" i="83" s="1"/>
  <c r="J91" i="83" s="1"/>
  <c r="K91" i="83" s="1"/>
  <c r="L91" i="83" s="1"/>
  <c r="M91" i="83" s="1"/>
  <c r="B90" i="83"/>
  <c r="E89" i="83"/>
  <c r="F89" i="83" s="1"/>
  <c r="G89" i="83" s="1"/>
  <c r="D89"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Q35" i="83"/>
  <c r="Z35" i="83" s="1"/>
  <c r="J35" i="83"/>
  <c r="AC35" i="83" s="1"/>
  <c r="H35" i="83"/>
  <c r="AB35" i="83" s="1"/>
  <c r="F35" i="83"/>
  <c r="AA35" i="83" s="1"/>
  <c r="Q34" i="83"/>
  <c r="Z34" i="83" s="1"/>
  <c r="J34" i="83"/>
  <c r="AC34" i="83" s="1"/>
  <c r="H34" i="83"/>
  <c r="AB34" i="83" s="1"/>
  <c r="F34" i="83"/>
  <c r="AA34" i="83" s="1"/>
  <c r="Q33" i="83"/>
  <c r="Z33" i="83" s="1"/>
  <c r="C33" i="83"/>
  <c r="H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W23" i="83"/>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D2" i="83"/>
  <c r="U8" i="83" l="1"/>
  <c r="U9" i="83"/>
  <c r="S8" i="83"/>
  <c r="W8" i="83"/>
  <c r="S9" i="83"/>
  <c r="W9" i="83"/>
  <c r="U10" i="83"/>
  <c r="S11" i="83"/>
  <c r="W11" i="83"/>
  <c r="U12" i="83"/>
  <c r="S13" i="83"/>
  <c r="W13" i="83"/>
  <c r="U14" i="83"/>
  <c r="U15" i="83"/>
  <c r="U17" i="83"/>
  <c r="U19" i="83"/>
  <c r="W21" i="83"/>
  <c r="S23" i="83"/>
  <c r="S10" i="83"/>
  <c r="W10" i="83"/>
  <c r="U11" i="83"/>
  <c r="S12" i="83"/>
  <c r="W12" i="83"/>
  <c r="U13" i="83"/>
  <c r="S14" i="83"/>
  <c r="W14" i="83"/>
  <c r="S15" i="83"/>
  <c r="W15" i="83"/>
  <c r="S17" i="83"/>
  <c r="W17" i="83"/>
  <c r="S19" i="83"/>
  <c r="W19" i="83"/>
  <c r="S21" i="83"/>
  <c r="AB33" i="83"/>
  <c r="U33" i="83"/>
  <c r="U25" i="83"/>
  <c r="S26" i="83"/>
  <c r="W26" i="83"/>
  <c r="U27" i="83"/>
  <c r="S28" i="83"/>
  <c r="W28" i="83"/>
  <c r="U29" i="83"/>
  <c r="S30" i="83"/>
  <c r="W30" i="83"/>
  <c r="U31" i="83"/>
  <c r="S32" i="83"/>
  <c r="W32" i="83"/>
  <c r="F33" i="83"/>
  <c r="J33" i="83"/>
  <c r="U34" i="83"/>
  <c r="S35" i="83"/>
  <c r="W35" i="83"/>
  <c r="S37" i="83"/>
  <c r="W37" i="83"/>
  <c r="U38" i="83"/>
  <c r="S39" i="83"/>
  <c r="W39" i="83"/>
  <c r="U40" i="83"/>
  <c r="S41" i="83"/>
  <c r="W41" i="83"/>
  <c r="U42" i="83"/>
  <c r="S43" i="83"/>
  <c r="W43" i="83"/>
  <c r="U44" i="83"/>
  <c r="S45" i="83"/>
  <c r="W45" i="83"/>
  <c r="U46" i="83"/>
  <c r="U21" i="83"/>
  <c r="U23" i="83"/>
  <c r="S25" i="83"/>
  <c r="W25" i="83"/>
  <c r="U26" i="83"/>
  <c r="S27" i="83"/>
  <c r="W27" i="83"/>
  <c r="U28" i="83"/>
  <c r="S29" i="83"/>
  <c r="W29" i="83"/>
  <c r="U30" i="83"/>
  <c r="S31" i="83"/>
  <c r="W31" i="83"/>
  <c r="U32" i="83"/>
  <c r="S34" i="83"/>
  <c r="W34" i="83"/>
  <c r="U35" i="83"/>
  <c r="U37" i="83"/>
  <c r="S38" i="83"/>
  <c r="W38" i="83"/>
  <c r="U39" i="83"/>
  <c r="S40" i="83"/>
  <c r="W40" i="83"/>
  <c r="U41" i="83"/>
  <c r="S42" i="83"/>
  <c r="W42" i="83"/>
  <c r="U43" i="83"/>
  <c r="S44" i="83"/>
  <c r="W44" i="83"/>
  <c r="U45" i="83"/>
  <c r="S46" i="83"/>
  <c r="W46" i="83"/>
  <c r="AA33" i="83" l="1"/>
  <c r="S33" i="83"/>
  <c r="AC33" i="83"/>
  <c r="W33" i="83"/>
  <c r="Y6" i="1" l="1"/>
  <c r="C33" i="33" l="1"/>
  <c r="N20" i="1"/>
  <c r="R20" i="6" l="1"/>
  <c r="R19" i="6"/>
  <c r="B21" i="1"/>
  <c r="E89" i="33"/>
  <c r="F89" i="33"/>
  <c r="G89" i="33" s="1"/>
  <c r="D89" i="33"/>
  <c r="A126" i="82"/>
  <c r="A122" i="82"/>
  <c r="A120" i="82"/>
  <c r="H111" i="82"/>
  <c r="D126" i="82" s="1"/>
  <c r="D127" i="82" s="1"/>
  <c r="E111" i="82"/>
  <c r="H112" i="82" s="1"/>
  <c r="E109" i="82"/>
  <c r="A124" i="82" s="1"/>
  <c r="E107" i="82"/>
  <c r="H106" i="82"/>
  <c r="H103" i="82" s="1"/>
  <c r="D120" i="82" s="1"/>
  <c r="H105" i="82"/>
  <c r="H104" i="82"/>
  <c r="D101" i="82"/>
  <c r="C101" i="82"/>
  <c r="D93" i="82"/>
  <c r="C91" i="82"/>
  <c r="E90" i="82"/>
  <c r="D89" i="82"/>
  <c r="C89" i="82" s="1"/>
  <c r="C87" i="82" s="1"/>
  <c r="D78" i="82"/>
  <c r="H77" i="82"/>
  <c r="D77" i="82"/>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F33" i="82"/>
  <c r="L28" i="82"/>
  <c r="D27" i="82"/>
  <c r="C25" i="82"/>
  <c r="C24" i="82"/>
  <c r="D17" i="82"/>
  <c r="C17" i="82"/>
  <c r="L4" i="82"/>
  <c r="K4" i="82"/>
  <c r="H1" i="82"/>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25" i="31"/>
  <c r="T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25" i="31"/>
  <c r="L28" i="9"/>
  <c r="B38" i="1"/>
  <c r="C37" i="34"/>
  <c r="C36" i="83" s="1"/>
  <c r="E36" i="83" s="1"/>
  <c r="C34" i="34"/>
  <c r="AY3" i="3"/>
  <c r="D34" i="82"/>
  <c r="D35" i="82"/>
  <c r="G36" i="83" l="1"/>
  <c r="F36" i="83"/>
  <c r="C36" i="33"/>
  <c r="E36" i="33" s="1"/>
  <c r="G36" i="33" s="1"/>
  <c r="I36" i="33" s="1"/>
  <c r="E37" i="34"/>
  <c r="G37" i="34" s="1"/>
  <c r="I37" i="34" s="1"/>
  <c r="C18" i="82"/>
  <c r="D18" i="82" s="1"/>
  <c r="K120" i="82"/>
  <c r="D121" i="82"/>
  <c r="C92" i="82"/>
  <c r="C94" i="82"/>
  <c r="H109" i="82"/>
  <c r="E104" i="33"/>
  <c r="F104" i="33" s="1"/>
  <c r="G104" i="33" s="1"/>
  <c r="H104" i="33" s="1"/>
  <c r="D104" i="33"/>
  <c r="AA36" i="83" l="1"/>
  <c r="S36" i="83"/>
  <c r="H36" i="83"/>
  <c r="I36" i="83"/>
  <c r="J36" i="83" s="1"/>
  <c r="D124" i="82"/>
  <c r="D125" i="82" s="1"/>
  <c r="H110" i="82"/>
  <c r="M49" i="82"/>
  <c r="E122" i="80"/>
  <c r="E111" i="80"/>
  <c r="E123" i="80" s="1"/>
  <c r="AC36" i="83" l="1"/>
  <c r="W36" i="83"/>
  <c r="AB36" i="83"/>
  <c r="U36" i="83"/>
  <c r="L66" i="82"/>
  <c r="M66" i="82" s="1"/>
  <c r="L65" i="82"/>
  <c r="M65" i="82" s="1"/>
  <c r="L64" i="82"/>
  <c r="M64" i="82" s="1"/>
  <c r="L68" i="82"/>
  <c r="M68" i="82" s="1"/>
  <c r="L67" i="82"/>
  <c r="M67" i="82" s="1"/>
  <c r="L63" i="82"/>
  <c r="M63" i="82" s="1"/>
  <c r="M69" i="82" s="1"/>
  <c r="N69" i="82" s="1"/>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B57"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3" s="1"/>
  <c r="C58" i="83" s="1"/>
  <c r="E15" i="4"/>
  <c r="F8" i="1" s="1"/>
  <c r="A7" i="1"/>
  <c r="B7" i="1" s="1"/>
  <c r="E7" i="1" s="1"/>
  <c r="A8" i="1"/>
  <c r="B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S504" i="31" s="1"/>
  <c r="R505" i="31"/>
  <c r="R506" i="3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R134" i="31" s="1"/>
  <c r="C135" i="31"/>
  <c r="R135" i="31" s="1"/>
  <c r="C136" i="31"/>
  <c r="R136" i="31" s="1"/>
  <c r="C137" i="31"/>
  <c r="R137" i="31" s="1"/>
  <c r="C138" i="31"/>
  <c r="R138" i="31" s="1"/>
  <c r="C139" i="31"/>
  <c r="R139" i="31" s="1"/>
  <c r="C140" i="31"/>
  <c r="R140" i="31" s="1"/>
  <c r="C141" i="31"/>
  <c r="R141" i="31" s="1"/>
  <c r="C142" i="31"/>
  <c r="R142" i="31" s="1"/>
  <c r="C143" i="31"/>
  <c r="R143" i="31" s="1"/>
  <c r="C144" i="31"/>
  <c r="R144" i="31" s="1"/>
  <c r="C145" i="31"/>
  <c r="R145" i="31" s="1"/>
  <c r="C146" i="31"/>
  <c r="R146" i="31" s="1"/>
  <c r="C147" i="31"/>
  <c r="R147" i="31" s="1"/>
  <c r="C148" i="31"/>
  <c r="R148" i="31" s="1"/>
  <c r="C149" i="31"/>
  <c r="R149" i="31" s="1"/>
  <c r="C150" i="31"/>
  <c r="R150" i="31" s="1"/>
  <c r="C151" i="31"/>
  <c r="R151" i="31" s="1"/>
  <c r="C152" i="31"/>
  <c r="R152" i="31" s="1"/>
  <c r="C153" i="31"/>
  <c r="R153" i="31" s="1"/>
  <c r="C154" i="31"/>
  <c r="R154" i="31" s="1"/>
  <c r="C155" i="31"/>
  <c r="R155" i="31" s="1"/>
  <c r="C156" i="31"/>
  <c r="R156" i="31" s="1"/>
  <c r="C157" i="31"/>
  <c r="R157" i="31" s="1"/>
  <c r="C158" i="31"/>
  <c r="R158" i="31" s="1"/>
  <c r="C159" i="31"/>
  <c r="R159" i="31" s="1"/>
  <c r="C160" i="31"/>
  <c r="R160" i="31" s="1"/>
  <c r="C161" i="31"/>
  <c r="R161" i="31" s="1"/>
  <c r="C162" i="31"/>
  <c r="R162" i="31" s="1"/>
  <c r="C163" i="31"/>
  <c r="R163" i="31" s="1"/>
  <c r="C164" i="31"/>
  <c r="R164" i="31" s="1"/>
  <c r="C165" i="31"/>
  <c r="R165" i="31" s="1"/>
  <c r="C166" i="31"/>
  <c r="R166" i="31" s="1"/>
  <c r="C167" i="31"/>
  <c r="R167" i="31" s="1"/>
  <c r="C168" i="31"/>
  <c r="R168" i="31" s="1"/>
  <c r="C169" i="31"/>
  <c r="R169" i="31" s="1"/>
  <c r="C170" i="31"/>
  <c r="R170" i="31" s="1"/>
  <c r="C171" i="31"/>
  <c r="R171" i="31" s="1"/>
  <c r="C172" i="31"/>
  <c r="R172" i="31" s="1"/>
  <c r="C173" i="31"/>
  <c r="R173" i="31" s="1"/>
  <c r="C174" i="31"/>
  <c r="R174" i="31" s="1"/>
  <c r="C175" i="31"/>
  <c r="R175" i="31" s="1"/>
  <c r="C176" i="31"/>
  <c r="R176" i="31" s="1"/>
  <c r="C177" i="31"/>
  <c r="R177" i="31" s="1"/>
  <c r="C178" i="31"/>
  <c r="R178" i="31" s="1"/>
  <c r="C179" i="31"/>
  <c r="R179" i="31" s="1"/>
  <c r="C180" i="31"/>
  <c r="R180" i="31" s="1"/>
  <c r="C181" i="31"/>
  <c r="R181" i="31" s="1"/>
  <c r="C182" i="31"/>
  <c r="R182" i="31" s="1"/>
  <c r="C183" i="31"/>
  <c r="R183" i="31" s="1"/>
  <c r="C184" i="31"/>
  <c r="R184" i="31" s="1"/>
  <c r="C185" i="31"/>
  <c r="R185" i="31" s="1"/>
  <c r="C186" i="31"/>
  <c r="R186" i="31" s="1"/>
  <c r="C187" i="31"/>
  <c r="R187" i="31" s="1"/>
  <c r="C188" i="31"/>
  <c r="R188" i="31" s="1"/>
  <c r="C189" i="31"/>
  <c r="R189" i="31" s="1"/>
  <c r="C190" i="31"/>
  <c r="R190" i="31" s="1"/>
  <c r="C191" i="31"/>
  <c r="R191" i="31" s="1"/>
  <c r="C192" i="31"/>
  <c r="R192" i="31" s="1"/>
  <c r="C193" i="31"/>
  <c r="R193" i="31" s="1"/>
  <c r="C194" i="31"/>
  <c r="R194" i="31" s="1"/>
  <c r="C195" i="31"/>
  <c r="R195" i="31" s="1"/>
  <c r="S195" i="31" s="1"/>
  <c r="C196" i="31"/>
  <c r="R196" i="31" s="1"/>
  <c r="S196" i="31" s="1"/>
  <c r="C197" i="31"/>
  <c r="R197" i="31" s="1"/>
  <c r="S197" i="31" s="1"/>
  <c r="C198" i="31"/>
  <c r="R198" i="31" s="1"/>
  <c r="S198" i="31" s="1"/>
  <c r="C199" i="31"/>
  <c r="R199" i="31" s="1"/>
  <c r="S199" i="31" s="1"/>
  <c r="C200" i="31"/>
  <c r="R200" i="31" s="1"/>
  <c r="S200" i="31" s="1"/>
  <c r="C201" i="31"/>
  <c r="R201" i="31" s="1"/>
  <c r="S201" i="31" s="1"/>
  <c r="C202" i="31"/>
  <c r="R202" i="31" s="1"/>
  <c r="S202" i="31" s="1"/>
  <c r="C203" i="31"/>
  <c r="R203" i="31" s="1"/>
  <c r="S203" i="31" s="1"/>
  <c r="C204" i="31"/>
  <c r="R204" i="31" s="1"/>
  <c r="S204" i="31" s="1"/>
  <c r="C205" i="31"/>
  <c r="R205" i="31" s="1"/>
  <c r="S205" i="31" s="1"/>
  <c r="C206" i="31"/>
  <c r="R206" i="31" s="1"/>
  <c r="S206" i="31" s="1"/>
  <c r="C207" i="31"/>
  <c r="R207" i="31" s="1"/>
  <c r="S207" i="31" s="1"/>
  <c r="C208" i="31"/>
  <c r="R208" i="31" s="1"/>
  <c r="S208" i="31" s="1"/>
  <c r="C209" i="31"/>
  <c r="R209" i="31" s="1"/>
  <c r="S209" i="31" s="1"/>
  <c r="C210" i="31"/>
  <c r="R210" i="31" s="1"/>
  <c r="S210" i="31" s="1"/>
  <c r="C211" i="31"/>
  <c r="R211" i="31" s="1"/>
  <c r="S211" i="31" s="1"/>
  <c r="C212" i="31"/>
  <c r="R212" i="31" s="1"/>
  <c r="S212" i="31" s="1"/>
  <c r="C213" i="31"/>
  <c r="R213" i="31" s="1"/>
  <c r="S213" i="31" s="1"/>
  <c r="C214" i="31"/>
  <c r="R214" i="31" s="1"/>
  <c r="S214" i="31" s="1"/>
  <c r="C215" i="31"/>
  <c r="R215" i="31" s="1"/>
  <c r="S215" i="31" s="1"/>
  <c r="C216" i="31"/>
  <c r="R216" i="31" s="1"/>
  <c r="S216" i="31" s="1"/>
  <c r="C217" i="31"/>
  <c r="R217" i="31" s="1"/>
  <c r="S217" i="31" s="1"/>
  <c r="C218" i="31"/>
  <c r="R218" i="31" s="1"/>
  <c r="S218" i="31" s="1"/>
  <c r="C219" i="31"/>
  <c r="R219" i="31" s="1"/>
  <c r="S219" i="31" s="1"/>
  <c r="C220" i="31"/>
  <c r="R220" i="31" s="1"/>
  <c r="S220" i="31" s="1"/>
  <c r="C221" i="31"/>
  <c r="R221" i="31" s="1"/>
  <c r="S221" i="31" s="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506" i="31"/>
  <c r="S502" i="31"/>
  <c r="S498" i="31"/>
  <c r="S467" i="31"/>
  <c r="S466" i="31"/>
  <c r="S465" i="31"/>
  <c r="S464" i="31"/>
  <c r="S463" i="31"/>
  <c r="S462" i="31"/>
  <c r="S461" i="31"/>
  <c r="S460" i="31"/>
  <c r="S459" i="31"/>
  <c r="S458" i="31"/>
  <c r="S457" i="31"/>
  <c r="S456" i="31"/>
  <c r="S455" i="31"/>
  <c r="S454" i="31"/>
  <c r="S453" i="31"/>
  <c r="S452" i="31"/>
  <c r="S451" i="31"/>
  <c r="S450"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J38" i="34" s="1"/>
  <c r="D112" i="34"/>
  <c r="E112" i="34"/>
  <c r="F112" i="34" s="1"/>
  <c r="F40" i="33"/>
  <c r="J41" i="33"/>
  <c r="D113" i="33"/>
  <c r="F37" i="33"/>
  <c r="S37" i="33" s="1"/>
  <c r="D111" i="33"/>
  <c r="E111" i="33" s="1"/>
  <c r="F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c r="F126" i="34" s="1"/>
  <c r="G126" i="34" s="1"/>
  <c r="D124" i="34"/>
  <c r="E124" i="34" s="1"/>
  <c r="F124" i="34" s="1"/>
  <c r="G124" i="34" s="1"/>
  <c r="H124" i="34" s="1"/>
  <c r="I124" i="34" s="1"/>
  <c r="J124" i="34" s="1"/>
  <c r="K124" i="34" s="1"/>
  <c r="L124" i="34" s="1"/>
  <c r="M124"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F9" i="34"/>
  <c r="AA9" i="34" s="1"/>
  <c r="J8" i="34"/>
  <c r="AC8" i="34" s="1"/>
  <c r="H8" i="34"/>
  <c r="U8" i="34" s="1"/>
  <c r="F8" i="34"/>
  <c r="AA8" i="34" s="1"/>
  <c r="D121" i="33"/>
  <c r="E121" i="33"/>
  <c r="F109" i="33"/>
  <c r="E109" i="33"/>
  <c r="D109" i="33"/>
  <c r="C109" i="33"/>
  <c r="D91" i="33"/>
  <c r="E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B79" i="43"/>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U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23" i="34"/>
  <c r="U23" i="34" s="1"/>
  <c r="J23" i="34"/>
  <c r="W23" i="34" s="1"/>
  <c r="F19" i="34"/>
  <c r="F15" i="34"/>
  <c r="S15" i="34" s="1"/>
  <c r="J15" i="34"/>
  <c r="AC15" i="34" s="1"/>
  <c r="H15" i="34"/>
  <c r="AB15" i="34" s="1"/>
  <c r="W8" i="34"/>
  <c r="J28" i="34"/>
  <c r="W28" i="34"/>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s="1"/>
  <c r="H114" i="34" s="1"/>
  <c r="I114" i="34" s="1"/>
  <c r="J114" i="34" s="1"/>
  <c r="K114" i="34" s="1"/>
  <c r="L114" i="34" s="1"/>
  <c r="M114" i="34" s="1"/>
  <c r="H38" i="34"/>
  <c r="AB38" i="34" s="1"/>
  <c r="J36" i="34"/>
  <c r="W36" i="34" s="1"/>
  <c r="F23" i="34"/>
  <c r="AA23" i="34" s="1"/>
  <c r="J19" i="34"/>
  <c r="AC19" i="34" s="1"/>
  <c r="J17" i="34"/>
  <c r="W17" i="34" s="1"/>
  <c r="AA15" i="34"/>
  <c r="F113" i="33"/>
  <c r="G113" i="33" s="1"/>
  <c r="H113" i="33" s="1"/>
  <c r="I113" i="33" s="1"/>
  <c r="J113" i="33" s="1"/>
  <c r="K113" i="33" s="1"/>
  <c r="L113" i="33" s="1"/>
  <c r="M113" i="33" s="1"/>
  <c r="H37" i="33"/>
  <c r="AB37" i="33" s="1"/>
  <c r="H15" i="33"/>
  <c r="AB15"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G125" i="33"/>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G29" i="6"/>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U39" i="34"/>
  <c r="U28" i="34"/>
  <c r="AA29" i="34"/>
  <c r="S23" i="34"/>
  <c r="S13" i="34"/>
  <c r="H10" i="34"/>
  <c r="AB10" i="34" s="1"/>
  <c r="F11" i="34"/>
  <c r="S11" i="34" s="1"/>
  <c r="F70" i="34"/>
  <c r="S32" i="33"/>
  <c r="AA29" i="33"/>
  <c r="AB29" i="33"/>
  <c r="H41" i="33"/>
  <c r="U41" i="33" s="1"/>
  <c r="F121" i="33"/>
  <c r="G121" i="33"/>
  <c r="H121" i="33"/>
  <c r="I121" i="33"/>
  <c r="J121" i="33"/>
  <c r="K121" i="33"/>
  <c r="L121" i="33"/>
  <c r="M121" i="33"/>
  <c r="J35" i="33"/>
  <c r="W35" i="33" s="1"/>
  <c r="AA37" i="33"/>
  <c r="J32" i="33"/>
  <c r="S46" i="33"/>
  <c r="S43" i="33"/>
  <c r="J23" i="33"/>
  <c r="W23" i="33" s="1"/>
  <c r="H23" i="33"/>
  <c r="U23" i="33" s="1"/>
  <c r="F19" i="33"/>
  <c r="S19" i="33" s="1"/>
  <c r="W19" i="33"/>
  <c r="J17" i="33"/>
  <c r="W17"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B33" i="34"/>
  <c r="AC45" i="34"/>
  <c r="AA31" i="34"/>
  <c r="AA30" i="34"/>
  <c r="AB47" i="34"/>
  <c r="AB36" i="34"/>
  <c r="AC14" i="34"/>
  <c r="AC32" i="34"/>
  <c r="AC29" i="34"/>
  <c r="W29" i="34"/>
  <c r="W46" i="34"/>
  <c r="AC46" i="34"/>
  <c r="S32" i="34"/>
  <c r="AA32" i="34"/>
  <c r="U30" i="34"/>
  <c r="AB30" i="34"/>
  <c r="U38" i="34"/>
  <c r="AA19" i="34"/>
  <c r="S19" i="34"/>
  <c r="AA36" i="34"/>
  <c r="S36" i="34"/>
  <c r="S8" i="34"/>
  <c r="AB9" i="34"/>
  <c r="U9" i="34"/>
  <c r="S46" i="34"/>
  <c r="AA46" i="34"/>
  <c r="U32" i="34"/>
  <c r="AB32" i="34"/>
  <c r="U14" i="34"/>
  <c r="AB14" i="34"/>
  <c r="AC35" i="34"/>
  <c r="W35" i="34"/>
  <c r="U12" i="34"/>
  <c r="AB12" i="34"/>
  <c r="AB28" i="33"/>
  <c r="W46" i="33"/>
  <c r="U38" i="33"/>
  <c r="U44" i="33"/>
  <c r="AB44" i="33"/>
  <c r="S30" i="33"/>
  <c r="AA30" i="33"/>
  <c r="AC14" i="33"/>
  <c r="W14" i="33"/>
  <c r="AC30" i="33"/>
  <c r="W30" i="33"/>
  <c r="S31" i="33"/>
  <c r="AA31" i="33"/>
  <c r="W13" i="33"/>
  <c r="AC13" i="33"/>
  <c r="U15" i="33"/>
  <c r="S11" i="33"/>
  <c r="AC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AC32" i="33"/>
  <c r="W32" i="33"/>
  <c r="J27" i="33"/>
  <c r="AC27" i="33" s="1"/>
  <c r="F23" i="33"/>
  <c r="S23" i="33" s="1"/>
  <c r="AC23" i="33"/>
  <c r="H19" i="33"/>
  <c r="AB19" i="33" s="1"/>
  <c r="H17" i="33"/>
  <c r="F17" i="33"/>
  <c r="S17" i="33" s="1"/>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17" i="33"/>
  <c r="AB17" i="33"/>
  <c r="U23" i="21"/>
  <c r="AB23" i="21"/>
  <c r="AC23" i="21"/>
  <c r="W23" i="21"/>
  <c r="H109" i="9"/>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M23" i="15"/>
  <c r="F36" i="67"/>
  <c r="D7" i="73"/>
  <c r="L47" i="67"/>
  <c r="M24" i="67"/>
  <c r="F3" i="73"/>
  <c r="M6" i="67"/>
  <c r="M22" i="15"/>
  <c r="M22" i="67"/>
  <c r="F38" i="15"/>
  <c r="E13" i="76"/>
  <c r="B8" i="76"/>
  <c r="E11" i="76"/>
  <c r="F8" i="67"/>
  <c r="F9" i="15"/>
  <c r="F20" i="31"/>
  <c r="B10" i="76"/>
  <c r="M29" i="15"/>
  <c r="E8" i="76"/>
  <c r="D3" i="73"/>
  <c r="B13" i="76"/>
  <c r="E7" i="76"/>
  <c r="M9" i="15"/>
  <c r="D4" i="73"/>
  <c r="B11" i="76"/>
  <c r="F8" i="15"/>
  <c r="F9" i="67"/>
  <c r="J15" i="15"/>
  <c r="F4" i="73"/>
  <c r="F6" i="15"/>
  <c r="E2" i="68"/>
  <c r="M8" i="15"/>
  <c r="M23" i="67"/>
  <c r="F26" i="67"/>
  <c r="F13" i="15"/>
  <c r="C76" i="15"/>
  <c r="F16" i="67"/>
  <c r="M28" i="15"/>
  <c r="D6" i="73"/>
  <c r="B7" i="76"/>
  <c r="M29" i="67"/>
  <c r="F6" i="67"/>
  <c r="E2" i="69"/>
  <c r="F37" i="67"/>
  <c r="C76" i="67"/>
  <c r="F5" i="73"/>
  <c r="F43" i="15"/>
  <c r="F13" i="67"/>
  <c r="L48" i="15"/>
  <c r="F40" i="15"/>
  <c r="M26" i="67"/>
  <c r="M24" i="15"/>
  <c r="F16" i="15"/>
  <c r="F43" i="67"/>
  <c r="E12" i="76"/>
  <c r="J15" i="67"/>
  <c r="F42" i="15"/>
  <c r="M9" i="67"/>
  <c r="B9" i="76"/>
  <c r="M28" i="67"/>
  <c r="F40" i="67"/>
  <c r="F38" i="67"/>
  <c r="L47" i="15"/>
  <c r="D5" i="73"/>
  <c r="E10" i="76"/>
  <c r="M6" i="15"/>
  <c r="F26" i="15"/>
  <c r="F37" i="15"/>
  <c r="E9" i="76"/>
  <c r="F42" i="67"/>
  <c r="M26" i="15"/>
  <c r="F7" i="73"/>
  <c r="AO13" i="1"/>
  <c r="B12" i="76"/>
  <c r="F6" i="73"/>
  <c r="M8" i="67"/>
  <c r="AZ14" i="3" l="1"/>
  <c r="G28" i="6"/>
  <c r="F29" i="6"/>
  <c r="M18" i="82"/>
  <c r="B118" i="82" s="1"/>
  <c r="D58" i="83"/>
  <c r="E58" i="83" s="1"/>
  <c r="F58" i="83" s="1"/>
  <c r="G58" i="83" s="1"/>
  <c r="H58" i="83" s="1"/>
  <c r="I58" i="83" s="1"/>
  <c r="J58" i="83" s="1"/>
  <c r="K58" i="83" s="1"/>
  <c r="L58" i="83" s="1"/>
  <c r="M58" i="83" s="1"/>
  <c r="N58" i="83" s="1"/>
  <c r="O58" i="83" s="1"/>
  <c r="F7" i="83"/>
  <c r="H7" i="83"/>
  <c r="J7" i="83"/>
  <c r="F6" i="1"/>
  <c r="C51" i="10"/>
  <c r="A13" i="51" s="1"/>
  <c r="B11" i="72" s="1"/>
  <c r="A2" i="82"/>
  <c r="A118" i="82"/>
  <c r="S28" i="33"/>
  <c r="B73" i="43"/>
  <c r="B75" i="43"/>
  <c r="G7" i="1"/>
  <c r="C77" i="82"/>
  <c r="C74" i="82" s="1"/>
  <c r="C24" i="12"/>
  <c r="M47" i="82"/>
  <c r="S42" i="33"/>
  <c r="F34" i="68"/>
  <c r="C36" i="68" s="1"/>
  <c r="H27" i="33"/>
  <c r="U27" i="33" s="1"/>
  <c r="AB26" i="33"/>
  <c r="S15" i="33"/>
  <c r="U39" i="33"/>
  <c r="U43" i="33"/>
  <c r="W42" i="33"/>
  <c r="F36" i="33"/>
  <c r="J36" i="33"/>
  <c r="W36" i="33" s="1"/>
  <c r="G111" i="33"/>
  <c r="H111" i="33" s="1"/>
  <c r="I111" i="33" s="1"/>
  <c r="J111" i="33" s="1"/>
  <c r="K111" i="33" s="1"/>
  <c r="L111" i="33" s="1"/>
  <c r="M111" i="33" s="1"/>
  <c r="H36" i="33"/>
  <c r="U36" i="33" s="1"/>
  <c r="AA34" i="33"/>
  <c r="F25" i="33"/>
  <c r="S25" i="33" s="1"/>
  <c r="H25" i="33"/>
  <c r="U25" i="33" s="1"/>
  <c r="G87" i="33"/>
  <c r="H87" i="33" s="1"/>
  <c r="I87" i="33" s="1"/>
  <c r="J87" i="33" s="1"/>
  <c r="K87" i="33" s="1"/>
  <c r="L87" i="33" s="1"/>
  <c r="M87" i="33" s="1"/>
  <c r="F27" i="33"/>
  <c r="F91" i="33"/>
  <c r="G91" i="33" s="1"/>
  <c r="H91" i="33" s="1"/>
  <c r="I91" i="33" s="1"/>
  <c r="J91" i="33" s="1"/>
  <c r="K91" i="33" s="1"/>
  <c r="L91" i="33" s="1"/>
  <c r="M91" i="33" s="1"/>
  <c r="S39" i="33"/>
  <c r="AB34" i="33"/>
  <c r="U40" i="33"/>
  <c r="S41" i="33"/>
  <c r="W43" i="33"/>
  <c r="AB23" i="33"/>
  <c r="AA23" i="33"/>
  <c r="W21" i="33"/>
  <c r="U19" i="33"/>
  <c r="AA19" i="33"/>
  <c r="AA17" i="33"/>
  <c r="W8" i="33"/>
  <c r="F43" i="34"/>
  <c r="AA43" i="34" s="1"/>
  <c r="J43" i="34"/>
  <c r="H43" i="34"/>
  <c r="AA45" i="34"/>
  <c r="M7" i="1"/>
  <c r="O7" i="1" s="1"/>
  <c r="P7" i="1" s="1"/>
  <c r="AP6" i="1"/>
  <c r="C36" i="69" s="1"/>
  <c r="AH6" i="1"/>
  <c r="AB45" i="34"/>
  <c r="H40" i="34"/>
  <c r="F40" i="34"/>
  <c r="S40" i="34" s="1"/>
  <c r="F118" i="34"/>
  <c r="G118" i="34" s="1"/>
  <c r="J40" i="34"/>
  <c r="W38" i="34"/>
  <c r="AC38" i="34"/>
  <c r="F38" i="34"/>
  <c r="F37" i="34"/>
  <c r="H37" i="34"/>
  <c r="U37" i="34" s="1"/>
  <c r="G112" i="34"/>
  <c r="H112" i="34" s="1"/>
  <c r="I112" i="34" s="1"/>
  <c r="J112" i="34" s="1"/>
  <c r="K112" i="34" s="1"/>
  <c r="L112" i="34" s="1"/>
  <c r="M112" i="34" s="1"/>
  <c r="J37" i="34"/>
  <c r="AC37" i="34" s="1"/>
  <c r="U44" i="34"/>
  <c r="D68" i="9"/>
  <c r="M18" i="15"/>
  <c r="F30" i="69"/>
  <c r="F48" i="69" s="1"/>
  <c r="M18" i="67"/>
  <c r="F31" i="12"/>
  <c r="C31" i="12" s="1"/>
  <c r="F30" i="11"/>
  <c r="C48" i="11" s="1"/>
  <c r="AA33" i="34"/>
  <c r="W27" i="33"/>
  <c r="S26" i="33"/>
  <c r="U32" i="33"/>
  <c r="AC34" i="33"/>
  <c r="S33" i="33"/>
  <c r="W33" i="33"/>
  <c r="U42" i="33"/>
  <c r="U37" i="33"/>
  <c r="AC37" i="33"/>
  <c r="S38" i="33"/>
  <c r="W38" i="33"/>
  <c r="AA35" i="33"/>
  <c r="AC35" i="33"/>
  <c r="U35" i="33"/>
  <c r="AB41" i="34"/>
  <c r="AA41" i="34"/>
  <c r="AA40" i="34"/>
  <c r="AC39" i="34"/>
  <c r="AC36" i="34"/>
  <c r="S35" i="34"/>
  <c r="W33" i="34"/>
  <c r="F90" i="34"/>
  <c r="G90" i="34" s="1"/>
  <c r="H90" i="34" s="1"/>
  <c r="I90" i="34" s="1"/>
  <c r="J90" i="34" s="1"/>
  <c r="K90" i="34" s="1"/>
  <c r="L90" i="34" s="1"/>
  <c r="M90" i="34" s="1"/>
  <c r="J27" i="34"/>
  <c r="H27" i="34"/>
  <c r="F27" i="34"/>
  <c r="J25" i="34"/>
  <c r="F88" i="34"/>
  <c r="G88" i="34" s="1"/>
  <c r="H88" i="34" s="1"/>
  <c r="I88" i="34" s="1"/>
  <c r="J88" i="34" s="1"/>
  <c r="K88" i="34" s="1"/>
  <c r="L88" i="34" s="1"/>
  <c r="M88" i="34" s="1"/>
  <c r="F25" i="34"/>
  <c r="S25" i="34" s="1"/>
  <c r="H25" i="34"/>
  <c r="AB25" i="34" s="1"/>
  <c r="U25" i="34"/>
  <c r="AC23" i="34"/>
  <c r="AB23" i="34"/>
  <c r="U21" i="34"/>
  <c r="S21" i="34"/>
  <c r="U19" i="34"/>
  <c r="F17" i="34"/>
  <c r="AA17" i="34" s="1"/>
  <c r="H17" i="34"/>
  <c r="AC17" i="34"/>
  <c r="U15" i="34"/>
  <c r="AC9" i="34"/>
  <c r="W9" i="34"/>
  <c r="C15" i="39"/>
  <c r="C29" i="39"/>
  <c r="B68" i="43"/>
  <c r="B77" i="43"/>
  <c r="BB5" i="3"/>
  <c r="E14" i="6" s="1"/>
  <c r="BA5" i="3"/>
  <c r="H5" i="3"/>
  <c r="G13" i="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F51" i="15"/>
  <c r="F71" i="15"/>
  <c r="F66" i="67"/>
  <c r="L59" i="15"/>
  <c r="N59" i="15"/>
  <c r="L58" i="15"/>
  <c r="M59" i="15"/>
  <c r="F66" i="15"/>
  <c r="Q71" i="67"/>
  <c r="F64" i="15"/>
  <c r="C27" i="67"/>
  <c r="F71" i="67"/>
  <c r="C27" i="15"/>
  <c r="F65" i="15"/>
  <c r="N59" i="67"/>
  <c r="L59" i="67"/>
  <c r="M59" i="67"/>
  <c r="B13" i="70"/>
  <c r="F68" i="67"/>
  <c r="F64" i="67"/>
  <c r="F68" i="15"/>
  <c r="D9" i="69"/>
  <c r="D9" i="68"/>
  <c r="L48" i="67"/>
  <c r="F7" i="15"/>
  <c r="C16" i="67"/>
  <c r="G1" i="73"/>
  <c r="F7" i="67"/>
  <c r="C16" i="15"/>
  <c r="J25" i="33" l="1"/>
  <c r="F7" i="36"/>
  <c r="AC7" i="83"/>
  <c r="V48" i="83" s="1"/>
  <c r="I48" i="83" s="1"/>
  <c r="W7" i="83"/>
  <c r="AA7" i="83"/>
  <c r="R48" i="83" s="1"/>
  <c r="S7" i="83"/>
  <c r="U7" i="83"/>
  <c r="AB7" i="83"/>
  <c r="T48" i="83" s="1"/>
  <c r="G48" i="83" s="1"/>
  <c r="J53" i="67"/>
  <c r="F1" i="67" s="1"/>
  <c r="J57" i="67"/>
  <c r="J55" i="67" s="1"/>
  <c r="J58" i="67" s="1"/>
  <c r="Q50" i="67" s="1"/>
  <c r="I54" i="67"/>
  <c r="L56" i="67"/>
  <c r="L58" i="67"/>
  <c r="Q73" i="67" s="1"/>
  <c r="G6" i="1"/>
  <c r="G16" i="1" s="1"/>
  <c r="F10" i="39" s="1"/>
  <c r="S10" i="39" s="1"/>
  <c r="F31" i="67"/>
  <c r="F31" i="15"/>
  <c r="AC36" i="33"/>
  <c r="AB36" i="33"/>
  <c r="M7" i="15"/>
  <c r="J6" i="15" s="1"/>
  <c r="J18" i="15" s="1"/>
  <c r="C6" i="15"/>
  <c r="C32" i="15" s="1"/>
  <c r="F50" i="15"/>
  <c r="C49" i="15" s="1"/>
  <c r="F3" i="35"/>
  <c r="J7" i="37"/>
  <c r="H7" i="36"/>
  <c r="G26" i="43"/>
  <c r="S43" i="34"/>
  <c r="AB27" i="33"/>
  <c r="AA36" i="33"/>
  <c r="S36" i="33"/>
  <c r="AA25" i="33"/>
  <c r="AB25" i="33"/>
  <c r="AA27" i="33"/>
  <c r="S27" i="33"/>
  <c r="W43" i="34"/>
  <c r="AC43" i="34"/>
  <c r="AB43" i="34"/>
  <c r="U43" i="34"/>
  <c r="F50" i="67"/>
  <c r="C49" i="67" s="1"/>
  <c r="C6" i="67"/>
  <c r="C32" i="67" s="1"/>
  <c r="M7" i="67"/>
  <c r="J6" i="67" s="1"/>
  <c r="J18" i="67" s="1"/>
  <c r="E63" i="39"/>
  <c r="E59" i="40"/>
  <c r="AC40" i="34"/>
  <c r="W40" i="34"/>
  <c r="U40" i="34"/>
  <c r="AB40" i="34"/>
  <c r="S38" i="34"/>
  <c r="AA38" i="34"/>
  <c r="AA37" i="34"/>
  <c r="S37" i="34"/>
  <c r="C30" i="69"/>
  <c r="N94" i="46"/>
  <c r="E26" i="43"/>
  <c r="D26" i="43" s="1"/>
  <c r="C25" i="43" s="1"/>
  <c r="J26" i="43"/>
  <c r="P6" i="1"/>
  <c r="C13" i="12" s="1"/>
  <c r="K16" i="1"/>
  <c r="AA27" i="34"/>
  <c r="S27" i="34"/>
  <c r="AC27" i="34"/>
  <c r="W27" i="34"/>
  <c r="AB27" i="34"/>
  <c r="U27" i="34"/>
  <c r="AA25" i="34"/>
  <c r="AC25" i="34"/>
  <c r="W25" i="34"/>
  <c r="S17" i="34"/>
  <c r="U17" i="34"/>
  <c r="AB17" i="34"/>
  <c r="D18" i="53"/>
  <c r="B35" i="72" s="1"/>
  <c r="C7" i="74"/>
  <c r="G5" i="3"/>
  <c r="B3" i="3" s="1"/>
  <c r="E13" i="3" s="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C7" i="43"/>
  <c r="C5" i="43" s="1"/>
  <c r="D10" i="52"/>
  <c r="D125" i="9"/>
  <c r="D11" i="52" s="1"/>
  <c r="B7" i="74"/>
  <c r="F67" i="39"/>
  <c r="E69" i="39"/>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F1" i="15"/>
  <c r="Q52" i="15"/>
  <c r="Q60" i="15"/>
  <c r="Q73" i="15"/>
  <c r="Q61" i="67"/>
  <c r="Q74" i="67"/>
  <c r="Q74" i="15"/>
  <c r="Q61" i="15"/>
  <c r="AE11" i="1"/>
  <c r="AE9" i="1"/>
  <c r="F27" i="68"/>
  <c r="AE8" i="1"/>
  <c r="AE12" i="1"/>
  <c r="AE10" i="1"/>
  <c r="AE6" i="1"/>
  <c r="W25" i="33" l="1"/>
  <c r="AC25" i="33"/>
  <c r="F59" i="67"/>
  <c r="AA10" i="39"/>
  <c r="J10" i="39"/>
  <c r="W10" i="39" s="1"/>
  <c r="H10" i="39"/>
  <c r="U10" i="39" s="1"/>
  <c r="H10" i="40"/>
  <c r="AB10" i="40" s="1"/>
  <c r="F10" i="40"/>
  <c r="S10" i="40" s="1"/>
  <c r="J10" i="40"/>
  <c r="AC10" i="40" s="1"/>
  <c r="U21" i="1"/>
  <c r="K24" i="1"/>
  <c r="K25" i="1" s="1"/>
  <c r="R49" i="83"/>
  <c r="E48" i="83"/>
  <c r="I53" i="83" s="1"/>
  <c r="J53" i="83" s="1"/>
  <c r="I52" i="83"/>
  <c r="J52" i="83" s="1"/>
  <c r="G53" i="83"/>
  <c r="H53" i="83" s="1"/>
  <c r="G52" i="83"/>
  <c r="H52" i="83" s="1"/>
  <c r="Q60" i="67"/>
  <c r="Q52" i="67"/>
  <c r="M17" i="67"/>
  <c r="F59" i="15"/>
  <c r="M17" i="15"/>
  <c r="J5" i="15"/>
  <c r="J24" i="15" s="1"/>
  <c r="L36" i="43"/>
  <c r="L37" i="43" s="1"/>
  <c r="J5" i="67"/>
  <c r="J24" i="67" s="1"/>
  <c r="T49" i="34"/>
  <c r="G49" i="34" s="1"/>
  <c r="G53" i="34" s="1"/>
  <c r="H53" i="34" s="1"/>
  <c r="AY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212" i="3"/>
  <c r="E442" i="3"/>
  <c r="E541" i="3"/>
  <c r="E449" i="3"/>
  <c r="AP6" i="3"/>
  <c r="E517" i="3"/>
  <c r="E491" i="3"/>
  <c r="E479" i="3"/>
  <c r="E56" i="3"/>
  <c r="E152" i="3"/>
  <c r="E192" i="3"/>
  <c r="E241" i="3"/>
  <c r="E349" i="3"/>
  <c r="E544" i="3"/>
  <c r="E59" i="3"/>
  <c r="E484" i="3"/>
  <c r="E412" i="3"/>
  <c r="E18" i="3"/>
  <c r="E96" i="3"/>
  <c r="E100" i="3"/>
  <c r="E170" i="3"/>
  <c r="E137" i="3"/>
  <c r="E194" i="3"/>
  <c r="E234" i="3"/>
  <c r="E235" i="3"/>
  <c r="E324" i="3"/>
  <c r="E383" i="3"/>
  <c r="E342" i="3"/>
  <c r="E522" i="3"/>
  <c r="E52" i="3"/>
  <c r="E36" i="3"/>
  <c r="E112" i="3"/>
  <c r="E206" i="3"/>
  <c r="E232" i="3"/>
  <c r="E251" i="3"/>
  <c r="E370" i="3"/>
  <c r="AF6" i="3"/>
  <c r="E102" i="3"/>
  <c r="E80" i="3"/>
  <c r="E176" i="3"/>
  <c r="E218" i="3"/>
  <c r="E265" i="3"/>
  <c r="E365" i="3"/>
  <c r="E524" i="3"/>
  <c r="E10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199" i="3"/>
  <c r="E286" i="3"/>
  <c r="E575" i="3"/>
  <c r="E499" i="3"/>
  <c r="R6" i="3"/>
  <c r="E502" i="3"/>
  <c r="E466" i="3"/>
  <c r="E430" i="3"/>
  <c r="E255" i="3"/>
  <c r="I3" i="6"/>
  <c r="E554" i="3"/>
  <c r="E435" i="3"/>
  <c r="E417" i="3"/>
  <c r="E37" i="3"/>
  <c r="E95" i="3"/>
  <c r="E132" i="3"/>
  <c r="E258" i="3"/>
  <c r="E292" i="3"/>
  <c r="E363" i="3"/>
  <c r="E389" i="3"/>
  <c r="E76" i="3"/>
  <c r="E409" i="3"/>
  <c r="E15" i="3"/>
  <c r="E455" i="3"/>
  <c r="E79" i="3"/>
  <c r="E38" i="3"/>
  <c r="E78" i="3"/>
  <c r="E129" i="3"/>
  <c r="E190" i="3"/>
  <c r="E174" i="3"/>
  <c r="E220" i="3"/>
  <c r="E275" i="3"/>
  <c r="E219" i="3"/>
  <c r="E299" i="3"/>
  <c r="E339" i="3"/>
  <c r="E325" i="3"/>
  <c r="E392" i="3"/>
  <c r="AQ6" i="3"/>
  <c r="E35" i="3"/>
  <c r="E86" i="3"/>
  <c r="E34" i="3"/>
  <c r="E49" i="3"/>
  <c r="E123" i="3"/>
  <c r="E147" i="3"/>
  <c r="E289" i="3"/>
  <c r="E340" i="3"/>
  <c r="E364" i="3"/>
  <c r="E50" i="3"/>
  <c r="E20" i="3"/>
  <c r="E62"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72" i="3"/>
  <c r="E109"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AE7" i="1"/>
  <c r="F41" i="67"/>
  <c r="M27" i="67"/>
  <c r="F41" i="15"/>
  <c r="M27" i="15"/>
  <c r="F69" i="67" l="1"/>
  <c r="K26" i="1"/>
  <c r="M26" i="1" s="1"/>
  <c r="E53" i="83"/>
  <c r="F53" i="83" s="1"/>
  <c r="E52" i="83"/>
  <c r="F52" i="83" s="1"/>
  <c r="C49" i="83"/>
  <c r="C48" i="83"/>
  <c r="Q36" i="43"/>
  <c r="M36" i="43"/>
  <c r="P36" i="43"/>
  <c r="O36" i="43"/>
  <c r="N36" i="43"/>
  <c r="G54" i="34"/>
  <c r="H54" i="34" s="1"/>
  <c r="E49" i="34"/>
  <c r="E54" i="34" s="1"/>
  <c r="F54" i="34" s="1"/>
  <c r="D116" i="43"/>
  <c r="AC6" i="3"/>
  <c r="H6" i="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E6" i="3" l="1"/>
  <c r="B3" i="83"/>
  <c r="B2" i="83"/>
  <c r="S20" i="6"/>
  <c r="E7" i="70"/>
  <c r="M19" i="82"/>
  <c r="C118" i="82" s="1"/>
  <c r="H21" i="6"/>
  <c r="H25" i="6"/>
  <c r="I54" i="34"/>
  <c r="J54" i="34" s="1"/>
  <c r="E53" i="34"/>
  <c r="F53" i="34" s="1"/>
  <c r="C18" i="67"/>
  <c r="C15" i="67"/>
  <c r="H23" i="6"/>
  <c r="C30" i="43"/>
  <c r="B2" i="43" s="1"/>
  <c r="B3" i="43" s="1"/>
  <c r="C31" i="43"/>
  <c r="H20" i="6"/>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L18" i="82" l="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19" i="82" l="1"/>
  <c r="F7" i="21"/>
  <c r="S7" i="21" s="1"/>
  <c r="J7" i="21"/>
  <c r="W7" i="21" s="1"/>
  <c r="D7" i="71"/>
  <c r="C6" i="71"/>
  <c r="C23" i="67"/>
  <c r="C29" i="67" s="1"/>
  <c r="J59" i="67" s="1"/>
  <c r="J60" i="67" s="1"/>
  <c r="Q48" i="67" s="1"/>
  <c r="C19" i="15"/>
  <c r="C20" i="15" s="1"/>
  <c r="C26" i="15" s="1"/>
  <c r="C33" i="68"/>
  <c r="C39" i="68" s="1"/>
  <c r="C30" i="12"/>
  <c r="C28" i="12" s="1"/>
  <c r="C38" i="11"/>
  <c r="C35" i="11"/>
  <c r="H27"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6"/>
  <c r="C19" i="82"/>
  <c r="L51" i="15"/>
  <c r="D2" i="37"/>
  <c r="D2" i="34"/>
  <c r="D19" i="9"/>
  <c r="D2" i="35"/>
  <c r="D19" i="82"/>
  <c r="C21" i="82" l="1"/>
  <c r="C102" i="82"/>
  <c r="B3" i="33"/>
  <c r="D102" i="82"/>
  <c r="D21" i="82"/>
  <c r="D22" i="82"/>
  <c r="G19" i="82"/>
  <c r="G21" i="82" s="1"/>
  <c r="D102" i="9"/>
  <c r="D21" i="9"/>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6" i="1"/>
  <c r="AO8" i="1"/>
  <c r="AO10" i="1"/>
  <c r="D34" i="9"/>
  <c r="C19" i="9"/>
  <c r="AO12" i="1"/>
  <c r="AO11" i="1"/>
  <c r="D20" i="82"/>
  <c r="C20" i="82"/>
  <c r="AO7" i="1"/>
  <c r="D20" i="9"/>
  <c r="D35" i="9"/>
  <c r="L46" i="15" l="1"/>
  <c r="B2" i="15" s="1"/>
  <c r="B3" i="15" s="1"/>
  <c r="C103" i="82"/>
  <c r="D103" i="82"/>
  <c r="G20" i="82"/>
  <c r="C102" i="9"/>
  <c r="C21" i="9"/>
  <c r="D22" i="9"/>
  <c r="G19" i="9"/>
  <c r="B3" i="34"/>
  <c r="D103"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32" i="82"/>
  <c r="C35" i="82" s="1"/>
  <c r="C34" i="82"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R130" i="31" s="1"/>
  <c r="S130" i="31" s="1"/>
  <c r="R27" i="31"/>
  <c r="S27" i="31" s="1"/>
  <c r="C32" i="9"/>
  <c r="C35" i="9" s="1"/>
  <c r="C34" i="9" s="1"/>
  <c r="C42" i="40"/>
  <c r="C43" i="40"/>
  <c r="E47" i="40"/>
  <c r="F47" i="40" s="1"/>
  <c r="E46" i="40"/>
  <c r="F46" i="40" s="1"/>
  <c r="I47" i="40"/>
  <c r="J47" i="40" s="1"/>
  <c r="R113" i="31" l="1"/>
  <c r="S113" i="31" s="1"/>
  <c r="R49" i="31"/>
  <c r="S49" i="31" s="1"/>
  <c r="R68" i="31"/>
  <c r="S68" i="31" s="1"/>
  <c r="R131" i="31"/>
  <c r="S131" i="31" s="1"/>
  <c r="R81" i="31"/>
  <c r="S81" i="31" s="1"/>
  <c r="R36" i="31"/>
  <c r="S36" i="31" s="1"/>
  <c r="R100" i="31"/>
  <c r="S100" i="31" s="1"/>
  <c r="R67" i="31"/>
  <c r="S67" i="31" s="1"/>
  <c r="R86" i="31"/>
  <c r="S86" i="31" s="1"/>
  <c r="R33" i="31"/>
  <c r="S33" i="31" s="1"/>
  <c r="R65" i="31"/>
  <c r="S65" i="31" s="1"/>
  <c r="R97" i="31"/>
  <c r="S97" i="31" s="1"/>
  <c r="R129" i="31"/>
  <c r="S129" i="31" s="1"/>
  <c r="R52" i="31"/>
  <c r="S52" i="31" s="1"/>
  <c r="R84" i="31"/>
  <c r="S84" i="31" s="1"/>
  <c r="R128" i="31"/>
  <c r="S128" i="31" s="1"/>
  <c r="R35" i="31"/>
  <c r="S35" i="31" s="1"/>
  <c r="R99" i="31"/>
  <c r="S99" i="31" s="1"/>
  <c r="R54" i="31"/>
  <c r="S54" i="31" s="1"/>
  <c r="R118" i="31"/>
  <c r="S118" i="31" s="1"/>
  <c r="R25" i="31"/>
  <c r="S25" i="31" s="1"/>
  <c r="R41" i="31"/>
  <c r="S41" i="31" s="1"/>
  <c r="R57" i="31"/>
  <c r="S57" i="31" s="1"/>
  <c r="R73" i="31"/>
  <c r="S73" i="31" s="1"/>
  <c r="R89" i="31"/>
  <c r="S89" i="31" s="1"/>
  <c r="R105" i="31"/>
  <c r="S105" i="31" s="1"/>
  <c r="R121" i="31"/>
  <c r="S121" i="31" s="1"/>
  <c r="R28" i="31"/>
  <c r="S28" i="31" s="1"/>
  <c r="R44" i="31"/>
  <c r="S44" i="31" s="1"/>
  <c r="R60" i="31"/>
  <c r="S60" i="31" s="1"/>
  <c r="R76" i="31"/>
  <c r="S76" i="31" s="1"/>
  <c r="R92" i="31"/>
  <c r="S92" i="31" s="1"/>
  <c r="R112" i="31"/>
  <c r="S112" i="31" s="1"/>
  <c r="R51" i="31"/>
  <c r="S51" i="31" s="1"/>
  <c r="R83" i="31"/>
  <c r="S83" i="31" s="1"/>
  <c r="R115" i="31"/>
  <c r="S115" i="31" s="1"/>
  <c r="R38" i="31"/>
  <c r="S38" i="31" s="1"/>
  <c r="R70" i="31"/>
  <c r="S70" i="31" s="1"/>
  <c r="R102" i="31"/>
  <c r="S102" i="31" s="1"/>
  <c r="S24" i="31"/>
  <c r="R29" i="31"/>
  <c r="S29" i="31" s="1"/>
  <c r="R37" i="31"/>
  <c r="S37" i="31" s="1"/>
  <c r="R45" i="31"/>
  <c r="S45" i="31" s="1"/>
  <c r="R53" i="31"/>
  <c r="S53" i="31" s="1"/>
  <c r="R61" i="31"/>
  <c r="S61" i="31" s="1"/>
  <c r="R69" i="31"/>
  <c r="S69" i="31" s="1"/>
  <c r="R77" i="31"/>
  <c r="S77" i="31" s="1"/>
  <c r="R85" i="31"/>
  <c r="S85" i="31" s="1"/>
  <c r="R93" i="31"/>
  <c r="S93" i="31" s="1"/>
  <c r="R101" i="31"/>
  <c r="S101" i="31" s="1"/>
  <c r="R109" i="31"/>
  <c r="S109" i="31" s="1"/>
  <c r="R117" i="31"/>
  <c r="S117" i="31" s="1"/>
  <c r="R125" i="31"/>
  <c r="S125" i="31" s="1"/>
  <c r="R133" i="31"/>
  <c r="S133" i="31" s="1"/>
  <c r="R32" i="31"/>
  <c r="S32" i="31" s="1"/>
  <c r="R40" i="31"/>
  <c r="S40" i="31" s="1"/>
  <c r="R48" i="31"/>
  <c r="S48" i="31" s="1"/>
  <c r="R56" i="31"/>
  <c r="S56" i="31" s="1"/>
  <c r="R64" i="31"/>
  <c r="S64" i="31" s="1"/>
  <c r="R72" i="31"/>
  <c r="S72" i="31" s="1"/>
  <c r="R80" i="31"/>
  <c r="S80" i="31" s="1"/>
  <c r="R88" i="31"/>
  <c r="S88" i="31" s="1"/>
  <c r="R96" i="31"/>
  <c r="S96" i="31" s="1"/>
  <c r="R104" i="31"/>
  <c r="S104" i="31" s="1"/>
  <c r="R120" i="31"/>
  <c r="S120" i="31" s="1"/>
  <c r="R43" i="31"/>
  <c r="S43" i="31" s="1"/>
  <c r="R59" i="31"/>
  <c r="S59" i="31" s="1"/>
  <c r="R75" i="31"/>
  <c r="S75" i="31" s="1"/>
  <c r="R91" i="31"/>
  <c r="S91" i="31" s="1"/>
  <c r="R107" i="31"/>
  <c r="S107" i="31" s="1"/>
  <c r="R123" i="31"/>
  <c r="S123" i="31" s="1"/>
  <c r="R30" i="31"/>
  <c r="S30" i="31" s="1"/>
  <c r="R46" i="31"/>
  <c r="S46" i="31" s="1"/>
  <c r="R62" i="31"/>
  <c r="S62" i="31" s="1"/>
  <c r="R78" i="31"/>
  <c r="S78" i="31" s="1"/>
  <c r="R94" i="31"/>
  <c r="S94" i="31" s="1"/>
  <c r="R110" i="31"/>
  <c r="S110" i="31" s="1"/>
  <c r="R126" i="31"/>
  <c r="S126" i="31" s="1"/>
  <c r="R108" i="31"/>
  <c r="S108" i="31" s="1"/>
  <c r="R116" i="31"/>
  <c r="S116" i="31" s="1"/>
  <c r="R124" i="31"/>
  <c r="S124" i="31" s="1"/>
  <c r="R132" i="31"/>
  <c r="S132" i="31" s="1"/>
  <c r="R31" i="31"/>
  <c r="S31" i="31" s="1"/>
  <c r="R39" i="31"/>
  <c r="S39" i="31" s="1"/>
  <c r="R47" i="31"/>
  <c r="S47" i="31" s="1"/>
  <c r="R55" i="31"/>
  <c r="S55" i="31" s="1"/>
  <c r="R63" i="31"/>
  <c r="S63" i="31" s="1"/>
  <c r="R71" i="31"/>
  <c r="S71" i="31" s="1"/>
  <c r="R79" i="31"/>
  <c r="S79" i="31" s="1"/>
  <c r="R87" i="31"/>
  <c r="S87" i="31" s="1"/>
  <c r="R95" i="31"/>
  <c r="S95" i="31" s="1"/>
  <c r="R103" i="31"/>
  <c r="S103" i="31" s="1"/>
  <c r="R111" i="31"/>
  <c r="S111" i="31" s="1"/>
  <c r="R119" i="31"/>
  <c r="S119" i="31" s="1"/>
  <c r="R127" i="31"/>
  <c r="S127" i="31" s="1"/>
  <c r="R26" i="31"/>
  <c r="S26" i="31" s="1"/>
  <c r="R34" i="31"/>
  <c r="S34" i="31" s="1"/>
  <c r="R42" i="31"/>
  <c r="S42" i="31" s="1"/>
  <c r="R50" i="31"/>
  <c r="S50" i="31" s="1"/>
  <c r="R58" i="31"/>
  <c r="S58" i="31" s="1"/>
  <c r="R66" i="31"/>
  <c r="S66" i="31" s="1"/>
  <c r="R74" i="31"/>
  <c r="S74" i="31" s="1"/>
  <c r="R82" i="31"/>
  <c r="S82" i="31" s="1"/>
  <c r="R90" i="31"/>
  <c r="S90" i="31" s="1"/>
  <c r="R98" i="31"/>
  <c r="S98" i="31" s="1"/>
  <c r="R106" i="31"/>
  <c r="S106" i="31" s="1"/>
  <c r="R114" i="31"/>
  <c r="S114" i="31" s="1"/>
  <c r="R122" i="31"/>
  <c r="S122"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45" i="9" l="1"/>
  <c r="M48" i="9"/>
  <c r="M49" i="9" s="1"/>
  <c r="B20" i="31"/>
  <c r="B21" i="31" s="1"/>
  <c r="D14" i="74"/>
  <c r="G14" i="74" s="1"/>
  <c r="B6" i="74" s="1"/>
  <c r="D6" i="74" s="1"/>
  <c r="E15" i="74"/>
  <c r="F15" i="74"/>
  <c r="R22" i="31"/>
  <c r="L64" i="9" l="1"/>
  <c r="M64" i="9" s="1"/>
  <c r="L68" i="9"/>
  <c r="M68" i="9" s="1"/>
  <c r="L66" i="9"/>
  <c r="M66" i="9" s="1"/>
  <c r="L63" i="9"/>
  <c r="M63" i="9" s="1"/>
  <c r="L65" i="9"/>
  <c r="M65" i="9" s="1"/>
  <c r="L67" i="9"/>
  <c r="M67" i="9" s="1"/>
  <c r="F14" i="74"/>
  <c r="E14" i="74"/>
  <c r="B5" i="74"/>
  <c r="L4" i="74" s="1"/>
  <c r="M69" i="9" l="1"/>
  <c r="N69" i="9" s="1"/>
  <c r="D5" i="74"/>
  <c r="F118" i="9" l="1"/>
  <c r="D118" i="9"/>
  <c r="F119" i="9" l="1"/>
  <c r="F5" i="52" s="1"/>
  <c r="B53" i="72" s="1"/>
  <c r="G118" i="9"/>
  <c r="F4" i="52"/>
  <c r="B51" i="72" s="1"/>
  <c r="D119" i="9"/>
  <c r="D5" i="52" s="1"/>
  <c r="B49" i="72" s="1"/>
  <c r="D4" i="52"/>
  <c r="B47" i="72" s="1"/>
  <c r="G4" i="52" l="1"/>
  <c r="B52" i="72" s="1"/>
  <c r="H118" i="9"/>
  <c r="I118" i="9" s="1"/>
  <c r="H119" i="9" l="1"/>
  <c r="H5" i="52" s="1"/>
  <c r="C104" i="9"/>
  <c r="H4" i="52"/>
  <c r="H101" i="9"/>
  <c r="H107" i="9" s="1"/>
  <c r="D122" i="9" s="1"/>
  <c r="E118" i="9"/>
  <c r="E4" i="52" s="1"/>
  <c r="B48" i="72" s="1"/>
  <c r="C105" i="9"/>
  <c r="I4" i="52"/>
  <c r="H102" i="9"/>
  <c r="D55" i="9"/>
  <c r="M53" i="9" s="1"/>
  <c r="C85" i="9"/>
  <c r="C72" i="9"/>
  <c r="D53" i="9"/>
  <c r="C93" i="9"/>
  <c r="C86" i="9" s="1"/>
  <c r="C64" i="9"/>
  <c r="C63" i="9" s="1"/>
  <c r="C67" i="9" s="1"/>
  <c r="C78" i="9"/>
  <c r="C73" i="9" s="1"/>
  <c r="D52" i="9"/>
  <c r="D5" i="53" l="1"/>
  <c r="C5" i="74"/>
  <c r="D7" i="53"/>
  <c r="B21" i="72" s="1"/>
  <c r="C95" i="9"/>
  <c r="C96" i="9" s="1"/>
  <c r="E96" i="9" s="1"/>
  <c r="E97" i="9" s="1"/>
  <c r="D13" i="53"/>
  <c r="H108" i="9"/>
  <c r="D59" i="9"/>
  <c r="M55" i="9" s="1"/>
  <c r="C68" i="9"/>
  <c r="D54" i="9" s="1"/>
  <c r="D48" i="9" s="1"/>
  <c r="M52" i="9" s="1"/>
  <c r="D8" i="52"/>
  <c r="D123" i="9"/>
  <c r="D9" i="52" s="1"/>
  <c r="C79" i="9"/>
  <c r="B20" i="72" l="1"/>
  <c r="D6" i="53"/>
  <c r="B22" i="72" s="1"/>
  <c r="D14" i="53"/>
  <c r="B32" i="72" s="1"/>
  <c r="B30" i="72"/>
  <c r="C6" i="74"/>
  <c r="D15" i="53"/>
  <c r="B31" i="72" s="1"/>
  <c r="C97" i="9"/>
  <c r="C80" i="9"/>
  <c r="E80" i="9" s="1"/>
  <c r="E81" i="9" s="1"/>
  <c r="C81" i="9" l="1"/>
  <c r="D58" i="9" s="1"/>
  <c r="D56" i="9" s="1"/>
  <c r="M54" i="9" s="1"/>
  <c r="N57" i="9" s="1"/>
  <c r="N59" i="9" s="1"/>
  <c r="N58" i="9" l="1"/>
  <c r="P57" i="9"/>
  <c r="N60" i="9"/>
  <c r="N61" i="9" l="1"/>
  <c r="D53" i="82"/>
  <c r="D52" i="82"/>
  <c r="H119" i="82"/>
  <c r="C104" i="82"/>
  <c r="H102" i="82"/>
  <c r="C105" i="82"/>
  <c r="N60" i="82"/>
  <c r="N61" i="82"/>
  <c r="P57" i="82"/>
  <c r="N58" i="82"/>
  <c r="N59" i="82"/>
  <c r="F119" i="82"/>
  <c r="N57" i="82"/>
  <c r="D123" i="82"/>
  <c r="D55" i="82"/>
  <c r="M53" i="82"/>
  <c r="M48" i="82"/>
  <c r="D119" i="82"/>
  <c r="E118" i="82"/>
  <c r="D118" i="82"/>
  <c r="E81" i="82"/>
  <c r="C93" i="82"/>
  <c r="C86" i="82"/>
  <c r="D54" i="82"/>
  <c r="E80" i="82"/>
  <c r="M54" i="82"/>
  <c r="C80" i="82"/>
  <c r="C81" i="82"/>
  <c r="C68" i="82"/>
  <c r="D56" i="82"/>
  <c r="E97" i="82"/>
  <c r="D122" i="82"/>
  <c r="H107" i="82"/>
  <c r="H108" i="82"/>
  <c r="D59" i="82"/>
  <c r="M55" i="82"/>
  <c r="C72" i="82"/>
  <c r="C79" i="82"/>
  <c r="C67" i="82"/>
  <c r="C97" i="82"/>
  <c r="D58" i="82"/>
  <c r="C96" i="82"/>
  <c r="E96" i="82"/>
  <c r="C85" i="82"/>
  <c r="C95" i="82"/>
  <c r="C78" i="82"/>
  <c r="C73" i="82"/>
  <c r="G118" i="82"/>
  <c r="F118" i="82"/>
  <c r="I118" i="82"/>
  <c r="H118" i="82"/>
  <c r="H101" i="82"/>
  <c r="D45" i="82"/>
  <c r="C64" i="82"/>
  <c r="C63"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<sst xmlns="http://schemas.openxmlformats.org/spreadsheetml/2006/main" count="9205" uniqueCount="3649">
  <si>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</si>
  <si>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</si>
  <si>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</si>
  <si>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</si>
  <si>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</si>
  <si>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</si>
  <si>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</si>
  <si>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</si>
  <si>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</si>
  <si>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</si>
  <si>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</si>
  <si>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</si>
  <si>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</si>
  <si>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</si>
  <si>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</si>
  <si>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</si>
  <si>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</si>
  <si>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</si>
  <si>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</si>
  <si>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</si>
  <si>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</si>
  <si>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</si>
  <si>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</si>
  <si>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</si>
  <si>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</si>
  <si>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</si>
  <si>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</si>
  <si>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</si>
  <si>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</si>
  <si>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</si>
  <si>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</si>
  <si>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</si>
  <si>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</si>
  <si>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</si>
  <si>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</si>
  <si>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</si>
  <si>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</si>
  <si>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</si>
  <si>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</si>
  <si>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</si>
  <si>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</si>
  <si>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</si>
  <si>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</si>
  <si>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</si>
  <si>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</si>
  <si>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</si>
  <si>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</si>
  <si>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</si>
  <si>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</si>
  <si>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</si>
  <si>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</si>
  <si>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</si>
  <si>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</si>
  <si>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</si>
  <si>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</si>
  <si>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</si>
  <si>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</si>
  <si>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</si>
  <si>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</si>
  <si>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</si>
  <si>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</si>
  <si>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</si>
  <si>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</si>
  <si>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</si>
  <si>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</si>
  <si>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</si>
  <si>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</si>
  <si>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</si>
  <si>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</si>
  <si>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</si>
  <si>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</si>
  <si>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</si>
  <si>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</si>
  <si>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</si>
  <si>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</si>
  <si>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</si>
  <si>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</si>
  <si>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</si>
  <si>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</si>
  <si>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</si>
  <si>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</si>
  <si>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</si>
  <si>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</si>
  <si>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</si>
  <si>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</si>
  <si>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</si>
  <si>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</si>
  <si>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</si>
  <si>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</si>
  <si>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</si>
  <si>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</si>
  <si>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</si>
  <si>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</si>
  <si>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</si>
  <si>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</si>
  <si>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</si>
  <si>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</si>
  <si>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</si>
  <si>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</si>
  <si>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</si>
  <si>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</si>
  <si>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</si>
  <si>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</si>
  <si>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</si>
  <si>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</si>
  <si>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</si>
  <si>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</si>
  <si>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</si>
  <si>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</si>
  <si>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</si>
  <si>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</si>
  <si>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</si>
  <si>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</si>
  <si>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</si>
  <si>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</si>
  <si>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</si>
  <si>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</si>
  <si>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</si>
  <si>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</si>
  <si>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</si>
  <si>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</si>
  <si>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</si>
  <si>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</si>
  <si>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</si>
  <si>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</si>
  <si>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</si>
  <si>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</si>
  <si>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</si>
  <si>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</si>
  <si>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</si>
  <si>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</si>
  <si>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</si>
  <si>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</si>
  <si>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</si>
  <si>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</si>
  <si>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</si>
  <si>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</si>
  <si>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</si>
  <si>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</si>
  <si>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</si>
  <si>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</si>
  <si>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</si>
  <si>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</si>
  <si>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</si>
  <si>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</si>
  <si>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</si>
  <si>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</si>
  <si>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</si>
  <si>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</si>
  <si>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</si>
  <si>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</si>
  <si>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</si>
  <si>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</si>
  <si>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</si>
  <si>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</si>
  <si>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</si>
  <si>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</si>
  <si>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</si>
  <si>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</si>
  <si>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</si>
  <si>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</si>
  <si>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</si>
  <si>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</si>
  <si>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</si>
  <si>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</si>
  <si>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</si>
  <si>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</si>
  <si>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</si>
  <si>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</si>
  <si>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</si>
  <si>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</si>
  <si>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</si>
  <si>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</si>
  <si>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</si>
  <si>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</si>
  <si>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</si>
  <si>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</si>
  <si>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</si>
  <si>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</si>
  <si>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</si>
  <si>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</si>
  <si>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</si>
  <si>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</si>
  <si>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</si>
  <si>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</si>
  <si>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</si>
  <si>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</si>
  <si>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</si>
  <si>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</si>
  <si>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</si>
  <si>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</si>
  <si>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</si>
  <si>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</si>
  <si>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</si>
  <si>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</si>
  <si>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</si>
  <si>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</si>
  <si>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</si>
  <si>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</si>
  <si>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</si>
  <si>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</si>
  <si>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</si>
  <si>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</si>
  <si>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</si>
  <si>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</si>
  <si>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</si>
  <si>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</si>
  <si>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</si>
  <si>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</si>
  <si>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</si>
  <si>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</si>
  <si>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</si>
  <si>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</si>
  <si>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</si>
  <si>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</si>
  <si>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</si>
  <si>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</si>
  <si>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</si>
  <si>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</si>
  <si>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</si>
  <si>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</si>
  <si>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</si>
  <si>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</si>
  <si>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</si>
  <si>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</si>
  <si>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</si>
  <si>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</si>
  <si>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</si>
  <si>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</si>
  <si>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</si>
  <si>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</si>
  <si>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</si>
  <si>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</si>
  <si>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</si>
  <si>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</si>
  <si>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</si>
  <si>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</si>
  <si>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</si>
  <si>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</si>
  <si>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</si>
  <si>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</si>
  <si>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</si>
  <si>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</si>
  <si>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</si>
  <si>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</si>
  <si>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</si>
  <si>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</si>
  <si>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</si>
  <si>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</si>
  <si>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</si>
  <si>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</si>
  <si>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</si>
  <si>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</si>
  <si>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</si>
  <si>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</si>
  <si>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</si>
  <si>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</si>
  <si>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</si>
  <si>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</si>
  <si>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</si>
  <si>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</si>
  <si>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</si>
  <si>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</si>
  <si>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</si>
  <si>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</si>
  <si>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</si>
  <si>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</si>
  <si>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</si>
  <si>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</si>
  <si>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</si>
  <si>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</si>
  <si>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</si>
  <si>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</si>
  <si>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</si>
  <si>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</si>
  <si>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</si>
  <si>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</si>
  <si>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</si>
  <si>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</si>
  <si>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</si>
  <si>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</si>
  <si>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</si>
  <si>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</si>
  <si>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</si>
  <si>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</si>
  <si>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</si>
  <si>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</si>
  <si>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</si>
  <si>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</si>
  <si>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</si>
  <si>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</si>
  <si>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</si>
  <si>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</si>
  <si>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</si>
  <si>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</si>
  <si>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</si>
  <si>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</si>
  <si>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</si>
  <si>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</si>
  <si>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</si>
  <si>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</si>
  <si>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</si>
  <si>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</si>
  <si>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</si>
  <si>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</si>
  <si>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</si>
  <si>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</si>
  <si>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</si>
  <si>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</si>
  <si>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</si>
  <si>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</si>
  <si>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</si>
  <si>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</si>
  <si>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</si>
  <si>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</si>
  <si>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</si>
  <si>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</si>
  <si>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</si>
  <si>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</si>
  <si>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</si>
  <si>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</si>
  <si>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</si>
  <si>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</si>
  <si>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</si>
  <si>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</si>
  <si>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</si>
  <si>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</si>
  <si>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</si>
  <si>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</si>
  <si>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</si>
  <si>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</si>
  <si>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</si>
  <si>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</si>
  <si>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</si>
  <si>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</si>
  <si>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</si>
  <si>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</si>
  <si>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</si>
  <si>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</si>
  <si>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</si>
  <si>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</si>
  <si>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</si>
  <si>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</si>
  <si>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</si>
  <si>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</si>
  <si>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</si>
  <si>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</si>
  <si>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</si>
  <si>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</si>
  <si>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</si>
  <si>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</si>
  <si>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</si>
  <si>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</si>
  <si>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</si>
  <si>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</si>
  <si>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</si>
  <si>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</si>
  <si>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</si>
  <si>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</si>
  <si>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</si>
  <si>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</si>
  <si>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</si>
  <si>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</si>
  <si>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</si>
  <si>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</si>
  <si>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</si>
  <si>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</si>
  <si>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</si>
  <si>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</si>
  <si>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</si>
  <si>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</si>
  <si>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</si>
  <si>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</si>
  <si>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</si>
  <si>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</si>
  <si>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</si>
  <si>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</si>
  <si>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</si>
  <si>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</si>
  <si>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</si>
  <si>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</si>
  <si>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</si>
  <si>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</si>
  <si>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</si>
  <si>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</si>
  <si>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</si>
  <si>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</si>
  <si>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</si>
  <si>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</si>
  <si>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</si>
  <si>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</si>
  <si>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</si>
  <si>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</si>
  <si>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</si>
  <si>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</si>
  <si>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</si>
  <si>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</si>
  <si>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</si>
  <si>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</si>
  <si>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</si>
  <si>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</si>
  <si>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</si>
  <si>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</si>
  <si>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</si>
  <si>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</si>
  <si>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</si>
  <si>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</si>
  <si>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</si>
  <si>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</si>
  <si>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</si>
  <si>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</si>
  <si>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</si>
  <si>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</si>
  <si>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</si>
  <si>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</si>
  <si>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</si>
  <si>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</si>
  <si>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</si>
  <si>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</si>
  <si>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</si>
  <si>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</si>
  <si>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</si>
  <si>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</si>
  <si>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</si>
  <si>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</si>
  <si>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</si>
  <si>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</si>
  <si>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</si>
  <si>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</si>
  <si>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</si>
  <si>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</si>
  <si>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</si>
  <si>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</si>
  <si>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</si>
  <si>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</si>
  <si>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</si>
  <si>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</si>
  <si>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</si>
  <si>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</si>
  <si>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</si>
  <si>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</si>
  <si>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</si>
  <si>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</si>
  <si>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</si>
  <si>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</si>
  <si>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</si>
  <si>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</si>
  <si>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</si>
  <si>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</si>
  <si>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</si>
  <si>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</si>
  <si>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</si>
  <si>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</si>
  <si>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</si>
  <si>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</si>
  <si>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</si>
  <si>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</si>
  <si>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</si>
  <si>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</si>
  <si>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</si>
  <si>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</si>
  <si>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</si>
  <si>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</si>
  <si>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</si>
  <si>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</si>
  <si>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</si>
  <si>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</si>
  <si>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</si>
  <si>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</si>
  <si>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</si>
  <si>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</si>
  <si>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</si>
  <si>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</si>
  <si>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</si>
  <si>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</si>
  <si>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</si>
  <si>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</si>
  <si>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</si>
  <si>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</si>
  <si>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</si>
  <si>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</si>
  <si>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</si>
  <si>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</si>
  <si>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</si>
  <si>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</si>
  <si>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</si>
  <si>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</si>
  <si>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</si>
  <si>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</si>
  <si>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</si>
  <si>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</si>
  <si>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</si>
  <si>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</si>
  <si>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</si>
  <si>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</si>
  <si>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</si>
  <si>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</si>
  <si>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</si>
  <si>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</si>
  <si>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</si>
  <si>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</si>
  <si>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</si>
  <si>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</si>
  <si>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</si>
  <si>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</si>
  <si>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</si>
  <si>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</si>
  <si>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</si>
  <si>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</si>
  <si>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</si>
  <si>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</si>
  <si>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</si>
  <si>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</si>
  <si>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</si>
  <si>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</si>
  <si>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</si>
  <si>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</si>
  <si>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</si>
  <si>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</si>
  <si>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</si>
  <si>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</si>
  <si>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</si>
  <si>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</si>
  <si>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</si>
  <si>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</si>
  <si>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</si>
  <si>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</si>
  <si>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</si>
  <si>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</si>
  <si>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</si>
  <si>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</si>
  <si>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</si>
  <si>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</si>
  <si>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</si>
  <si>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</si>
  <si>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</si>
  <si>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</si>
  <si>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</si>
  <si>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</si>
  <si>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</si>
  <si>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</si>
  <si>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</si>
  <si>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</si>
  <si>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</si>
  <si>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</si>
  <si>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</si>
  <si>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</si>
  <si>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</si>
  <si>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</si>
  <si>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</si>
  <si>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</si>
  <si>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</si>
  <si>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</si>
  <si>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</si>
  <si>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</si>
  <si>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</si>
  <si>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</si>
  <si>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</si>
  <si>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</si>
  <si>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</si>
  <si>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</si>
  <si>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</si>
  <si>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</si>
  <si>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</si>
  <si>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</si>
  <si>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</si>
  <si>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</si>
  <si>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</si>
  <si>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</si>
  <si>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</si>
  <si>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</si>
  <si>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</si>
  <si>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</si>
  <si>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</si>
  <si>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</si>
  <si>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</si>
  <si>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</si>
  <si>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</si>
  <si>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</si>
  <si>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</si>
  <si>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</si>
  <si>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</si>
  <si>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</si>
  <si>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</si>
  <si>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</si>
  <si>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</si>
  <si>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</si>
  <si>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</si>
  <si>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</si>
  <si>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</si>
  <si>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</si>
  <si>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</si>
  <si>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</si>
  <si>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</si>
  <si>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</si>
  <si>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</si>
  <si>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</si>
  <si>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</si>
  <si>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</si>
  <si>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</si>
  <si>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</si>
  <si>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</si>
  <si>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</si>
  <si>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</si>
  <si>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</si>
  <si>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</si>
  <si>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</si>
  <si>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</si>
  <si>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</si>
  <si>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</si>
  <si>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</si>
  <si>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</si>
  <si>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</si>
  <si>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</si>
  <si>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</si>
  <si>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</si>
  <si>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</si>
  <si>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</si>
  <si>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</si>
  <si>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</si>
  <si>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</si>
  <si>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</si>
  <si>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</si>
  <si>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</si>
  <si>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</si>
  <si>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</si>
  <si>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</si>
  <si>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</si>
  <si>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</si>
  <si>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</si>
  <si>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</si>
  <si>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</si>
  <si>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</si>
  <si>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</si>
  <si>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</si>
  <si>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</si>
  <si>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</si>
  <si>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</si>
  <si>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</si>
  <si>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</si>
  <si>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</si>
  <si>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</si>
  <si>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</si>
  <si>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</si>
  <si>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</si>
  <si>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</si>
  <si>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</si>
  <si>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</si>
  <si>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</si>
  <si>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</si>
  <si>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</si>
  <si>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</si>
  <si>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</si>
  <si>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</si>
  <si>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</si>
  <si>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</si>
  <si>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</si>
  <si>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</si>
  <si>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</si>
  <si>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</si>
  <si>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</si>
  <si>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</si>
  <si>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</si>
  <si>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</si>
  <si>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</si>
  <si>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</si>
  <si>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</si>
  <si>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</si>
  <si>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</si>
  <si>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</si>
  <si>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</si>
  <si>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</si>
  <si>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</si>
  <si>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</si>
  <si>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</si>
  <si>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</si>
  <si>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</si>
  <si>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</si>
  <si>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</si>
  <si>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</si>
  <si>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</si>
  <si>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</si>
  <si>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</si>
  <si>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</si>
  <si>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</si>
  <si>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</si>
  <si>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</si>
  <si>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</si>
  <si>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</si>
  <si>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</si>
  <si>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</si>
  <si>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</si>
  <si>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</si>
  <si>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</si>
  <si>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</si>
  <si>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</si>
  <si>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</si>
  <si>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</si>
  <si>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</si>
  <si>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</si>
  <si>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</si>
  <si>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</si>
  <si>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</si>
  <si>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</si>
  <si>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</si>
  <si>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</si>
  <si>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</si>
  <si>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</si>
  <si>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</si>
  <si>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</si>
  <si>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</si>
  <si>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</si>
  <si>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</si>
  <si>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</si>
  <si>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</si>
  <si>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</si>
  <si>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</si>
  <si>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</si>
  <si>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</si>
  <si>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</si>
  <si>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</si>
  <si>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</si>
  <si>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</si>
  <si>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</si>
  <si>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</si>
  <si>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</si>
  <si>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</si>
  <si>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</si>
  <si>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</si>
  <si>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</si>
  <si>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</si>
  <si>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</si>
  <si>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</si>
  <si>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</si>
  <si>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</si>
  <si>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</si>
  <si>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</si>
  <si>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</si>
  <si>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</si>
  <si>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</si>
  <si>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</si>
  <si>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</si>
  <si>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</si>
  <si>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</si>
  <si>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</si>
  <si>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</si>
  <si>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</si>
  <si>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</si>
  <si>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</si>
  <si>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</si>
  <si>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</si>
  <si>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</si>
  <si>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</si>
  <si>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</si>
  <si>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</si>
  <si>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</si>
  <si>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</si>
  <si>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</si>
  <si>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</si>
  <si>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</si>
  <si>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</si>
  <si>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</si>
  <si>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</si>
  <si>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</si>
  <si>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</si>
  <si>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</si>
  <si>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</si>
  <si>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</si>
  <si>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</si>
  <si>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</si>
  <si>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</si>
  <si>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</si>
  <si>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</si>
  <si>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</si>
  <si>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</si>
  <si>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</si>
  <si>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</si>
  <si>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</si>
  <si>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</si>
  <si>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</si>
  <si>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</si>
  <si>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</si>
  <si>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</si>
  <si>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</si>
  <si>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</si>
  <si>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</si>
  <si>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</si>
  <si>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</si>
  <si>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</si>
  <si>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</si>
  <si>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</si>
  <si>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</si>
  <si>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</si>
  <si>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</si>
  <si>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</si>
  <si>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</si>
  <si>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</si>
  <si>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</si>
  <si>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</si>
  <si>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</si>
  <si>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</si>
  <si>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</si>
  <si>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</si>
  <si>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</si>
  <si>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</si>
  <si>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</si>
  <si>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</si>
  <si>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</si>
  <si>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</si>
  <si>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</si>
  <si>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</si>
  <si>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</si>
  <si>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</si>
  <si>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</si>
  <si>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</si>
  <si>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</si>
  <si>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</si>
  <si>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</si>
  <si>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</si>
  <si>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</si>
  <si>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</si>
  <si>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</si>
  <si>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</si>
  <si>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</si>
  <si>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</si>
  <si>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</si>
  <si>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</si>
  <si>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</si>
  <si>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</si>
  <si>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</si>
  <si>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</si>
  <si>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</si>
  <si>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</si>
  <si>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</si>
  <si>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</si>
  <si>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</si>
  <si>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</si>
  <si>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</si>
  <si>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</si>
  <si>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</si>
  <si>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</si>
  <si>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</si>
  <si>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</si>
  <si>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</si>
  <si>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</si>
  <si>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</si>
  <si>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</si>
  <si>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</si>
  <si>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</si>
  <si>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</si>
  <si>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</si>
  <si>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</si>
  <si>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</si>
  <si>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</si>
  <si>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</si>
  <si>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</si>
  <si>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</si>
  <si>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</si>
  <si>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</si>
  <si>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</si>
  <si>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</si>
  <si>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</si>
  <si>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</si>
  <si>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</si>
  <si>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</si>
  <si>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</si>
  <si>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</si>
  <si>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</si>
  <si>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</si>
  <si>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</si>
  <si>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</si>
  <si>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</si>
  <si>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</si>
  <si>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</si>
  <si>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</si>
  <si>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</si>
  <si>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</si>
  <si>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</si>
  <si>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</si>
  <si>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</si>
  <si>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</si>
  <si>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</si>
  <si>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</si>
  <si>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</si>
  <si>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</si>
  <si>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</si>
  <si>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</si>
  <si>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</si>
  <si>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</si>
  <si>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</si>
  <si>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</si>
  <si>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</si>
  <si>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</si>
  <si>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</si>
  <si>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</si>
  <si>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</si>
  <si>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</si>
  <si>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</si>
  <si>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</si>
  <si>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</si>
  <si>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</si>
  <si>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</si>
  <si>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</si>
  <si>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</si>
  <si>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</si>
  <si>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</si>
  <si>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</si>
  <si>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</si>
  <si>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</si>
  <si>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</si>
  <si>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</si>
  <si>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</si>
  <si>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</si>
  <si>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</si>
  <si>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</si>
  <si>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</si>
  <si>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</si>
  <si>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</si>
  <si>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</si>
  <si>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</si>
  <si>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</si>
  <si>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</si>
  <si>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</si>
  <si>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</si>
  <si>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</si>
  <si>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</si>
  <si>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</si>
  <si>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</si>
  <si>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</si>
  <si>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</si>
  <si>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</si>
  <si>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</si>
  <si>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</si>
  <si>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</si>
  <si>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</si>
  <si>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</si>
  <si>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</si>
  <si>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</si>
  <si>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</si>
  <si>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</si>
  <si>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</si>
  <si>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</si>
  <si>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</si>
  <si>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</si>
  <si>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</si>
  <si>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</si>
  <si>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</si>
  <si>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</si>
  <si>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</si>
  <si>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</si>
  <si>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</si>
  <si>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</si>
  <si>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</si>
  <si>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</si>
  <si>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</si>
  <si>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</si>
  <si>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</si>
  <si>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</si>
  <si>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</si>
  <si>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</si>
  <si>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</si>
  <si>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</si>
  <si>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</si>
  <si>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</si>
  <si>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</si>
  <si>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</si>
  <si>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</si>
  <si>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</si>
  <si>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</si>
  <si>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</si>
  <si>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</si>
  <si>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</si>
  <si>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</si>
  <si>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</si>
  <si>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</si>
  <si>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</si>
  <si>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</si>
  <si>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</si>
  <si>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</si>
  <si>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</si>
  <si>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</si>
  <si>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</si>
  <si>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</si>
  <si>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</si>
  <si>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</si>
  <si>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</si>
  <si>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</si>
  <si>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</si>
  <si>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</si>
  <si>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</si>
  <si>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</si>
  <si>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</si>
  <si>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</si>
  <si>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</si>
  <si>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</si>
  <si>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</si>
  <si>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</si>
  <si>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</si>
  <si>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</si>
  <si>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</si>
  <si>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</si>
  <si>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</si>
  <si>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</si>
  <si>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</si>
  <si>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</si>
  <si>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</si>
  <si>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</si>
  <si>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</si>
  <si>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</si>
  <si>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</si>
  <si>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</si>
  <si>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</si>
  <si>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</si>
  <si>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</si>
  <si>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</si>
  <si>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</si>
  <si>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</si>
  <si>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</si>
  <si>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</si>
  <si>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</si>
  <si>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</si>
  <si>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</si>
  <si>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</si>
  <si>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</si>
  <si>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</si>
  <si>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</si>
  <si>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</si>
  <si>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</si>
  <si>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</si>
  <si>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</si>
  <si>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</si>
  <si>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</si>
  <si>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</si>
  <si>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</si>
  <si>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</si>
  <si>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</si>
  <si>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</si>
  <si>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</si>
  <si>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</si>
  <si>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</si>
  <si>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</si>
  <si>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</si>
  <si>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</si>
  <si>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</si>
  <si>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</si>
  <si>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</si>
  <si>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</si>
  <si>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</si>
  <si>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</si>
  <si>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</si>
  <si>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</si>
  <si>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</si>
  <si>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</si>
  <si>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</si>
  <si>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</si>
  <si>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</si>
  <si>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</si>
  <si>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</si>
  <si>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</si>
  <si>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</si>
  <si>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</si>
  <si>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</si>
  <si>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</si>
  <si>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</si>
  <si>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</si>
  <si>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</si>
  <si>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</si>
  <si>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</si>
  <si>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</si>
  <si>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</si>
  <si>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</si>
  <si>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</si>
  <si>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</si>
  <si>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</si>
  <si>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</si>
  <si>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</si>
  <si>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</si>
  <si>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</si>
  <si>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</si>
  <si>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</si>
  <si>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</si>
  <si>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</si>
  <si>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</si>
  <si>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</si>
  <si>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</si>
  <si>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</si>
  <si>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</si>
  <si>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</si>
  <si>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</si>
  <si>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</si>
  <si>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</si>
  <si>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</si>
  <si>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</si>
  <si>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</si>
  <si>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</si>
  <si>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</si>
  <si>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</si>
  <si>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</si>
  <si>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</si>
  <si>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</si>
  <si>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</si>
  <si>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</si>
  <si>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</si>
  <si>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</si>
  <si>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</si>
  <si>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</si>
  <si>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</si>
  <si>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</si>
  <si>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</si>
  <si>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</si>
  <si>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</si>
  <si>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</si>
  <si>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</si>
  <si>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</si>
  <si>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</si>
  <si>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</si>
  <si>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</si>
  <si>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</si>
  <si>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</si>
  <si>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</si>
  <si>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</si>
  <si>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</si>
  <si>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</si>
  <si>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</si>
  <si>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</si>
  <si>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</si>
  <si>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</si>
  <si>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</si>
  <si>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</si>
  <si>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</si>
  <si>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</si>
  <si>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</si>
  <si>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</si>
  <si>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</si>
  <si>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</si>
  <si>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</si>
  <si>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</si>
  <si>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</si>
  <si>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</si>
  <si>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</si>
  <si>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</si>
  <si>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</si>
  <si>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</si>
  <si>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</si>
  <si>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</si>
  <si>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</si>
  <si>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</si>
  <si>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</si>
  <si>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</si>
  <si>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</si>
  <si>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</si>
  <si>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</si>
  <si>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</si>
  <si>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</si>
  <si>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</si>
  <si>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</si>
  <si>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</si>
  <si>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</si>
  <si>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</si>
  <si>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</si>
  <si>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</si>
  <si>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</si>
  <si>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</si>
  <si>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</si>
  <si>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</si>
  <si>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</si>
  <si>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</si>
  <si>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</si>
  <si>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</si>
  <si>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</si>
  <si>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</si>
  <si>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</si>
  <si>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</si>
  <si>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</si>
  <si>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</si>
  <si>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</si>
  <si>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</si>
  <si>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</si>
  <si>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</si>
  <si>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</si>
  <si>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</si>
  <si>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</si>
  <si>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</si>
  <si>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</si>
  <si>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</si>
  <si>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</si>
  <si>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</si>
  <si>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</si>
  <si>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</si>
  <si>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</si>
  <si>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</si>
  <si>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</si>
  <si>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</si>
  <si>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</si>
  <si>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</si>
  <si>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</si>
  <si>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</si>
  <si>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</si>
  <si>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</si>
  <si>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</si>
  <si>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</si>
  <si>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</si>
  <si>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</si>
  <si>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</si>
  <si>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</si>
  <si>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</si>
  <si>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</si>
  <si>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</si>
  <si>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</si>
  <si>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</si>
  <si>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</si>
  <si>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</si>
  <si>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</si>
  <si>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</si>
  <si>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</si>
  <si>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</si>
  <si>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</si>
  <si>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</si>
  <si>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</si>
  <si>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</si>
  <si>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</si>
  <si>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</si>
  <si>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</si>
  <si>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</si>
  <si>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</si>
  <si>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</si>
  <si>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</si>
  <si>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</si>
  <si>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</si>
  <si>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</si>
  <si>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</si>
  <si>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</si>
  <si>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</si>
  <si>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</si>
  <si>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</si>
  <si>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</si>
  <si>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</si>
  <si>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</si>
  <si>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</si>
  <si>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</si>
  <si>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</si>
  <si>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</si>
  <si>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</si>
  <si>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</si>
  <si>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</si>
  <si>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</si>
  <si>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</si>
  <si>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</si>
  <si>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</si>
  <si>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</si>
  <si>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</si>
  <si>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</si>
  <si>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</si>
  <si>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</si>
  <si>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</si>
  <si>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</si>
  <si>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</si>
  <si>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</si>
  <si>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</si>
  <si>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</si>
  <si>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</si>
  <si>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</si>
  <si>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</si>
  <si>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</si>
  <si>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</si>
  <si>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</si>
  <si>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</si>
  <si>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</si>
  <si>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</si>
  <si>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</si>
  <si>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</si>
  <si>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</si>
  <si>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</si>
  <si>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</si>
  <si>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</si>
  <si>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</si>
  <si>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</si>
  <si>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</si>
  <si>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</si>
  <si>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</si>
  <si>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</si>
  <si>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</si>
  <si>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</si>
  <si>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</si>
  <si>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</si>
  <si>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</si>
  <si>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</si>
  <si>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</si>
  <si>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</si>
  <si>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</si>
  <si>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</si>
  <si>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</si>
  <si>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</si>
  <si>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</si>
  <si>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</si>
  <si>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</si>
  <si>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</si>
  <si>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</si>
  <si>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</si>
  <si>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</si>
  <si>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</si>
  <si>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</si>
  <si>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</si>
  <si>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</si>
  <si>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</si>
  <si>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</si>
  <si>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</si>
  <si>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</si>
  <si>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</si>
  <si>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</si>
  <si>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</si>
  <si>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</si>
  <si>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</si>
  <si>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</si>
  <si>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</si>
  <si>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</si>
  <si>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</si>
  <si>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</si>
  <si>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</si>
  <si>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</si>
  <si>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</si>
  <si>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</si>
  <si>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</si>
  <si>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</si>
  <si>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</si>
  <si>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</si>
  <si>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</si>
  <si>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</si>
  <si>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</si>
  <si>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</si>
  <si>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</si>
  <si>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</si>
  <si>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</si>
  <si>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</si>
  <si>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</si>
  <si>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</si>
  <si>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</si>
  <si>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</si>
  <si>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</si>
  <si>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</si>
  <si>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</si>
  <si>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</si>
  <si>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</si>
  <si>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</si>
  <si>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</si>
  <si>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</si>
  <si>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</si>
  <si>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</si>
  <si>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</si>
  <si>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</si>
  <si>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</si>
  <si>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</si>
  <si>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</si>
  <si>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</si>
  <si>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</si>
  <si>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</si>
  <si>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</si>
  <si>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</si>
  <si>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</si>
  <si>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</si>
  <si>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</si>
  <si>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</si>
  <si>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</si>
  <si>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</si>
  <si>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</si>
  <si>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</si>
  <si>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</si>
  <si>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</si>
  <si>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</si>
  <si>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</si>
  <si>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</si>
  <si>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</si>
  <si>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</si>
  <si>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</si>
  <si>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</si>
  <si>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</si>
  <si>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</si>
  <si>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</si>
  <si>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</si>
  <si>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</si>
  <si>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</si>
  <si>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</si>
  <si>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</si>
  <si>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</si>
  <si>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</si>
  <si>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</si>
  <si>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</si>
  <si>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</si>
  <si>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</si>
  <si>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</si>
  <si>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</si>
  <si>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</si>
  <si>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</si>
  <si>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</si>
  <si>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</si>
  <si>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</si>
  <si>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</si>
  <si>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</si>
  <si>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</si>
  <si>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</si>
  <si>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</si>
  <si>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</si>
  <si>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</si>
  <si>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</si>
  <si>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</si>
  <si>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</si>
  <si>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</si>
  <si>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</si>
  <si>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</si>
  <si>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</si>
  <si>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</si>
  <si>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</si>
  <si>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</si>
  <si>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</si>
  <si>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</si>
  <si>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</si>
  <si>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</si>
  <si>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</si>
  <si>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</si>
  <si>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</si>
  <si>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</si>
  <si>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</si>
  <si>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</si>
  <si>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</si>
  <si>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</si>
  <si>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</si>
  <si>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</si>
  <si>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</si>
  <si>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</si>
  <si>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</si>
  <si>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</si>
  <si>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</si>
  <si>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</si>
  <si>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</si>
  <si>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</si>
  <si>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</si>
  <si>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</si>
  <si>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</si>
  <si>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</si>
  <si>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</si>
  <si>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</si>
  <si>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</si>
  <si>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</si>
  <si>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</si>
  <si>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</si>
  <si>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</si>
  <si>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</si>
  <si>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</si>
  <si>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</si>
  <si>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</si>
  <si>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</si>
  <si>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</si>
  <si>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</si>
  <si>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</si>
  <si>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</si>
  <si>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</si>
  <si>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</si>
  <si>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</si>
  <si>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</si>
  <si>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</si>
  <si>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</si>
  <si>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</si>
  <si>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</si>
  <si>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</si>
  <si>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</si>
  <si>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</si>
  <si>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</si>
  <si>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</si>
  <si>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</si>
  <si>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</si>
  <si>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</si>
  <si>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</si>
  <si>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</si>
  <si>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</si>
  <si>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</si>
  <si>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</si>
  <si>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</si>
  <si>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</si>
  <si>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</si>
  <si>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</si>
  <si>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</si>
  <si>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</si>
  <si>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</si>
  <si>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</si>
  <si>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</si>
  <si>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</si>
  <si>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</si>
  <si>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</si>
  <si>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</si>
  <si>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</si>
  <si>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</si>
  <si>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</si>
  <si>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</si>
  <si>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</si>
  <si>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</si>
  <si>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</si>
  <si>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</si>
  <si>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</si>
  <si>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</si>
  <si>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</si>
  <si>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</si>
  <si>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</si>
  <si>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</si>
  <si>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</si>
  <si>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</si>
  <si>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</si>
  <si>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</si>
  <si>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</si>
  <si>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</si>
  <si>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</si>
  <si>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</si>
  <si>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</si>
  <si>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</si>
  <si>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</si>
  <si>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</si>
  <si>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</si>
  <si>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</si>
  <si>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</si>
  <si>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</si>
  <si>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</si>
  <si>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</si>
  <si>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</si>
  <si>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</si>
  <si>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</si>
  <si>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</si>
  <si>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</si>
  <si>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</si>
  <si>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</si>
  <si>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</si>
  <si>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</si>
  <si>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</si>
  <si>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</si>
  <si>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</si>
  <si>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</si>
  <si>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</si>
  <si>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</si>
  <si>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</si>
  <si>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</si>
  <si>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</si>
  <si>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</si>
  <si>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</si>
  <si>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</si>
  <si>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</si>
  <si>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</si>
  <si>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</si>
  <si>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</si>
  <si>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</si>
  <si>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</si>
  <si>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</si>
  <si>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</si>
  <si>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</si>
  <si>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</si>
  <si>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</si>
  <si>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</si>
  <si>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</si>
  <si>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</si>
  <si>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</si>
  <si>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</si>
  <si>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</si>
  <si>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</si>
  <si>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</si>
  <si>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</si>
  <si>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</si>
  <si>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</si>
  <si>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</si>
  <si>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</si>
  <si>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</si>
  <si>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</si>
  <si>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</si>
  <si>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</si>
  <si>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</si>
  <si>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</si>
  <si>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</si>
  <si>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</si>
  <si>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</si>
  <si>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</si>
  <si>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</si>
  <si>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</si>
  <si>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</si>
  <si>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</si>
  <si>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</si>
  <si>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</si>
  <si>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</si>
  <si>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</si>
  <si>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</si>
  <si>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</si>
  <si>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</si>
  <si>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</si>
  <si>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</si>
  <si>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</si>
  <si>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</si>
  <si>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</si>
  <si>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</si>
  <si>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</si>
  <si>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</si>
  <si>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</si>
  <si>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</si>
  <si>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</si>
  <si>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</si>
  <si>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</si>
  <si>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</si>
  <si>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</si>
  <si>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</si>
  <si>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</si>
  <si>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</si>
  <si>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</si>
  <si>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</si>
  <si>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</si>
  <si>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</si>
  <si>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</si>
  <si>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</si>
  <si>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</si>
  <si>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</si>
  <si>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</si>
  <si>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</si>
  <si>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</si>
  <si>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</si>
  <si>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</si>
  <si>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</si>
  <si>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</si>
  <si>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</si>
  <si>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</si>
  <si>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</si>
  <si>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</si>
  <si>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</si>
  <si>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</si>
  <si>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</si>
  <si>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</si>
  <si>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</si>
  <si>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</si>
  <si>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</si>
  <si>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</si>
  <si>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</si>
  <si>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</si>
  <si>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</si>
  <si>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</si>
  <si>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</si>
  <si>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</si>
  <si>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</si>
  <si>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</si>
  <si>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</si>
  <si>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</si>
  <si>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</si>
  <si>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</si>
  <si>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</si>
  <si>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</si>
  <si>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</si>
  <si>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</si>
  <si>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</si>
  <si>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</si>
  <si>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</si>
  <si>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</si>
  <si>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</si>
  <si>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</si>
  <si>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</si>
  <si>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</si>
  <si>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</si>
  <si>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</si>
  <si>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</si>
  <si>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</si>
  <si>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</si>
  <si>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</si>
  <si>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</si>
  <si>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</si>
  <si>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</si>
  <si>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</si>
  <si>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</si>
  <si>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</si>
  <si>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</si>
  <si>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</si>
  <si>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</si>
  <si>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</si>
  <si>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</si>
  <si>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</si>
  <si>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</si>
  <si>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</si>
  <si>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</si>
  <si>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</si>
  <si>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</si>
  <si>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</si>
  <si>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</si>
  <si>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</si>
  <si>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</si>
  <si>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</si>
  <si>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</si>
  <si>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</si>
  <si>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</si>
  <si>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</si>
  <si>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</si>
  <si>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</si>
  <si>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</si>
  <si>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</si>
  <si>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</si>
  <si>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</si>
  <si>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</si>
  <si>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</si>
  <si>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</si>
  <si>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</si>
  <si>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</si>
  <si>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</si>
  <si>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</si>
  <si>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</si>
  <si>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</si>
  <si>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</si>
  <si>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</si>
  <si>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</si>
  <si>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</si>
  <si>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</si>
  <si>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</si>
  <si>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</si>
  <si>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</si>
  <si>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</si>
  <si>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</si>
  <si>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</si>
  <si>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</si>
  <si>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</si>
  <si>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</si>
  <si>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</si>
  <si>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</si>
  <si>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</si>
  <si>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</si>
  <si>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</si>
  <si>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</si>
  <si>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</si>
  <si>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</si>
  <si>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</si>
  <si>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</si>
  <si>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</si>
  <si>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</si>
  <si>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</si>
  <si>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</si>
  <si>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</si>
  <si>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</si>
  <si>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</si>
  <si>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</si>
  <si>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</si>
  <si>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</si>
  <si>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</si>
  <si>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</si>
  <si>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</si>
  <si>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</si>
  <si>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</si>
  <si>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</si>
  <si>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</si>
  <si>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</si>
  <si>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</si>
  <si>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</si>
  <si>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</si>
  <si>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</si>
  <si>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</si>
  <si>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</si>
  <si>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</si>
  <si>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</si>
  <si>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</si>
  <si>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</si>
  <si>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</si>
  <si>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</si>
  <si>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</si>
  <si>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</si>
  <si>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</si>
  <si>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</si>
  <si>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</si>
  <si>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</si>
  <si>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</si>
  <si>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</si>
  <si>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</si>
  <si>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</si>
  <si>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</si>
  <si>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</si>
  <si>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</si>
  <si>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</si>
  <si>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</si>
  <si>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</si>
  <si>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</si>
  <si>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</si>
  <si>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</si>
  <si>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</si>
  <si>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</si>
  <si>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</si>
  <si>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</si>
  <si>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</si>
  <si>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</si>
  <si>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</si>
  <si>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</si>
  <si>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</si>
  <si>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</si>
  <si>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</si>
  <si>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</si>
  <si>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</si>
  <si>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</si>
  <si>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</si>
  <si>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</si>
  <si>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</si>
  <si>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</si>
  <si>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</si>
  <si>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</si>
  <si>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</si>
  <si>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</si>
  <si>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</si>
  <si>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</si>
  <si>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</si>
  <si>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</si>
  <si>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</si>
  <si>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</si>
  <si>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</si>
  <si>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</si>
  <si>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</si>
  <si>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</si>
  <si>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</si>
  <si>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</si>
  <si>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</si>
  <si>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</si>
  <si>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</si>
  <si>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</si>
  <si>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</si>
  <si>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</si>
  <si>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</si>
  <si>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</si>
  <si>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</si>
  <si>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</si>
  <si>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</si>
  <si>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</si>
  <si>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</si>
  <si>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</si>
  <si>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</si>
  <si>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</si>
  <si>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</si>
  <si>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</si>
  <si>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</si>
  <si>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</si>
  <si>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</si>
  <si>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</si>
  <si>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</si>
  <si>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</si>
  <si>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</si>
  <si>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</si>
  <si>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</si>
  <si>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</si>
  <si>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</si>
  <si>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</si>
  <si>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</si>
  <si>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</si>
  <si>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</si>
  <si>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</si>
  <si>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</si>
  <si>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</si>
  <si>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</si>
  <si>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</si>
  <si>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</si>
  <si>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</si>
  <si>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</si>
  <si>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</si>
  <si>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</si>
  <si>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</si>
  <si>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</si>
  <si>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</si>
  <si>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</si>
  <si>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</si>
  <si>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</si>
  <si>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</si>
  <si>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</si>
  <si>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</si>
  <si>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</si>
  <si>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</si>
  <si>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</si>
  <si>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</si>
  <si>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</si>
  <si>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</si>
  <si>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</si>
  <si>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</si>
  <si>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</si>
  <si>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</si>
  <si>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</si>
  <si>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</si>
  <si>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</si>
  <si>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</si>
  <si>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</si>
  <si>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</si>
  <si>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</si>
  <si>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</si>
  <si>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</si>
  <si>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</si>
  <si>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</si>
  <si>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</si>
  <si>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</si>
  <si>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</si>
  <si>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</si>
  <si>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</si>
  <si>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</si>
  <si>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</si>
  <si>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</si>
  <si>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</si>
  <si>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</si>
  <si>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</si>
  <si>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</si>
  <si>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</si>
  <si>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</si>
  <si>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</si>
  <si>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</si>
  <si>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</si>
  <si>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</si>
  <si>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</si>
  <si>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</si>
  <si>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</si>
  <si>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</si>
  <si>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</si>
  <si>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</si>
  <si>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</si>
  <si>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</si>
  <si>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</si>
  <si>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</si>
  <si>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</si>
  <si>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</si>
  <si>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</si>
  <si>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</si>
  <si>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</si>
  <si>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</si>
  <si>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</si>
  <si>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</si>
  <si>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</si>
  <si>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</si>
  <si>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</si>
  <si>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</si>
  <si>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</si>
  <si>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</si>
  <si>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</si>
  <si>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</si>
  <si>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</si>
  <si>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</si>
  <si>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</si>
  <si>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</si>
  <si>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</si>
  <si>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</si>
  <si>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</si>
  <si>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</si>
  <si>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</si>
  <si>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</si>
  <si>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</si>
  <si>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</si>
  <si>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</si>
  <si>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</si>
  <si>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</si>
  <si>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</si>
  <si>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</si>
  <si>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</si>
  <si>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</si>
  <si>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</si>
  <si>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</si>
  <si>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</si>
  <si>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</si>
  <si>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</si>
  <si>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</si>
  <si>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</si>
  <si>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</si>
  <si>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</si>
  <si>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</si>
  <si>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</si>
  <si>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</si>
  <si>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</si>
  <si>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</si>
  <si>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</si>
  <si>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</si>
  <si>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</si>
  <si>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</si>
  <si>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</si>
  <si>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</si>
  <si>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</si>
  <si>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</si>
  <si>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</si>
  <si>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</si>
  <si>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</si>
  <si>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</si>
  <si>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</si>
  <si>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</si>
  <si>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</si>
  <si>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</si>
  <si>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</si>
  <si>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</si>
  <si>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</si>
  <si>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</si>
  <si>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</si>
  <si>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</si>
  <si>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</si>
  <si>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</si>
  <si>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</si>
  <si>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</si>
  <si>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</si>
  <si>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</si>
  <si>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</si>
  <si>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</si>
  <si>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</si>
  <si>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</si>
  <si>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</si>
  <si>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</si>
  <si>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</si>
  <si>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</si>
  <si>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</si>
  <si>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</si>
  <si>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</si>
  <si>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</si>
  <si>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</si>
  <si>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</si>
  <si>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</si>
  <si>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</si>
  <si>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</si>
  <si>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</si>
  <si>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</si>
  <si>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</si>
  <si>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</si>
  <si>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</si>
  <si>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</si>
  <si>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</si>
  <si>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</si>
  <si>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</si>
  <si>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</si>
  <si>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</si>
  <si>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</si>
  <si>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</si>
  <si>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</si>
  <si>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</si>
  <si>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</si>
  <si>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</si>
  <si>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</si>
  <si>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</si>
  <si>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</si>
  <si>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</si>
  <si>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</si>
  <si>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</si>
  <si>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</si>
  <si>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</si>
  <si>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</si>
  <si>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</si>
  <si>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</si>
  <si>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</si>
  <si>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</si>
  <si>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</si>
  <si>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</si>
  <si>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</si>
  <si>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</si>
  <si>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</si>
  <si>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</si>
  <si>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</si>
  <si>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</si>
  <si>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</si>
  <si>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</si>
  <si>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</si>
  <si>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</si>
  <si>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</si>
  <si>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</si>
  <si>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</si>
  <si>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</si>
  <si>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</si>
  <si>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</si>
  <si>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</si>
  <si>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</si>
  <si>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</si>
  <si>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</si>
  <si>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</si>
  <si>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</si>
  <si>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</si>
  <si>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</si>
  <si>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</si>
  <si>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</si>
  <si>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</si>
  <si>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</si>
  <si>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</si>
  <si>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</si>
  <si>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</si>
  <si>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</si>
  <si>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</si>
  <si>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</si>
  <si>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</si>
  <si>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</si>
  <si>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</si>
  <si>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</si>
  <si>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</si>
  <si>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</si>
  <si>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</si>
  <si>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</si>
  <si>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</si>
  <si>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</si>
  <si>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</si>
  <si>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</si>
  <si>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</si>
  <si>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</si>
  <si>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</si>
  <si>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</si>
  <si>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</si>
  <si>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</si>
  <si>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</si>
  <si>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</si>
  <si>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</si>
  <si>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</si>
  <si>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</si>
  <si>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</si>
  <si>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</si>
  <si>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</si>
  <si>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</si>
  <si>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</si>
  <si>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</si>
  <si>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</si>
  <si>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</si>
  <si>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</si>
  <si>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</si>
  <si>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</si>
  <si>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</si>
  <si>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</si>
  <si>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</si>
  <si>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</si>
  <si>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</si>
  <si>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</si>
  <si>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</si>
  <si>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</si>
  <si>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</si>
  <si>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</si>
  <si>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</si>
  <si>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</si>
  <si>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</si>
  <si>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</si>
  <si>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</si>
  <si>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</si>
  <si>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</si>
  <si>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</si>
  <si>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</si>
  <si>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</si>
  <si>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</si>
  <si>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</si>
  <si>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</si>
  <si>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</si>
  <si>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</si>
  <si>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</si>
  <si>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</si>
  <si>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</si>
  <si>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</si>
  <si>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</si>
  <si>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</si>
  <si>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</si>
  <si>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</si>
  <si>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</si>
  <si>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</si>
  <si>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</si>
  <si>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</si>
  <si>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</si>
  <si>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</si>
  <si>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</si>
  <si>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</si>
  <si>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</si>
  <si>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</si>
  <si>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</si>
  <si>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</si>
  <si>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</si>
  <si>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</si>
  <si>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</si>
  <si>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</si>
  <si>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</si>
  <si>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</si>
  <si>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</si>
  <si>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</si>
  <si>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</si>
  <si>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</si>
  <si>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</si>
  <si>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</si>
  <si>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</si>
  <si>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</si>
  <si>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</si>
  <si>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</si>
  <si>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</si>
  <si>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</si>
  <si>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</si>
  <si>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</si>
  <si>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</si>
  <si>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</si>
  <si>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</si>
  <si>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</si>
  <si>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</si>
  <si>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</si>
  <si>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</si>
  <si>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</si>
  <si>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</si>
  <si>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</si>
  <si>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</si>
  <si>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</si>
  <si>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</si>
  <si>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</si>
  <si>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</si>
  <si>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</si>
  <si>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</si>
  <si>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</si>
  <si>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</si>
  <si>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</si>
  <si>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</si>
  <si>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</si>
  <si>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</si>
  <si>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</si>
  <si>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</si>
  <si>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</si>
  <si>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</si>
  <si>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</si>
  <si>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</si>
  <si>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</si>
  <si>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</si>
  <si>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</si>
  <si>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</si>
  <si>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</si>
  <si>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</si>
  <si>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</si>
  <si>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</si>
  <si>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</si>
  <si>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</si>
  <si>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</si>
  <si>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</si>
  <si>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</si>
  <si>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</si>
  <si>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</si>
  <si>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</si>
  <si>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</si>
  <si>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</si>
  <si>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</si>
  <si>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</si>
  <si>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</si>
  <si>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</si>
  <si>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</si>
  <si>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</si>
  <si>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</si>
  <si>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</si>
  <si>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</si>
  <si>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</si>
  <si>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</si>
  <si>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</si>
  <si>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</si>
  <si>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</si>
  <si>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</si>
  <si>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</si>
  <si>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</si>
  <si>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</si>
  <si>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</si>
  <si>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</si>
  <si>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</si>
  <si>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</si>
  <si>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</si>
  <si>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</si>
  <si>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</si>
  <si>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</si>
  <si>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</si>
  <si>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</si>
  <si>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</si>
  <si>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</si>
  <si>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</si>
  <si>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</si>
  <si>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</si>
  <si>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</si>
  <si>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</si>
  <si>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</si>
  <si>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</si>
  <si>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</si>
  <si>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</si>
  <si>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</si>
  <si>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</si>
  <si>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</si>
  <si>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</si>
  <si>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</si>
  <si>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</si>
  <si>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</si>
  <si>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</si>
  <si>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</si>
  <si>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</si>
  <si>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</si>
  <si>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</si>
  <si>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</si>
  <si>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</si>
  <si>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</si>
  <si>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</si>
  <si>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</si>
  <si>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</si>
  <si>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</si>
  <si>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</si>
  <si>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</si>
  <si>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</si>
  <si>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</si>
  <si>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</si>
  <si>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</si>
  <si>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</si>
  <si>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</si>
  <si>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</si>
  <si>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</si>
  <si>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</si>
  <si>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</si>
  <si>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</si>
  <si>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</si>
  <si>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</si>
  <si>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</si>
  <si>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</si>
  <si>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</si>
  <si>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</si>
  <si>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</si>
  <si>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</si>
  <si>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</si>
  <si>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</si>
  <si>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</si>
  <si>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</si>
  <si>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</si>
  <si>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</si>
  <si>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</si>
  <si>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</si>
  <si>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</si>
  <si>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</si>
  <si>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</si>
  <si>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</si>
  <si>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</si>
  <si>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</si>
  <si>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</si>
  <si>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</si>
  <si>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</si>
  <si>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</si>
  <si>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</si>
  <si>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</si>
  <si>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</si>
  <si>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</si>
  <si>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</si>
  <si>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</si>
  <si>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</si>
  <si>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</si>
  <si>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</si>
  <si>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</si>
  <si>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</si>
  <si>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</si>
  <si>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</si>
  <si>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</si>
  <si>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</si>
  <si>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</si>
  <si>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</si>
  <si>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</si>
  <si>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</si>
  <si>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</si>
  <si>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</si>
  <si>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</si>
  <si>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</si>
  <si>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</si>
  <si>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</si>
  <si>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</si>
  <si>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</si>
  <si>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</si>
  <si>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</si>
  <si>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</si>
  <si>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</si>
  <si>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</si>
  <si>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</si>
  <si>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</si>
  <si>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</si>
  <si>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</si>
  <si>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</si>
  <si>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</si>
  <si>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</si>
  <si>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</si>
  <si>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</si>
  <si>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</si>
  <si>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</si>
  <si>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</si>
  <si>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</si>
  <si>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</si>
  <si>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</si>
  <si>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</si>
  <si>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</si>
  <si>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</si>
  <si>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</si>
  <si>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</si>
  <si>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</si>
  <si>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</si>
  <si>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</si>
  <si>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</si>
  <si>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</si>
  <si>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</si>
  <si>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</si>
  <si>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</si>
  <si>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</si>
  <si>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</si>
  <si>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</si>
  <si>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</si>
  <si>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</si>
  <si>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</si>
  <si>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</si>
  <si>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</si>
  <si>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</si>
  <si>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</si>
  <si>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</si>
  <si>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</si>
  <si>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</si>
  <si>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</si>
  <si>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</si>
  <si>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</si>
  <si>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</si>
  <si>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</si>
  <si>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</si>
  <si>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</si>
  <si>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</si>
  <si>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</si>
  <si>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</si>
  <si>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</si>
  <si>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</si>
  <si>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</si>
  <si>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</si>
  <si>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</si>
  <si>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</si>
  <si>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</si>
  <si>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</si>
  <si>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</si>
  <si>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</si>
  <si>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</si>
  <si>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</si>
  <si>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</si>
  <si>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</si>
  <si>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</si>
  <si>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</si>
  <si>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</si>
  <si>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</si>
  <si>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</si>
  <si>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</si>
  <si>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</si>
  <si>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</si>
  <si>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</si>
  <si>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</si>
  <si>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</si>
  <si>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</si>
  <si>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</si>
  <si>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</si>
  <si>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</si>
  <si>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</si>
  <si>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</si>
  <si>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</si>
  <si>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</si>
  <si>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</si>
  <si>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</si>
  <si>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</si>
  <si>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</si>
  <si>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</si>
  <si>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</si>
  <si>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</si>
  <si>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</si>
  <si>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</si>
  <si>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</si>
  <si>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</si>
  <si>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</si>
  <si>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</si>
  <si>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</si>
  <si>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</si>
  <si>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</si>
  <si>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</si>
  <si>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</si>
  <si>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</si>
  <si>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</si>
  <si>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</si>
  <si>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</si>
  <si>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</si>
  <si>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</si>
  <si>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</si>
  <si>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</si>
  <si>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</si>
  <si>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</si>
  <si>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</si>
  <si>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</si>
  <si>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</si>
  <si>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</si>
  <si>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</si>
  <si>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</si>
  <si>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</si>
  <si>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</si>
  <si>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</si>
  <si>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</si>
  <si>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</si>
  <si>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</si>
  <si>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</si>
  <si>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</si>
  <si>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</si>
  <si>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</si>
  <si>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</si>
  <si>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</si>
  <si>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</si>
  <si>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</si>
  <si>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</si>
  <si>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</si>
  <si>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</si>
  <si>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</si>
  <si>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</si>
  <si>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</si>
  <si>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</si>
  <si>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</si>
  <si>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</si>
  <si>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</si>
  <si>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</si>
  <si>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</si>
  <si>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</si>
  <si>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</si>
  <si>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</si>
  <si>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</si>
  <si>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</si>
  <si>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</si>
  <si>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</si>
  <si>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</si>
  <si>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</si>
  <si>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</si>
  <si>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</si>
  <si>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</si>
  <si>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</si>
  <si>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</si>
  <si>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</si>
  <si>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</si>
  <si>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</si>
  <si>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</si>
  <si>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</si>
  <si>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</si>
  <si>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</si>
  <si>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</si>
  <si>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</si>
  <si>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</si>
  <si>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</si>
  <si>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</si>
  <si>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</si>
  <si>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</si>
  <si>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</si>
  <si>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</si>
  <si>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</si>
  <si>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</si>
  <si>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</si>
  <si>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</si>
  <si>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</si>
  <si>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</si>
  <si>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</si>
  <si>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</si>
  <si>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</si>
  <si>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</si>
  <si>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</si>
  <si>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</si>
  <si>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</si>
  <si>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</si>
  <si>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</si>
  <si>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</si>
  <si>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</si>
  <si>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</si>
  <si>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</si>
  <si>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</si>
  <si>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</si>
  <si>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</si>
  <si>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</si>
  <si>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</si>
  <si>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</si>
  <si>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</si>
  <si>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</si>
  <si>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</si>
  <si>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</si>
  <si>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</si>
  <si>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</si>
  <si>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</si>
  <si>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</si>
  <si>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</si>
  <si>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</si>
  <si>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</si>
  <si>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</si>
  <si>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</si>
  <si>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</si>
  <si>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</si>
  <si>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</si>
  <si>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</si>
  <si>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</si>
  <si>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</si>
  <si>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</si>
  <si>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</si>
  <si>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</si>
  <si>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</si>
  <si>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</si>
  <si>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</si>
  <si>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</si>
  <si>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</si>
  <si>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</si>
  <si>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</si>
  <si>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</si>
  <si>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</si>
  <si>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</si>
  <si>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</si>
  <si>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</si>
  <si>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</si>
  <si>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</si>
  <si>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</si>
  <si>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</si>
  <si>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</si>
  <si>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</si>
  <si>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</si>
  <si>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</si>
  <si>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</si>
  <si>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</si>
  <si>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</si>
  <si>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</si>
  <si>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</si>
  <si>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</si>
  <si>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</si>
  <si>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</si>
  <si>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</si>
  <si>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</si>
  <si>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</si>
  <si>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</si>
  <si>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</si>
  <si>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</si>
  <si>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</si>
  <si>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</si>
  <si>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</si>
  <si>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</si>
  <si>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</si>
  <si>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</si>
  <si>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</si>
  <si>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</si>
  <si>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</si>
  <si>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</si>
  <si>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</si>
  <si>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</si>
  <si>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</si>
  <si>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</si>
  <si>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</si>
  <si>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</si>
  <si>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</si>
  <si>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</si>
  <si>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</si>
  <si>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</si>
  <si>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</si>
  <si>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</si>
  <si>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</si>
  <si>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</si>
  <si>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</si>
  <si>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</si>
  <si>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</si>
  <si>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</si>
  <si>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</si>
  <si>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</si>
  <si>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</si>
  <si>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</si>
  <si>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</si>
  <si>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</si>
  <si>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</si>
  <si>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</si>
  <si>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</si>
  <si>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</si>
  <si>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</si>
  <si>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</si>
  <si>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</si>
  <si>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</si>
  <si>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</si>
  <si>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</si>
  <si>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</si>
  <si>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</si>
  <si>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</si>
  <si>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</si>
  <si>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</si>
  <si>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</si>
  <si>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</si>
  <si>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</si>
  <si>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</si>
  <si>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</si>
  <si>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</si>
  <si>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</si>
  <si>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</si>
  <si>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</si>
  <si>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</si>
  <si>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</si>
  <si>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</si>
  <si>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</si>
  <si>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</si>
  <si>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</si>
  <si>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</si>
  <si>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</si>
  <si>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</si>
  <si>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</si>
  <si>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</si>
  <si>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</si>
  <si>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</si>
  <si>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</si>
  <si>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</si>
  <si>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</si>
  <si>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</si>
  <si>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</si>
  <si>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</si>
  <si>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</si>
  <si>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</si>
  <si>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</si>
  <si>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</si>
  <si>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</si>
  <si>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</si>
  <si>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</si>
  <si>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</si>
  <si>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</si>
  <si>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</si>
  <si>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</si>
  <si>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</si>
  <si>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</si>
  <si>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</si>
  <si>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</si>
  <si>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</si>
  <si>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</si>
  <si>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</si>
  <si>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</si>
  <si>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</si>
  <si>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</si>
  <si>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</si>
  <si>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</si>
  <si>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</si>
  <si>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</si>
  <si>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</si>
  <si>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</si>
  <si>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</si>
  <si>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</si>
  <si>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</si>
  <si>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</si>
  <si>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</si>
  <si>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</si>
  <si>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</si>
  <si>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</si>
  <si>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</si>
  <si>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</si>
  <si>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</si>
  <si>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</si>
  <si>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</si>
  <si>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</si>
  <si>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</si>
  <si>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</si>
  <si>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</si>
  <si>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</si>
  <si>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</si>
  <si>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</si>
  <si>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</si>
  <si>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</si>
  <si>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</si>
  <si>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</si>
  <si>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</si>
  <si>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</si>
  <si>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</si>
  <si>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</si>
  <si>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</si>
  <si>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</si>
  <si>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</si>
  <si>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</si>
  <si>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</si>
  <si>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</si>
  <si>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</si>
  <si>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</si>
  <si>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</si>
  <si>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</si>
  <si>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</si>
  <si>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</si>
  <si>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</si>
  <si>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</si>
  <si>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</si>
  <si>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</si>
  <si>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</si>
  <si>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</si>
  <si>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</si>
  <si>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</si>
  <si>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</si>
  <si>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</si>
  <si>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</si>
  <si>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</si>
  <si>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</si>
  <si>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</si>
  <si>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</si>
  <si>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</si>
  <si>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</si>
  <si>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</si>
  <si>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</si>
  <si>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</si>
  <si>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</si>
  <si>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</si>
  <si>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</si>
  <si>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</si>
  <si>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</si>
  <si>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</si>
  <si>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</si>
  <si>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</si>
  <si>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</si>
  <si>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</si>
  <si>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</si>
  <si>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</si>
  <si>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</si>
  <si>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</si>
  <si>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</si>
  <si>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</si>
  <si>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</si>
  <si>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</si>
  <si>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</si>
  <si>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</si>
  <si>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</si>
  <si>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</si>
  <si>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</si>
  <si>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</si>
  <si>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</si>
  <si>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</si>
  <si>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</si>
  <si>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</si>
  <si>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</si>
  <si>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</si>
  <si>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</si>
  <si>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</si>
  <si>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</si>
  <si>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</si>
  <si>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</si>
  <si>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</si>
  <si>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</si>
  <si>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</si>
  <si>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</si>
  <si>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</si>
  <si>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</si>
  <si>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</si>
  <si>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</si>
  <si>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</si>
  <si>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</si>
  <si>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</si>
  <si>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</si>
  <si>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</si>
  <si>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</si>
  <si>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</si>
  <si>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</si>
  <si>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</si>
  <si>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</si>
  <si>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</si>
  <si>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</si>
  <si>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</si>
  <si>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</si>
  <si>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</si>
  <si>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</si>
  <si>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</si>
  <si>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</si>
  <si>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</si>
  <si>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</si>
  <si>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</si>
  <si>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</si>
  <si>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</si>
  <si>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</si>
  <si>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</si>
  <si>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</si>
  <si>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</si>
  <si>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</si>
  <si>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</si>
  <si>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</si>
  <si>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</si>
  <si>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</si>
  <si>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</si>
  <si>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</si>
  <si>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</si>
  <si>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</si>
  <si>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</si>
  <si>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</si>
  <si>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</si>
  <si>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</si>
  <si>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</si>
  <si>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</si>
  <si>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</si>
  <si>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</si>
  <si>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</si>
  <si>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</si>
  <si>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</si>
  <si>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</si>
  <si>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</si>
  <si>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</si>
  <si>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</si>
  <si>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</si>
  <si>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</si>
  <si>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</si>
  <si>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</si>
  <si>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</si>
  <si>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</si>
  <si>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</si>
  <si>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</si>
  <si>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</si>
  <si>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</si>
  <si>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</si>
  <si>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</si>
  <si>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</si>
  <si>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</si>
  <si>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</si>
  <si>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</si>
  <si>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</si>
  <si>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</si>
  <si>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</si>
  <si>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</si>
  <si>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</si>
  <si>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</si>
  <si>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</si>
  <si>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</si>
  <si>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</si>
  <si>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</si>
  <si>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</si>
  <si>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</si>
  <si>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</si>
  <si>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</si>
  <si>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</si>
  <si>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</si>
  <si>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</si>
  <si>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</si>
  <si>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</si>
  <si>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</si>
  <si>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</si>
  <si>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</si>
  <si>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</si>
  <si>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</si>
  <si>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</si>
  <si>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</si>
  <si>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</si>
  <si>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</si>
  <si>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</si>
  <si>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</si>
  <si>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</si>
  <si>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</si>
  <si>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</si>
  <si>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</si>
  <si>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</si>
  <si>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</si>
  <si>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</si>
  <si>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</si>
  <si>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</si>
  <si>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</si>
  <si>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</si>
  <si>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</si>
  <si>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</si>
  <si>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</si>
  <si>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</si>
  <si>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</si>
  <si>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</si>
  <si>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</si>
  <si>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</si>
  <si>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</si>
  <si>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</si>
  <si>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</si>
  <si>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</si>
  <si>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</si>
  <si>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</si>
  <si>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</si>
  <si>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</si>
  <si>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</si>
  <si>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</si>
  <si>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</si>
  <si>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</si>
  <si>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</si>
  <si>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</si>
  <si>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</si>
  <si>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</si>
  <si>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</si>
  <si>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</si>
  <si>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</si>
  <si>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</si>
  <si>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</si>
  <si>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</si>
  <si>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</si>
  <si>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</si>
  <si>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</si>
  <si>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</si>
  <si>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</si>
  <si>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</si>
  <si>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</si>
  <si>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</si>
  <si>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</si>
  <si>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</si>
  <si>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</si>
  <si>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</si>
  <si>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</si>
  <si>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</si>
  <si>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</si>
  <si>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</si>
  <si>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</si>
  <si>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</si>
  <si>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</si>
  <si>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</si>
  <si>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</si>
  <si>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</si>
  <si>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</si>
  <si>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</si>
  <si>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</si>
  <si>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</si>
  <si>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</si>
  <si>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</si>
  <si>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</si>
  <si>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</si>
  <si>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</si>
  <si>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</si>
  <si>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</si>
  <si>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</si>
  <si>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</si>
  <si>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</si>
  <si>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</si>
  <si>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</si>
  <si>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</si>
  <si>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</si>
  <si>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</si>
  <si>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</si>
  <si>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</si>
  <si>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</si>
  <si>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</si>
  <si>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</si>
  <si>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</si>
  <si>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</si>
  <si>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</si>
  <si>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</si>
  <si>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</si>
  <si>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</si>
  <si>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</si>
  <si>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</si>
  <si>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</si>
  <si>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</si>
  <si>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</si>
  <si>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</si>
  <si>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</si>
  <si>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</si>
  <si>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</si>
  <si>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</si>
  <si>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</si>
  <si>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</si>
  <si>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</si>
  <si>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</si>
  <si>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</si>
  <si>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</si>
  <si>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</si>
  <si>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</si>
  <si>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</si>
  <si>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</si>
  <si>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</si>
  <si>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</si>
  <si>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</si>
  <si>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</si>
  <si>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</si>
  <si>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</si>
  <si>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</si>
  <si>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</si>
  <si>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</si>
  <si>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</si>
  <si>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</si>
  <si>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</si>
  <si>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</si>
  <si>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</si>
  <si>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</si>
  <si>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</si>
  <si>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</si>
  <si>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</si>
  <si>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</si>
  <si>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</si>
  <si>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</si>
  <si>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</si>
  <si>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</si>
  <si>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</si>
  <si>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</si>
  <si>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</si>
  <si>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</si>
  <si>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</si>
  <si>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</si>
  <si>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</si>
  <si>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</si>
  <si>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</si>
  <si>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</si>
  <si>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</si>
  <si>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</si>
  <si>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</si>
  <si>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</si>
  <si>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</si>
  <si>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</si>
  <si>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</si>
  <si>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</si>
  <si>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</si>
  <si>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</si>
  <si>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</si>
  <si>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</si>
  <si>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</si>
  <si>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</si>
  <si>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</si>
  <si>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</si>
  <si>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</si>
  <si>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</si>
  <si>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</si>
  <si>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</si>
  <si>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</si>
  <si>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</si>
  <si>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</si>
  <si>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</si>
  <si>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</si>
  <si>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</si>
  <si>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</si>
  <si>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</si>
  <si>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</si>
  <si>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</si>
  <si>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</si>
  <si>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</si>
  <si>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</si>
  <si>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</si>
  <si>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</si>
  <si>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</si>
  <si>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</si>
  <si>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</si>
  <si>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</si>
  <si>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</si>
  <si>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</si>
  <si>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</si>
  <si>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</si>
  <si>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</si>
  <si>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</si>
  <si>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</si>
  <si>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</si>
  <si>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</si>
  <si>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</si>
  <si>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</si>
  <si>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</si>
  <si>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</si>
  <si>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</si>
  <si>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</si>
  <si>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</si>
  <si>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</si>
  <si>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</si>
  <si>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</si>
  <si>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</si>
  <si>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</si>
  <si>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</si>
  <si>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</si>
  <si>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</si>
  <si>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</si>
  <si>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</si>
  <si>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</si>
  <si>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</si>
  <si>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</si>
  <si>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</si>
  <si>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</si>
  <si>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</si>
  <si>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</si>
  <si>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</si>
  <si>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</si>
  <si>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</si>
  <si>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</si>
  <si>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</si>
  <si>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</si>
  <si>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</si>
  <si>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</si>
  <si>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</si>
  <si>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</si>
  <si>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</si>
  <si>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</si>
  <si>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</si>
  <si>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</si>
  <si>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</si>
  <si>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</si>
  <si>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</si>
  <si>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</si>
  <si>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</si>
  <si>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</si>
  <si>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</si>
  <si>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</si>
  <si>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</si>
  <si>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</si>
  <si>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</si>
  <si>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</si>
  <si>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</si>
  <si>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</si>
  <si>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</si>
  <si>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</si>
  <si>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</si>
  <si>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</si>
  <si>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</si>
  <si>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</si>
  <si>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</si>
  <si>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</si>
  <si>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</si>
  <si>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</si>
  <si>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</si>
  <si>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</si>
  <si>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</si>
  <si>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</si>
  <si>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</si>
  <si>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</si>
  <si>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</si>
  <si>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</si>
  <si>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</si>
  <si>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</si>
  <si>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</si>
  <si>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</si>
  <si>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</si>
  <si>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</si>
  <si>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</si>
  <si>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</si>
  <si>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</si>
  <si>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</si>
  <si>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</si>
  <si>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</si>
  <si>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</si>
  <si>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</si>
  <si>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</si>
  <si>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</si>
  <si>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</si>
  <si>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</si>
  <si>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</si>
  <si>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</si>
  <si>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</si>
  <si>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</si>
  <si>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</si>
  <si>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</si>
  <si>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</si>
  <si>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</si>
  <si>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</si>
  <si>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</si>
  <si>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</si>
  <si>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</si>
  <si>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</si>
  <si>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</si>
  <si>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</si>
  <si>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</si>
  <si>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</si>
  <si>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</si>
  <si>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</si>
  <si>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</si>
  <si>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</si>
  <si>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</si>
  <si>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</si>
  <si>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</si>
  <si>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</si>
  <si>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</si>
  <si>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</si>
  <si>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</si>
  <si>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</si>
  <si>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</si>
  <si>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</si>
  <si>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</si>
  <si>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</si>
  <si>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</si>
  <si>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</si>
  <si>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</si>
  <si>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</si>
  <si>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</si>
  <si>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</si>
  <si>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</si>
  <si>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</si>
  <si>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</si>
  <si>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</si>
  <si>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</si>
  <si>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</si>
  <si>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</si>
  <si>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</si>
  <si>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</si>
  <si>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</si>
  <si>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</si>
  <si>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</si>
  <si>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</si>
  <si>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</si>
  <si>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</si>
  <si>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</si>
  <si>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</si>
  <si>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</si>
  <si>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</si>
  <si>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</si>
  <si>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</si>
  <si>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</si>
  <si>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</si>
  <si>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</si>
  <si>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</si>
  <si>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</si>
  <si>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</si>
  <si>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</si>
  <si>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</si>
  <si>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</si>
  <si>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</si>
  <si>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</si>
  <si>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</si>
  <si>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</si>
  <si>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</si>
  <si>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</si>
  <si>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</si>
  <si>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</si>
  <si>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</si>
  <si>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</si>
  <si>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</si>
  <si>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</si>
  <si>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</si>
  <si>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</si>
  <si>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</si>
  <si>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</si>
  <si>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</si>
  <si>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</si>
  <si>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</si>
  <si>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</si>
  <si>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</si>
  <si>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</si>
  <si>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</si>
  <si>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</si>
  <si>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</si>
  <si>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</si>
  <si>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</si>
  <si>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</si>
  <si>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</si>
  <si>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</si>
  <si>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</si>
  <si>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</si>
  <si>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</si>
  <si>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</si>
  <si>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</si>
  <si>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</si>
  <si>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</si>
  <si>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</si>
  <si>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</si>
  <si>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</si>
  <si>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</si>
  <si>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</si>
  <si>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</si>
  <si>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</si>
  <si>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</si>
  <si>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</si>
  <si>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</si>
  <si>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</si>
  <si>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</si>
  <si>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</si>
  <si>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</si>
  <si>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</si>
  <si>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</si>
  <si>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</si>
  <si>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</si>
  <si>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</si>
  <si>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</si>
  <si>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</si>
  <si>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</si>
  <si>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</si>
  <si>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</si>
  <si>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</si>
  <si>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</si>
  <si>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</si>
  <si>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</si>
  <si>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</si>
  <si>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</si>
  <si>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</si>
  <si>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</si>
  <si>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</si>
  <si>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</si>
  <si>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</si>
  <si>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</si>
  <si>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</si>
  <si>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</si>
  <si>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</si>
  <si>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</si>
  <si>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</si>
  <si>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</si>
  <si>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</si>
  <si>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</si>
  <si>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</si>
  <si>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</si>
  <si>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</si>
  <si>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</si>
  <si>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</si>
  <si>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</si>
  <si>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</si>
  <si>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</si>
  <si>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</si>
  <si>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</si>
  <si>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</si>
  <si>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</si>
  <si>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</si>
  <si>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</si>
  <si>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</si>
  <si>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</si>
  <si>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</si>
  <si>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</si>
  <si>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</si>
  <si>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</si>
  <si>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</si>
  <si>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</si>
  <si>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</si>
  <si>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</si>
  <si>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</si>
  <si>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</si>
  <si>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</si>
  <si>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</si>
  <si>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</si>
  <si>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</si>
  <si>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</si>
  <si>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</si>
  <si>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崔锴</t>
  </si>
  <si>
    <t>郑燚</t>
  </si>
  <si>
    <t>抵押</t>
  </si>
  <si>
    <t>房地产抵押价值</t>
  </si>
  <si>
    <t>北京市</t>
  </si>
  <si>
    <r>
      <rPr>
        <sz val="11"/>
        <color theme="1"/>
        <rFont val="宋体"/>
        <family val="3"/>
        <charset val="134"/>
      </rPr>
      <t>序号</t>
    </r>
    <phoneticPr fontId="135" type="noConversion"/>
  </si>
  <si>
    <r>
      <rPr>
        <sz val="11"/>
        <color theme="1"/>
        <rFont val="宋体"/>
        <family val="3"/>
        <charset val="134"/>
      </rPr>
      <t>房号</t>
    </r>
    <phoneticPr fontId="135" type="noConversion"/>
  </si>
  <si>
    <r>
      <rPr>
        <sz val="11"/>
        <color theme="1"/>
        <rFont val="宋体"/>
        <family val="3"/>
        <charset val="134"/>
      </rPr>
      <t>总层数</t>
    </r>
    <phoneticPr fontId="135" type="noConversion"/>
  </si>
  <si>
    <r>
      <rPr>
        <sz val="11"/>
        <color theme="1"/>
        <rFont val="宋体"/>
        <family val="3"/>
        <charset val="134"/>
      </rPr>
      <t>所在层数</t>
    </r>
    <phoneticPr fontId="135" type="noConversion"/>
  </si>
  <si>
    <r>
      <rPr>
        <sz val="11"/>
        <color theme="1"/>
        <rFont val="宋体"/>
        <family val="3"/>
        <charset val="134"/>
      </rPr>
      <t>建筑面积</t>
    </r>
    <phoneticPr fontId="135" type="noConversion"/>
  </si>
  <si>
    <r>
      <t>2</t>
    </r>
    <r>
      <rPr>
        <sz val="11"/>
        <color theme="1"/>
        <rFont val="宋体"/>
        <family val="3"/>
        <charset val="134"/>
      </rPr>
      <t>单元</t>
    </r>
    <r>
      <rPr>
        <sz val="11"/>
        <color theme="1"/>
        <rFont val="Arial"/>
        <family val="2"/>
      </rPr>
      <t>618</t>
    </r>
    <phoneticPr fontId="135" type="noConversion"/>
  </si>
  <si>
    <r>
      <t>2</t>
    </r>
    <r>
      <rPr>
        <sz val="11"/>
        <color theme="1"/>
        <rFont val="宋体"/>
        <family val="3"/>
        <charset val="134"/>
      </rPr>
      <t>单元</t>
    </r>
    <r>
      <rPr>
        <sz val="11"/>
        <color theme="1"/>
        <rFont val="Arial"/>
        <family val="2"/>
      </rPr>
      <t>619</t>
    </r>
    <r>
      <rPr>
        <sz val="11"/>
        <color theme="1"/>
        <rFont val="宋体"/>
        <family val="2"/>
        <charset val="134"/>
        <scheme val="minor"/>
      </rPr>
      <t/>
    </r>
  </si>
  <si>
    <r>
      <t>2</t>
    </r>
    <r>
      <rPr>
        <sz val="11"/>
        <color theme="1"/>
        <rFont val="宋体"/>
        <family val="3"/>
        <charset val="134"/>
      </rPr>
      <t>单元</t>
    </r>
    <r>
      <rPr>
        <sz val="11"/>
        <color theme="1"/>
        <rFont val="Arial"/>
        <family val="2"/>
      </rPr>
      <t>621</t>
    </r>
    <phoneticPr fontId="135" type="noConversion"/>
  </si>
  <si>
    <r>
      <t>2</t>
    </r>
    <r>
      <rPr>
        <sz val="11"/>
        <color theme="1"/>
        <rFont val="宋体"/>
        <family val="3"/>
        <charset val="134"/>
      </rPr>
      <t>单元</t>
    </r>
    <r>
      <rPr>
        <sz val="11"/>
        <color theme="1"/>
        <rFont val="Arial"/>
        <family val="2"/>
      </rPr>
      <t>622</t>
    </r>
    <r>
      <rPr>
        <sz val="11"/>
        <color theme="1"/>
        <rFont val="宋体"/>
        <family val="2"/>
        <charset val="134"/>
        <scheme val="minor"/>
      </rPr>
      <t/>
    </r>
  </si>
  <si>
    <r>
      <t>2</t>
    </r>
    <r>
      <rPr>
        <sz val="11"/>
        <color theme="1"/>
        <rFont val="宋体"/>
        <family val="3"/>
        <charset val="134"/>
      </rPr>
      <t>单元</t>
    </r>
    <r>
      <rPr>
        <sz val="11"/>
        <color theme="1"/>
        <rFont val="Arial"/>
        <family val="2"/>
      </rPr>
      <t>623</t>
    </r>
    <r>
      <rPr>
        <sz val="11"/>
        <color theme="1"/>
        <rFont val="宋体"/>
        <family val="2"/>
        <charset val="134"/>
        <scheme val="minor"/>
      </rPr>
      <t/>
    </r>
  </si>
  <si>
    <r>
      <t>2</t>
    </r>
    <r>
      <rPr>
        <sz val="11"/>
        <color theme="1"/>
        <rFont val="宋体"/>
        <family val="3"/>
        <charset val="134"/>
      </rPr>
      <t>单元</t>
    </r>
    <r>
      <rPr>
        <sz val="11"/>
        <color theme="1"/>
        <rFont val="Arial"/>
        <family val="2"/>
      </rPr>
      <t>625</t>
    </r>
    <phoneticPr fontId="135" type="noConversion"/>
  </si>
  <si>
    <r>
      <t>2</t>
    </r>
    <r>
      <rPr>
        <sz val="11"/>
        <color theme="1"/>
        <rFont val="宋体"/>
        <family val="3"/>
        <charset val="134"/>
      </rPr>
      <t>单元</t>
    </r>
    <r>
      <rPr>
        <sz val="11"/>
        <color theme="1"/>
        <rFont val="Arial"/>
        <family val="2"/>
      </rPr>
      <t>626</t>
    </r>
    <r>
      <rPr>
        <sz val="11"/>
        <color theme="1"/>
        <rFont val="宋体"/>
        <family val="2"/>
        <charset val="134"/>
        <scheme val="minor"/>
      </rPr>
      <t/>
    </r>
  </si>
  <si>
    <r>
      <t>19</t>
    </r>
    <r>
      <rPr>
        <sz val="11"/>
        <color theme="1"/>
        <rFont val="宋体"/>
        <family val="3"/>
        <charset val="134"/>
      </rPr>
      <t>（</t>
    </r>
    <r>
      <rPr>
        <sz val="11"/>
        <color theme="1"/>
        <rFont val="Arial"/>
        <family val="2"/>
      </rPr>
      <t>-3</t>
    </r>
    <r>
      <rPr>
        <sz val="11"/>
        <color theme="1"/>
        <rFont val="宋体"/>
        <family val="3"/>
        <charset val="134"/>
      </rPr>
      <t>）</t>
    </r>
    <phoneticPr fontId="135" type="noConversion"/>
  </si>
  <si>
    <t>办公</t>
    <phoneticPr fontId="135" type="noConversion"/>
  </si>
  <si>
    <r>
      <t>2</t>
    </r>
    <r>
      <rPr>
        <sz val="11"/>
        <color theme="1"/>
        <rFont val="宋体"/>
        <family val="3"/>
        <charset val="134"/>
      </rPr>
      <t>单元</t>
    </r>
    <r>
      <rPr>
        <sz val="11"/>
        <color theme="1"/>
        <rFont val="Arial"/>
        <family val="2"/>
      </rPr>
      <t>701</t>
    </r>
    <phoneticPr fontId="135" type="noConversion"/>
  </si>
  <si>
    <r>
      <t>2</t>
    </r>
    <r>
      <rPr>
        <sz val="11"/>
        <color theme="1"/>
        <rFont val="宋体"/>
        <family val="3"/>
        <charset val="134"/>
      </rPr>
      <t>单元</t>
    </r>
    <r>
      <rPr>
        <sz val="11"/>
        <color theme="1"/>
        <rFont val="Arial"/>
        <family val="2"/>
      </rPr>
      <t>709</t>
    </r>
    <phoneticPr fontId="135" type="noConversion"/>
  </si>
  <si>
    <r>
      <t>2</t>
    </r>
    <r>
      <rPr>
        <sz val="11"/>
        <color theme="1"/>
        <rFont val="宋体"/>
        <family val="3"/>
        <charset val="134"/>
      </rPr>
      <t>单元</t>
    </r>
    <r>
      <rPr>
        <sz val="11"/>
        <color theme="1"/>
        <rFont val="Arial"/>
        <family val="2"/>
      </rPr>
      <t>718</t>
    </r>
    <phoneticPr fontId="135" type="noConversion"/>
  </si>
  <si>
    <r>
      <t>2</t>
    </r>
    <r>
      <rPr>
        <sz val="11"/>
        <color theme="1"/>
        <rFont val="宋体"/>
        <family val="3"/>
        <charset val="134"/>
      </rPr>
      <t>单元</t>
    </r>
    <r>
      <rPr>
        <sz val="11"/>
        <color theme="1"/>
        <rFont val="Arial"/>
        <family val="2"/>
      </rPr>
      <t>719</t>
    </r>
    <phoneticPr fontId="135" type="noConversion"/>
  </si>
  <si>
    <r>
      <t>2</t>
    </r>
    <r>
      <rPr>
        <sz val="11"/>
        <color theme="1"/>
        <rFont val="宋体"/>
        <family val="3"/>
        <charset val="134"/>
      </rPr>
      <t>单元</t>
    </r>
    <r>
      <rPr>
        <sz val="11"/>
        <color theme="1"/>
        <rFont val="Arial"/>
        <family val="2"/>
      </rPr>
      <t>721</t>
    </r>
    <phoneticPr fontId="135" type="noConversion"/>
  </si>
  <si>
    <r>
      <t>2</t>
    </r>
    <r>
      <rPr>
        <sz val="11"/>
        <color theme="1"/>
        <rFont val="宋体"/>
        <family val="3"/>
        <charset val="134"/>
      </rPr>
      <t>单元</t>
    </r>
    <r>
      <rPr>
        <sz val="11"/>
        <color theme="1"/>
        <rFont val="Arial"/>
        <family val="2"/>
      </rPr>
      <t>722</t>
    </r>
    <r>
      <rPr>
        <sz val="11"/>
        <color theme="1"/>
        <rFont val="宋体"/>
        <family val="2"/>
        <charset val="134"/>
        <scheme val="minor"/>
      </rPr>
      <t/>
    </r>
  </si>
  <si>
    <r>
      <t>2</t>
    </r>
    <r>
      <rPr>
        <sz val="11"/>
        <color theme="1"/>
        <rFont val="宋体"/>
        <family val="3"/>
        <charset val="134"/>
      </rPr>
      <t>单元</t>
    </r>
    <r>
      <rPr>
        <sz val="11"/>
        <color theme="1"/>
        <rFont val="Arial"/>
        <family val="2"/>
      </rPr>
      <t>726</t>
    </r>
    <phoneticPr fontId="135" type="noConversion"/>
  </si>
  <si>
    <r>
      <t>2</t>
    </r>
    <r>
      <rPr>
        <sz val="11"/>
        <color theme="1"/>
        <rFont val="宋体"/>
        <family val="3"/>
        <charset val="134"/>
      </rPr>
      <t>单元</t>
    </r>
    <r>
      <rPr>
        <sz val="11"/>
        <color theme="1"/>
        <rFont val="Arial"/>
        <family val="2"/>
      </rPr>
      <t>809</t>
    </r>
    <phoneticPr fontId="135" type="noConversion"/>
  </si>
  <si>
    <r>
      <t>2</t>
    </r>
    <r>
      <rPr>
        <sz val="11"/>
        <color theme="1"/>
        <rFont val="宋体"/>
        <family val="3"/>
        <charset val="134"/>
      </rPr>
      <t>单元</t>
    </r>
    <r>
      <rPr>
        <sz val="11"/>
        <color theme="1"/>
        <rFont val="Arial"/>
        <family val="2"/>
      </rPr>
      <t>810</t>
    </r>
    <r>
      <rPr>
        <sz val="11"/>
        <color theme="1"/>
        <rFont val="宋体"/>
        <family val="2"/>
        <charset val="134"/>
        <scheme val="minor"/>
      </rPr>
      <t/>
    </r>
  </si>
  <si>
    <r>
      <t>2</t>
    </r>
    <r>
      <rPr>
        <sz val="11"/>
        <color theme="1"/>
        <rFont val="宋体"/>
        <family val="3"/>
        <charset val="134"/>
      </rPr>
      <t>单元</t>
    </r>
    <r>
      <rPr>
        <sz val="11"/>
        <color theme="1"/>
        <rFont val="Arial"/>
        <family val="2"/>
      </rPr>
      <t>811</t>
    </r>
    <r>
      <rPr>
        <sz val="11"/>
        <color theme="1"/>
        <rFont val="宋体"/>
        <family val="2"/>
        <charset val="134"/>
        <scheme val="minor"/>
      </rPr>
      <t/>
    </r>
  </si>
  <si>
    <r>
      <t>2</t>
    </r>
    <r>
      <rPr>
        <sz val="11"/>
        <color theme="1"/>
        <rFont val="宋体"/>
        <family val="3"/>
        <charset val="134"/>
      </rPr>
      <t>单元</t>
    </r>
    <r>
      <rPr>
        <sz val="11"/>
        <color theme="1"/>
        <rFont val="Arial"/>
        <family val="2"/>
      </rPr>
      <t>815</t>
    </r>
    <phoneticPr fontId="135" type="noConversion"/>
  </si>
  <si>
    <r>
      <t>2</t>
    </r>
    <r>
      <rPr>
        <sz val="11"/>
        <color theme="1"/>
        <rFont val="宋体"/>
        <family val="3"/>
        <charset val="134"/>
      </rPr>
      <t>单元</t>
    </r>
    <r>
      <rPr>
        <sz val="11"/>
        <color theme="1"/>
        <rFont val="Arial"/>
        <family val="2"/>
      </rPr>
      <t>816</t>
    </r>
    <phoneticPr fontId="135" type="noConversion"/>
  </si>
  <si>
    <r>
      <t>2</t>
    </r>
    <r>
      <rPr>
        <sz val="11"/>
        <color theme="1"/>
        <rFont val="宋体"/>
        <family val="3"/>
        <charset val="134"/>
      </rPr>
      <t>单元</t>
    </r>
    <r>
      <rPr>
        <sz val="11"/>
        <color theme="1"/>
        <rFont val="Arial"/>
        <family val="2"/>
      </rPr>
      <t>817</t>
    </r>
    <r>
      <rPr>
        <sz val="11"/>
        <color theme="1"/>
        <rFont val="宋体"/>
        <family val="2"/>
        <charset val="134"/>
        <scheme val="minor"/>
      </rPr>
      <t/>
    </r>
  </si>
  <si>
    <r>
      <t>2</t>
    </r>
    <r>
      <rPr>
        <sz val="11"/>
        <color theme="1"/>
        <rFont val="宋体"/>
        <family val="3"/>
        <charset val="134"/>
      </rPr>
      <t>单元</t>
    </r>
    <r>
      <rPr>
        <sz val="11"/>
        <color theme="1"/>
        <rFont val="Arial"/>
        <family val="2"/>
      </rPr>
      <t>901</t>
    </r>
    <phoneticPr fontId="135" type="noConversion"/>
  </si>
  <si>
    <r>
      <t>2</t>
    </r>
    <r>
      <rPr>
        <sz val="11"/>
        <color theme="1"/>
        <rFont val="宋体"/>
        <family val="3"/>
        <charset val="134"/>
      </rPr>
      <t>单元</t>
    </r>
    <r>
      <rPr>
        <sz val="11"/>
        <color theme="1"/>
        <rFont val="Arial"/>
        <family val="2"/>
      </rPr>
      <t>909</t>
    </r>
    <phoneticPr fontId="135" type="noConversion"/>
  </si>
  <si>
    <r>
      <t>2</t>
    </r>
    <r>
      <rPr>
        <sz val="11"/>
        <color theme="1"/>
        <rFont val="宋体"/>
        <family val="3"/>
        <charset val="134"/>
      </rPr>
      <t>单元</t>
    </r>
    <r>
      <rPr>
        <sz val="11"/>
        <color theme="1"/>
        <rFont val="Arial"/>
        <family val="2"/>
      </rPr>
      <t>910</t>
    </r>
    <r>
      <rPr>
        <sz val="11"/>
        <color theme="1"/>
        <rFont val="宋体"/>
        <family val="2"/>
        <charset val="134"/>
        <scheme val="minor"/>
      </rPr>
      <t/>
    </r>
  </si>
  <si>
    <r>
      <t>2</t>
    </r>
    <r>
      <rPr>
        <sz val="11"/>
        <color theme="1"/>
        <rFont val="宋体"/>
        <family val="3"/>
        <charset val="134"/>
      </rPr>
      <t>单元</t>
    </r>
    <r>
      <rPr>
        <sz val="11"/>
        <color theme="1"/>
        <rFont val="Arial"/>
        <family val="2"/>
      </rPr>
      <t>911</t>
    </r>
    <r>
      <rPr>
        <sz val="11"/>
        <color theme="1"/>
        <rFont val="宋体"/>
        <family val="2"/>
        <charset val="134"/>
        <scheme val="minor"/>
      </rPr>
      <t/>
    </r>
  </si>
  <si>
    <r>
      <t>2</t>
    </r>
    <r>
      <rPr>
        <sz val="11"/>
        <color theme="1"/>
        <rFont val="宋体"/>
        <family val="3"/>
        <charset val="134"/>
      </rPr>
      <t>单元</t>
    </r>
    <r>
      <rPr>
        <sz val="11"/>
        <color theme="1"/>
        <rFont val="Arial"/>
        <family val="2"/>
      </rPr>
      <t>916</t>
    </r>
    <phoneticPr fontId="135" type="noConversion"/>
  </si>
  <si>
    <r>
      <t>2</t>
    </r>
    <r>
      <rPr>
        <sz val="11"/>
        <color theme="1"/>
        <rFont val="宋体"/>
        <family val="3"/>
        <charset val="134"/>
      </rPr>
      <t>单元</t>
    </r>
    <r>
      <rPr>
        <sz val="11"/>
        <color theme="1"/>
        <rFont val="Arial"/>
        <family val="2"/>
      </rPr>
      <t>1003</t>
    </r>
    <phoneticPr fontId="135" type="noConversion"/>
  </si>
  <si>
    <r>
      <t>2</t>
    </r>
    <r>
      <rPr>
        <sz val="11"/>
        <color theme="1"/>
        <rFont val="宋体"/>
        <family val="3"/>
        <charset val="134"/>
      </rPr>
      <t>单元</t>
    </r>
    <r>
      <rPr>
        <sz val="11"/>
        <color theme="1"/>
        <rFont val="Arial"/>
        <family val="2"/>
      </rPr>
      <t>1005</t>
    </r>
    <phoneticPr fontId="135" type="noConversion"/>
  </si>
  <si>
    <r>
      <t>2</t>
    </r>
    <r>
      <rPr>
        <sz val="11"/>
        <color theme="1"/>
        <rFont val="宋体"/>
        <family val="3"/>
        <charset val="134"/>
      </rPr>
      <t>单元</t>
    </r>
    <r>
      <rPr>
        <sz val="11"/>
        <color theme="1"/>
        <rFont val="Arial"/>
        <family val="2"/>
      </rPr>
      <t>1007</t>
    </r>
    <phoneticPr fontId="135" type="noConversion"/>
  </si>
  <si>
    <r>
      <t>2</t>
    </r>
    <r>
      <rPr>
        <sz val="11"/>
        <color theme="1"/>
        <rFont val="宋体"/>
        <family val="3"/>
        <charset val="134"/>
      </rPr>
      <t>单元</t>
    </r>
    <r>
      <rPr>
        <sz val="11"/>
        <color theme="1"/>
        <rFont val="Arial"/>
        <family val="2"/>
      </rPr>
      <t>1009</t>
    </r>
    <phoneticPr fontId="135" type="noConversion"/>
  </si>
  <si>
    <r>
      <t>2</t>
    </r>
    <r>
      <rPr>
        <sz val="11"/>
        <color theme="1"/>
        <rFont val="宋体"/>
        <family val="3"/>
        <charset val="134"/>
      </rPr>
      <t>单元</t>
    </r>
    <r>
      <rPr>
        <sz val="11"/>
        <color theme="1"/>
        <rFont val="Arial"/>
        <family val="2"/>
      </rPr>
      <t>1010</t>
    </r>
    <phoneticPr fontId="135" type="noConversion"/>
  </si>
  <si>
    <r>
      <t>2</t>
    </r>
    <r>
      <rPr>
        <sz val="11"/>
        <color theme="1"/>
        <rFont val="宋体"/>
        <family val="3"/>
        <charset val="134"/>
      </rPr>
      <t>单元</t>
    </r>
    <r>
      <rPr>
        <sz val="11"/>
        <color theme="1"/>
        <rFont val="Arial"/>
        <family val="2"/>
      </rPr>
      <t>1011</t>
    </r>
    <r>
      <rPr>
        <sz val="11"/>
        <color theme="1"/>
        <rFont val="宋体"/>
        <family val="2"/>
        <charset val="134"/>
        <scheme val="minor"/>
      </rPr>
      <t/>
    </r>
  </si>
  <si>
    <r>
      <t>2</t>
    </r>
    <r>
      <rPr>
        <sz val="11"/>
        <color theme="1"/>
        <rFont val="宋体"/>
        <family val="3"/>
        <charset val="134"/>
      </rPr>
      <t>单元</t>
    </r>
    <r>
      <rPr>
        <sz val="11"/>
        <color theme="1"/>
        <rFont val="Arial"/>
        <family val="2"/>
      </rPr>
      <t>1012</t>
    </r>
    <r>
      <rPr>
        <sz val="11"/>
        <color theme="1"/>
        <rFont val="宋体"/>
        <family val="2"/>
        <charset val="134"/>
        <scheme val="minor"/>
      </rPr>
      <t/>
    </r>
  </si>
  <si>
    <r>
      <t>2</t>
    </r>
    <r>
      <rPr>
        <sz val="11"/>
        <color theme="1"/>
        <rFont val="宋体"/>
        <family val="3"/>
        <charset val="134"/>
      </rPr>
      <t>单元</t>
    </r>
    <r>
      <rPr>
        <sz val="11"/>
        <color theme="1"/>
        <rFont val="Arial"/>
        <family val="2"/>
      </rPr>
      <t>1016</t>
    </r>
    <r>
      <rPr>
        <sz val="11"/>
        <color theme="1"/>
        <rFont val="宋体"/>
        <family val="2"/>
        <charset val="134"/>
        <scheme val="minor"/>
      </rPr>
      <t/>
    </r>
  </si>
  <si>
    <r>
      <t>2</t>
    </r>
    <r>
      <rPr>
        <sz val="11"/>
        <color theme="1"/>
        <rFont val="宋体"/>
        <family val="3"/>
        <charset val="134"/>
      </rPr>
      <t>单元</t>
    </r>
    <r>
      <rPr>
        <sz val="11"/>
        <color theme="1"/>
        <rFont val="Arial"/>
        <family val="2"/>
      </rPr>
      <t>1015</t>
    </r>
    <phoneticPr fontId="135" type="noConversion"/>
  </si>
  <si>
    <r>
      <t>2</t>
    </r>
    <r>
      <rPr>
        <sz val="11"/>
        <color theme="1"/>
        <rFont val="宋体"/>
        <family val="3"/>
        <charset val="134"/>
      </rPr>
      <t>单元</t>
    </r>
    <r>
      <rPr>
        <sz val="11"/>
        <color theme="1"/>
        <rFont val="Arial"/>
        <family val="2"/>
      </rPr>
      <t>1017</t>
    </r>
    <r>
      <rPr>
        <sz val="11"/>
        <color theme="1"/>
        <rFont val="宋体"/>
        <family val="2"/>
        <charset val="134"/>
        <scheme val="minor"/>
      </rPr>
      <t/>
    </r>
  </si>
  <si>
    <r>
      <t>2</t>
    </r>
    <r>
      <rPr>
        <sz val="11"/>
        <color theme="1"/>
        <rFont val="宋体"/>
        <family val="3"/>
        <charset val="134"/>
      </rPr>
      <t>单元</t>
    </r>
    <r>
      <rPr>
        <sz val="11"/>
        <color theme="1"/>
        <rFont val="Arial"/>
        <family val="2"/>
      </rPr>
      <t>1107</t>
    </r>
    <phoneticPr fontId="135" type="noConversion"/>
  </si>
  <si>
    <r>
      <t>2</t>
    </r>
    <r>
      <rPr>
        <sz val="11"/>
        <color theme="1"/>
        <rFont val="宋体"/>
        <family val="3"/>
        <charset val="134"/>
      </rPr>
      <t>单元</t>
    </r>
    <r>
      <rPr>
        <sz val="11"/>
        <color theme="1"/>
        <rFont val="Arial"/>
        <family val="2"/>
      </rPr>
      <t>1112</t>
    </r>
    <phoneticPr fontId="135" type="noConversion"/>
  </si>
  <si>
    <r>
      <t>2</t>
    </r>
    <r>
      <rPr>
        <sz val="11"/>
        <color theme="1"/>
        <rFont val="宋体"/>
        <family val="3"/>
        <charset val="134"/>
      </rPr>
      <t>单元</t>
    </r>
    <r>
      <rPr>
        <sz val="11"/>
        <color theme="1"/>
        <rFont val="Arial"/>
        <family val="2"/>
      </rPr>
      <t>1207</t>
    </r>
    <phoneticPr fontId="135" type="noConversion"/>
  </si>
  <si>
    <r>
      <t>2</t>
    </r>
    <r>
      <rPr>
        <sz val="11"/>
        <color theme="1"/>
        <rFont val="宋体"/>
        <family val="3"/>
        <charset val="134"/>
      </rPr>
      <t>单元</t>
    </r>
    <r>
      <rPr>
        <sz val="11"/>
        <color theme="1"/>
        <rFont val="Arial"/>
        <family val="2"/>
      </rPr>
      <t>1208</t>
    </r>
    <r>
      <rPr>
        <sz val="11"/>
        <color theme="1"/>
        <rFont val="宋体"/>
        <family val="2"/>
        <charset val="134"/>
        <scheme val="minor"/>
      </rPr>
      <t/>
    </r>
  </si>
  <si>
    <r>
      <t>2</t>
    </r>
    <r>
      <rPr>
        <sz val="11"/>
        <color theme="1"/>
        <rFont val="宋体"/>
        <family val="3"/>
        <charset val="134"/>
      </rPr>
      <t>单元</t>
    </r>
    <r>
      <rPr>
        <sz val="11"/>
        <color theme="1"/>
        <rFont val="Arial"/>
        <family val="2"/>
      </rPr>
      <t>1210</t>
    </r>
    <phoneticPr fontId="135" type="noConversion"/>
  </si>
  <si>
    <r>
      <t>2</t>
    </r>
    <r>
      <rPr>
        <sz val="11"/>
        <color theme="1"/>
        <rFont val="宋体"/>
        <family val="3"/>
        <charset val="134"/>
      </rPr>
      <t>单元</t>
    </r>
    <r>
      <rPr>
        <sz val="11"/>
        <color theme="1"/>
        <rFont val="Arial"/>
        <family val="2"/>
      </rPr>
      <t>1212</t>
    </r>
    <phoneticPr fontId="135" type="noConversion"/>
  </si>
  <si>
    <r>
      <t>2</t>
    </r>
    <r>
      <rPr>
        <sz val="11"/>
        <color theme="1"/>
        <rFont val="宋体"/>
        <family val="3"/>
        <charset val="134"/>
      </rPr>
      <t>单元</t>
    </r>
    <r>
      <rPr>
        <sz val="11"/>
        <color theme="1"/>
        <rFont val="Arial"/>
        <family val="2"/>
      </rPr>
      <t>1216</t>
    </r>
    <phoneticPr fontId="135" type="noConversion"/>
  </si>
  <si>
    <r>
      <t>2</t>
    </r>
    <r>
      <rPr>
        <sz val="11"/>
        <color theme="1"/>
        <rFont val="宋体"/>
        <family val="3"/>
        <charset val="134"/>
      </rPr>
      <t>单元</t>
    </r>
    <r>
      <rPr>
        <sz val="11"/>
        <color theme="1"/>
        <rFont val="Arial"/>
        <family val="2"/>
      </rPr>
      <t>1217</t>
    </r>
    <r>
      <rPr>
        <sz val="11"/>
        <color theme="1"/>
        <rFont val="宋体"/>
        <family val="2"/>
        <charset val="134"/>
        <scheme val="minor"/>
      </rPr>
      <t/>
    </r>
  </si>
  <si>
    <r>
      <t>2</t>
    </r>
    <r>
      <rPr>
        <sz val="11"/>
        <color theme="1"/>
        <rFont val="宋体"/>
        <family val="3"/>
        <charset val="134"/>
      </rPr>
      <t>单元</t>
    </r>
    <r>
      <rPr>
        <sz val="11"/>
        <color theme="1"/>
        <rFont val="Arial"/>
        <family val="2"/>
      </rPr>
      <t>1602</t>
    </r>
    <phoneticPr fontId="135" type="noConversion"/>
  </si>
  <si>
    <r>
      <t>2</t>
    </r>
    <r>
      <rPr>
        <sz val="11"/>
        <color theme="1"/>
        <rFont val="宋体"/>
        <family val="3"/>
        <charset val="134"/>
      </rPr>
      <t>单元</t>
    </r>
    <r>
      <rPr>
        <sz val="11"/>
        <color theme="1"/>
        <rFont val="Arial"/>
        <family val="2"/>
      </rPr>
      <t>1603</t>
    </r>
    <r>
      <rPr>
        <sz val="11"/>
        <color theme="1"/>
        <rFont val="宋体"/>
        <family val="2"/>
        <charset val="134"/>
        <scheme val="minor"/>
      </rPr>
      <t/>
    </r>
  </si>
  <si>
    <r>
      <t>2</t>
    </r>
    <r>
      <rPr>
        <sz val="11"/>
        <color theme="1"/>
        <rFont val="宋体"/>
        <family val="3"/>
        <charset val="134"/>
      </rPr>
      <t>单元</t>
    </r>
    <r>
      <rPr>
        <sz val="11"/>
        <color theme="1"/>
        <rFont val="Arial"/>
        <family val="2"/>
      </rPr>
      <t>1605</t>
    </r>
    <phoneticPr fontId="135" type="noConversion"/>
  </si>
  <si>
    <r>
      <t>2</t>
    </r>
    <r>
      <rPr>
        <sz val="11"/>
        <color theme="1"/>
        <rFont val="宋体"/>
        <family val="3"/>
        <charset val="134"/>
      </rPr>
      <t>单元</t>
    </r>
    <r>
      <rPr>
        <sz val="11"/>
        <color theme="1"/>
        <rFont val="Arial"/>
        <family val="2"/>
      </rPr>
      <t>1606</t>
    </r>
    <r>
      <rPr>
        <sz val="11"/>
        <color theme="1"/>
        <rFont val="宋体"/>
        <family val="2"/>
        <charset val="134"/>
        <scheme val="minor"/>
      </rPr>
      <t/>
    </r>
  </si>
  <si>
    <r>
      <t>2</t>
    </r>
    <r>
      <rPr>
        <sz val="11"/>
        <color theme="1"/>
        <rFont val="宋体"/>
        <family val="3"/>
        <charset val="134"/>
      </rPr>
      <t>单元</t>
    </r>
    <r>
      <rPr>
        <sz val="11"/>
        <color theme="1"/>
        <rFont val="Arial"/>
        <family val="2"/>
      </rPr>
      <t>1607</t>
    </r>
    <r>
      <rPr>
        <sz val="11"/>
        <color theme="1"/>
        <rFont val="宋体"/>
        <family val="2"/>
        <charset val="134"/>
        <scheme val="minor"/>
      </rPr>
      <t/>
    </r>
  </si>
  <si>
    <r>
      <t>2</t>
    </r>
    <r>
      <rPr>
        <sz val="11"/>
        <color theme="1"/>
        <rFont val="宋体"/>
        <family val="3"/>
        <charset val="134"/>
      </rPr>
      <t>单元</t>
    </r>
    <r>
      <rPr>
        <sz val="11"/>
        <color theme="1"/>
        <rFont val="Arial"/>
        <family val="2"/>
      </rPr>
      <t>1608</t>
    </r>
    <r>
      <rPr>
        <sz val="11"/>
        <color theme="1"/>
        <rFont val="宋体"/>
        <family val="2"/>
        <charset val="134"/>
        <scheme val="minor"/>
      </rPr>
      <t/>
    </r>
  </si>
  <si>
    <r>
      <t>2</t>
    </r>
    <r>
      <rPr>
        <sz val="11"/>
        <color theme="1"/>
        <rFont val="宋体"/>
        <family val="3"/>
        <charset val="134"/>
      </rPr>
      <t>单元</t>
    </r>
    <r>
      <rPr>
        <sz val="11"/>
        <color theme="1"/>
        <rFont val="Arial"/>
        <family val="2"/>
      </rPr>
      <t>1610</t>
    </r>
    <r>
      <rPr>
        <sz val="11"/>
        <color theme="1"/>
        <rFont val="宋体"/>
        <family val="2"/>
        <charset val="134"/>
        <scheme val="minor"/>
      </rPr>
      <t/>
    </r>
  </si>
  <si>
    <r>
      <t>2</t>
    </r>
    <r>
      <rPr>
        <sz val="11"/>
        <color theme="1"/>
        <rFont val="宋体"/>
        <family val="3"/>
        <charset val="134"/>
      </rPr>
      <t>单元</t>
    </r>
    <r>
      <rPr>
        <sz val="11"/>
        <color theme="1"/>
        <rFont val="Arial"/>
        <family val="2"/>
      </rPr>
      <t>1611</t>
    </r>
    <phoneticPr fontId="135" type="noConversion"/>
  </si>
  <si>
    <r>
      <t>2</t>
    </r>
    <r>
      <rPr>
        <sz val="11"/>
        <color theme="1"/>
        <rFont val="宋体"/>
        <family val="3"/>
        <charset val="134"/>
      </rPr>
      <t>单元</t>
    </r>
    <r>
      <rPr>
        <sz val="11"/>
        <color theme="1"/>
        <rFont val="Arial"/>
        <family val="2"/>
      </rPr>
      <t>1612</t>
    </r>
    <phoneticPr fontId="135" type="noConversion"/>
  </si>
  <si>
    <r>
      <t>2</t>
    </r>
    <r>
      <rPr>
        <sz val="11"/>
        <color theme="1"/>
        <rFont val="宋体"/>
        <family val="3"/>
        <charset val="134"/>
      </rPr>
      <t>单元</t>
    </r>
    <r>
      <rPr>
        <sz val="11"/>
        <color theme="1"/>
        <rFont val="Arial"/>
        <family val="2"/>
      </rPr>
      <t>1703</t>
    </r>
    <r>
      <rPr>
        <sz val="11"/>
        <color theme="1"/>
        <rFont val="宋体"/>
        <family val="2"/>
        <charset val="134"/>
        <scheme val="minor"/>
      </rPr>
      <t/>
    </r>
    <phoneticPr fontId="135" type="noConversion"/>
  </si>
  <si>
    <r>
      <t>2</t>
    </r>
    <r>
      <rPr>
        <sz val="11"/>
        <color theme="1"/>
        <rFont val="宋体"/>
        <family val="3"/>
        <charset val="134"/>
      </rPr>
      <t>单元</t>
    </r>
    <r>
      <rPr>
        <sz val="11"/>
        <color theme="1"/>
        <rFont val="Arial"/>
        <family val="2"/>
      </rPr>
      <t>1707</t>
    </r>
    <r>
      <rPr>
        <sz val="11"/>
        <color theme="1"/>
        <rFont val="宋体"/>
        <family val="2"/>
        <charset val="134"/>
        <scheme val="minor"/>
      </rPr>
      <t/>
    </r>
  </si>
  <si>
    <r>
      <t>2</t>
    </r>
    <r>
      <rPr>
        <sz val="11"/>
        <color theme="1"/>
        <rFont val="宋体"/>
        <family val="3"/>
        <charset val="134"/>
      </rPr>
      <t>单元</t>
    </r>
    <r>
      <rPr>
        <sz val="11"/>
        <color theme="1"/>
        <rFont val="Arial"/>
        <family val="2"/>
      </rPr>
      <t>1708</t>
    </r>
    <r>
      <rPr>
        <sz val="11"/>
        <color theme="1"/>
        <rFont val="宋体"/>
        <family val="2"/>
        <charset val="134"/>
        <scheme val="minor"/>
      </rPr>
      <t/>
    </r>
  </si>
  <si>
    <r>
      <t>2</t>
    </r>
    <r>
      <rPr>
        <sz val="11"/>
        <color theme="1"/>
        <rFont val="宋体"/>
        <family val="3"/>
        <charset val="134"/>
      </rPr>
      <t>单元</t>
    </r>
    <r>
      <rPr>
        <sz val="11"/>
        <color theme="1"/>
        <rFont val="Arial"/>
        <family val="2"/>
      </rPr>
      <t>1710</t>
    </r>
    <phoneticPr fontId="135" type="noConversion"/>
  </si>
  <si>
    <r>
      <t>2</t>
    </r>
    <r>
      <rPr>
        <sz val="11"/>
        <color theme="1"/>
        <rFont val="宋体"/>
        <family val="3"/>
        <charset val="134"/>
      </rPr>
      <t>单元</t>
    </r>
    <r>
      <rPr>
        <sz val="11"/>
        <color theme="1"/>
        <rFont val="Arial"/>
        <family val="2"/>
      </rPr>
      <t>1711</t>
    </r>
    <r>
      <rPr>
        <sz val="11"/>
        <color theme="1"/>
        <rFont val="宋体"/>
        <family val="2"/>
        <charset val="134"/>
        <scheme val="minor"/>
      </rPr>
      <t/>
    </r>
  </si>
  <si>
    <r>
      <t>2</t>
    </r>
    <r>
      <rPr>
        <sz val="11"/>
        <color theme="1"/>
        <rFont val="宋体"/>
        <family val="3"/>
        <charset val="134"/>
      </rPr>
      <t>单元</t>
    </r>
    <r>
      <rPr>
        <sz val="11"/>
        <color theme="1"/>
        <rFont val="Arial"/>
        <family val="2"/>
      </rPr>
      <t>1712</t>
    </r>
    <r>
      <rPr>
        <sz val="11"/>
        <color theme="1"/>
        <rFont val="宋体"/>
        <family val="2"/>
        <charset val="134"/>
        <scheme val="minor"/>
      </rPr>
      <t/>
    </r>
  </si>
  <si>
    <r>
      <t>2</t>
    </r>
    <r>
      <rPr>
        <sz val="11"/>
        <color theme="1"/>
        <rFont val="宋体"/>
        <family val="3"/>
        <charset val="134"/>
      </rPr>
      <t>单元</t>
    </r>
    <r>
      <rPr>
        <sz val="11"/>
        <color theme="1"/>
        <rFont val="Arial"/>
        <family val="2"/>
      </rPr>
      <t>1716</t>
    </r>
    <phoneticPr fontId="135" type="noConversion"/>
  </si>
  <si>
    <r>
      <t>2</t>
    </r>
    <r>
      <rPr>
        <sz val="11"/>
        <color theme="1"/>
        <rFont val="宋体"/>
        <family val="3"/>
        <charset val="134"/>
      </rPr>
      <t>单元</t>
    </r>
    <r>
      <rPr>
        <sz val="11"/>
        <color theme="1"/>
        <rFont val="Arial"/>
        <family val="2"/>
      </rPr>
      <t>1717</t>
    </r>
    <phoneticPr fontId="135" type="noConversion"/>
  </si>
  <si>
    <t>办公</t>
    <phoneticPr fontId="135" type="noConversion"/>
  </si>
  <si>
    <r>
      <t>2</t>
    </r>
    <r>
      <rPr>
        <sz val="11"/>
        <color theme="1"/>
        <rFont val="宋体"/>
        <family val="3"/>
        <charset val="134"/>
      </rPr>
      <t>单元</t>
    </r>
    <r>
      <rPr>
        <sz val="11"/>
        <color theme="1"/>
        <rFont val="Arial"/>
        <family val="2"/>
      </rPr>
      <t>1801</t>
    </r>
    <phoneticPr fontId="135" type="noConversion"/>
  </si>
  <si>
    <r>
      <t>2</t>
    </r>
    <r>
      <rPr>
        <sz val="11"/>
        <color theme="1"/>
        <rFont val="宋体"/>
        <family val="3"/>
        <charset val="134"/>
      </rPr>
      <t>单元</t>
    </r>
    <r>
      <rPr>
        <sz val="11"/>
        <color theme="1"/>
        <rFont val="Arial"/>
        <family val="2"/>
      </rPr>
      <t>1805</t>
    </r>
    <phoneticPr fontId="135" type="noConversion"/>
  </si>
  <si>
    <r>
      <t>2</t>
    </r>
    <r>
      <rPr>
        <sz val="11"/>
        <color theme="1"/>
        <rFont val="宋体"/>
        <family val="3"/>
        <charset val="134"/>
      </rPr>
      <t>单元</t>
    </r>
    <r>
      <rPr>
        <sz val="11"/>
        <color theme="1"/>
        <rFont val="Arial"/>
        <family val="2"/>
      </rPr>
      <t>1806</t>
    </r>
    <r>
      <rPr>
        <sz val="11"/>
        <color theme="1"/>
        <rFont val="宋体"/>
        <family val="2"/>
        <charset val="134"/>
        <scheme val="minor"/>
      </rPr>
      <t/>
    </r>
  </si>
  <si>
    <r>
      <t>2</t>
    </r>
    <r>
      <rPr>
        <sz val="11"/>
        <color theme="1"/>
        <rFont val="宋体"/>
        <family val="3"/>
        <charset val="134"/>
      </rPr>
      <t>单元</t>
    </r>
    <r>
      <rPr>
        <sz val="11"/>
        <color theme="1"/>
        <rFont val="Arial"/>
        <family val="2"/>
      </rPr>
      <t>1807</t>
    </r>
    <r>
      <rPr>
        <sz val="11"/>
        <color theme="1"/>
        <rFont val="宋体"/>
        <family val="2"/>
        <charset val="134"/>
        <scheme val="minor"/>
      </rPr>
      <t/>
    </r>
  </si>
  <si>
    <r>
      <t>2</t>
    </r>
    <r>
      <rPr>
        <sz val="11"/>
        <color theme="1"/>
        <rFont val="宋体"/>
        <family val="3"/>
        <charset val="134"/>
      </rPr>
      <t>单元</t>
    </r>
    <r>
      <rPr>
        <sz val="11"/>
        <color theme="1"/>
        <rFont val="Arial"/>
        <family val="2"/>
      </rPr>
      <t>1808</t>
    </r>
    <r>
      <rPr>
        <sz val="11"/>
        <color theme="1"/>
        <rFont val="宋体"/>
        <family val="2"/>
        <charset val="134"/>
        <scheme val="minor"/>
      </rPr>
      <t/>
    </r>
  </si>
  <si>
    <r>
      <t>2</t>
    </r>
    <r>
      <rPr>
        <sz val="11"/>
        <color theme="1"/>
        <rFont val="宋体"/>
        <family val="3"/>
        <charset val="134"/>
      </rPr>
      <t>单元</t>
    </r>
    <r>
      <rPr>
        <sz val="11"/>
        <color theme="1"/>
        <rFont val="Arial"/>
        <family val="2"/>
      </rPr>
      <t>1810</t>
    </r>
    <phoneticPr fontId="135" type="noConversion"/>
  </si>
  <si>
    <r>
      <t>6</t>
    </r>
    <r>
      <rPr>
        <sz val="11"/>
        <color theme="1"/>
        <rFont val="宋体"/>
        <family val="3"/>
        <charset val="134"/>
      </rPr>
      <t>单元</t>
    </r>
    <r>
      <rPr>
        <sz val="11"/>
        <color theme="1"/>
        <rFont val="Arial"/>
        <family val="2"/>
      </rPr>
      <t>201</t>
    </r>
    <phoneticPr fontId="135" type="noConversion"/>
  </si>
  <si>
    <r>
      <t>6</t>
    </r>
    <r>
      <rPr>
        <sz val="11"/>
        <color theme="1"/>
        <rFont val="宋体"/>
        <family val="3"/>
        <charset val="134"/>
      </rPr>
      <t>单元</t>
    </r>
    <r>
      <rPr>
        <sz val="11"/>
        <color theme="1"/>
        <rFont val="Arial"/>
        <family val="2"/>
      </rPr>
      <t>202</t>
    </r>
    <r>
      <rPr>
        <sz val="11"/>
        <color theme="1"/>
        <rFont val="宋体"/>
        <family val="2"/>
        <charset val="134"/>
        <scheme val="minor"/>
      </rPr>
      <t/>
    </r>
  </si>
  <si>
    <r>
      <t>6</t>
    </r>
    <r>
      <rPr>
        <sz val="11"/>
        <color theme="1"/>
        <rFont val="宋体"/>
        <family val="3"/>
        <charset val="134"/>
      </rPr>
      <t>单元</t>
    </r>
    <r>
      <rPr>
        <sz val="11"/>
        <color theme="1"/>
        <rFont val="Arial"/>
        <family val="2"/>
      </rPr>
      <t>203</t>
    </r>
    <r>
      <rPr>
        <sz val="11"/>
        <color theme="1"/>
        <rFont val="宋体"/>
        <family val="2"/>
        <charset val="134"/>
        <scheme val="minor"/>
      </rPr>
      <t/>
    </r>
  </si>
  <si>
    <r>
      <t>6</t>
    </r>
    <r>
      <rPr>
        <sz val="11"/>
        <color theme="1"/>
        <rFont val="宋体"/>
        <family val="3"/>
        <charset val="134"/>
      </rPr>
      <t>单元</t>
    </r>
    <r>
      <rPr>
        <sz val="11"/>
        <color theme="1"/>
        <rFont val="Arial"/>
        <family val="2"/>
      </rPr>
      <t>205</t>
    </r>
    <r>
      <rPr>
        <sz val="11"/>
        <color theme="1"/>
        <rFont val="宋体"/>
        <family val="2"/>
        <charset val="134"/>
        <scheme val="minor"/>
      </rPr>
      <t/>
    </r>
  </si>
  <si>
    <r>
      <t>6</t>
    </r>
    <r>
      <rPr>
        <sz val="11"/>
        <color theme="1"/>
        <rFont val="宋体"/>
        <family val="3"/>
        <charset val="134"/>
      </rPr>
      <t>单元</t>
    </r>
    <r>
      <rPr>
        <sz val="11"/>
        <color theme="1"/>
        <rFont val="Arial"/>
        <family val="2"/>
      </rPr>
      <t>206</t>
    </r>
    <r>
      <rPr>
        <sz val="11"/>
        <color theme="1"/>
        <rFont val="宋体"/>
        <family val="2"/>
        <charset val="134"/>
        <scheme val="minor"/>
      </rPr>
      <t/>
    </r>
  </si>
  <si>
    <r>
      <t>6</t>
    </r>
    <r>
      <rPr>
        <sz val="11"/>
        <color theme="1"/>
        <rFont val="宋体"/>
        <family val="3"/>
        <charset val="134"/>
      </rPr>
      <t>单元</t>
    </r>
    <r>
      <rPr>
        <sz val="11"/>
        <color theme="1"/>
        <rFont val="Arial"/>
        <family val="2"/>
      </rPr>
      <t>207</t>
    </r>
    <r>
      <rPr>
        <sz val="11"/>
        <color theme="1"/>
        <rFont val="宋体"/>
        <family val="2"/>
        <charset val="134"/>
        <scheme val="minor"/>
      </rPr>
      <t/>
    </r>
  </si>
  <si>
    <r>
      <t>6</t>
    </r>
    <r>
      <rPr>
        <sz val="11"/>
        <color theme="1"/>
        <rFont val="宋体"/>
        <family val="3"/>
        <charset val="134"/>
      </rPr>
      <t>单元</t>
    </r>
    <r>
      <rPr>
        <sz val="11"/>
        <color theme="1"/>
        <rFont val="Arial"/>
        <family val="2"/>
      </rPr>
      <t>208</t>
    </r>
    <r>
      <rPr>
        <sz val="11"/>
        <color theme="1"/>
        <rFont val="宋体"/>
        <family val="2"/>
        <charset val="134"/>
        <scheme val="minor"/>
      </rPr>
      <t/>
    </r>
  </si>
  <si>
    <r>
      <t>6</t>
    </r>
    <r>
      <rPr>
        <sz val="11"/>
        <color theme="1"/>
        <rFont val="宋体"/>
        <family val="3"/>
        <charset val="134"/>
      </rPr>
      <t>单元</t>
    </r>
    <r>
      <rPr>
        <sz val="11"/>
        <color theme="1"/>
        <rFont val="Arial"/>
        <family val="2"/>
      </rPr>
      <t>209</t>
    </r>
    <r>
      <rPr>
        <sz val="11"/>
        <color theme="1"/>
        <rFont val="宋体"/>
        <family val="2"/>
        <charset val="134"/>
        <scheme val="minor"/>
      </rPr>
      <t/>
    </r>
  </si>
  <si>
    <r>
      <t>6</t>
    </r>
    <r>
      <rPr>
        <sz val="11"/>
        <color theme="1"/>
        <rFont val="宋体"/>
        <family val="3"/>
        <charset val="134"/>
      </rPr>
      <t>单元</t>
    </r>
    <r>
      <rPr>
        <sz val="11"/>
        <color theme="1"/>
        <rFont val="Arial"/>
        <family val="2"/>
      </rPr>
      <t>808</t>
    </r>
    <phoneticPr fontId="135" type="noConversion"/>
  </si>
  <si>
    <r>
      <t>6</t>
    </r>
    <r>
      <rPr>
        <sz val="11"/>
        <color theme="1"/>
        <rFont val="宋体"/>
        <family val="3"/>
        <charset val="134"/>
      </rPr>
      <t>单元</t>
    </r>
    <r>
      <rPr>
        <sz val="11"/>
        <color theme="1"/>
        <rFont val="Arial"/>
        <family val="2"/>
      </rPr>
      <t>1101</t>
    </r>
    <phoneticPr fontId="135" type="noConversion"/>
  </si>
  <si>
    <r>
      <t>6</t>
    </r>
    <r>
      <rPr>
        <sz val="11"/>
        <color theme="1"/>
        <rFont val="宋体"/>
        <family val="3"/>
        <charset val="134"/>
      </rPr>
      <t>单元</t>
    </r>
    <r>
      <rPr>
        <sz val="11"/>
        <color theme="1"/>
        <rFont val="Arial"/>
        <family val="2"/>
      </rPr>
      <t>1102</t>
    </r>
    <r>
      <rPr>
        <sz val="11"/>
        <color theme="1"/>
        <rFont val="宋体"/>
        <family val="2"/>
        <charset val="134"/>
        <scheme val="minor"/>
      </rPr>
      <t/>
    </r>
  </si>
  <si>
    <r>
      <t>6</t>
    </r>
    <r>
      <rPr>
        <sz val="11"/>
        <color theme="1"/>
        <rFont val="宋体"/>
        <family val="3"/>
        <charset val="134"/>
      </rPr>
      <t>单元</t>
    </r>
    <r>
      <rPr>
        <sz val="11"/>
        <color theme="1"/>
        <rFont val="Arial"/>
        <family val="2"/>
      </rPr>
      <t>1103</t>
    </r>
    <r>
      <rPr>
        <sz val="11"/>
        <color theme="1"/>
        <rFont val="宋体"/>
        <family val="2"/>
        <charset val="134"/>
        <scheme val="minor"/>
      </rPr>
      <t/>
    </r>
  </si>
  <si>
    <r>
      <t>6</t>
    </r>
    <r>
      <rPr>
        <sz val="11"/>
        <color theme="1"/>
        <rFont val="宋体"/>
        <family val="3"/>
        <charset val="134"/>
      </rPr>
      <t>单元</t>
    </r>
    <r>
      <rPr>
        <sz val="11"/>
        <color theme="1"/>
        <rFont val="Arial"/>
        <family val="2"/>
      </rPr>
      <t>1105</t>
    </r>
    <r>
      <rPr>
        <sz val="11"/>
        <color theme="1"/>
        <rFont val="宋体"/>
        <family val="2"/>
        <charset val="134"/>
        <scheme val="minor"/>
      </rPr>
      <t/>
    </r>
  </si>
  <si>
    <r>
      <t>6</t>
    </r>
    <r>
      <rPr>
        <sz val="11"/>
        <color theme="1"/>
        <rFont val="宋体"/>
        <family val="3"/>
        <charset val="134"/>
      </rPr>
      <t>单元</t>
    </r>
    <r>
      <rPr>
        <sz val="11"/>
        <color theme="1"/>
        <rFont val="Arial"/>
        <family val="2"/>
      </rPr>
      <t>1106</t>
    </r>
    <r>
      <rPr>
        <sz val="11"/>
        <color theme="1"/>
        <rFont val="宋体"/>
        <family val="2"/>
        <charset val="134"/>
        <scheme val="minor"/>
      </rPr>
      <t/>
    </r>
  </si>
  <si>
    <r>
      <t>6</t>
    </r>
    <r>
      <rPr>
        <sz val="11"/>
        <color theme="1"/>
        <rFont val="宋体"/>
        <family val="3"/>
        <charset val="134"/>
      </rPr>
      <t>单元</t>
    </r>
    <r>
      <rPr>
        <sz val="11"/>
        <color theme="1"/>
        <rFont val="Arial"/>
        <family val="2"/>
      </rPr>
      <t>1107</t>
    </r>
    <r>
      <rPr>
        <sz val="11"/>
        <color theme="1"/>
        <rFont val="宋体"/>
        <family val="2"/>
        <charset val="134"/>
        <scheme val="minor"/>
      </rPr>
      <t/>
    </r>
  </si>
  <si>
    <r>
      <t>6</t>
    </r>
    <r>
      <rPr>
        <sz val="11"/>
        <color theme="1"/>
        <rFont val="宋体"/>
        <family val="3"/>
        <charset val="134"/>
      </rPr>
      <t>单元</t>
    </r>
    <r>
      <rPr>
        <sz val="11"/>
        <color theme="1"/>
        <rFont val="Arial"/>
        <family val="2"/>
      </rPr>
      <t>1108</t>
    </r>
    <r>
      <rPr>
        <sz val="11"/>
        <color theme="1"/>
        <rFont val="宋体"/>
        <family val="2"/>
        <charset val="134"/>
        <scheme val="minor"/>
      </rPr>
      <t/>
    </r>
  </si>
  <si>
    <r>
      <t>6</t>
    </r>
    <r>
      <rPr>
        <sz val="11"/>
        <color theme="1"/>
        <rFont val="宋体"/>
        <family val="3"/>
        <charset val="134"/>
      </rPr>
      <t>单元</t>
    </r>
    <r>
      <rPr>
        <sz val="11"/>
        <color theme="1"/>
        <rFont val="Arial"/>
        <family val="2"/>
      </rPr>
      <t>1109</t>
    </r>
    <r>
      <rPr>
        <sz val="11"/>
        <color theme="1"/>
        <rFont val="宋体"/>
        <family val="2"/>
        <charset val="134"/>
        <scheme val="minor"/>
      </rPr>
      <t/>
    </r>
  </si>
  <si>
    <r>
      <t>6</t>
    </r>
    <r>
      <rPr>
        <sz val="11"/>
        <color theme="1"/>
        <rFont val="宋体"/>
        <family val="3"/>
        <charset val="134"/>
      </rPr>
      <t>单元</t>
    </r>
    <r>
      <rPr>
        <sz val="11"/>
        <color theme="1"/>
        <rFont val="Arial"/>
        <family val="2"/>
      </rPr>
      <t>1201</t>
    </r>
    <phoneticPr fontId="135" type="noConversion"/>
  </si>
  <si>
    <r>
      <t>6</t>
    </r>
    <r>
      <rPr>
        <sz val="11"/>
        <color theme="1"/>
        <rFont val="宋体"/>
        <family val="3"/>
        <charset val="134"/>
      </rPr>
      <t>单元</t>
    </r>
    <r>
      <rPr>
        <sz val="11"/>
        <color theme="1"/>
        <rFont val="Arial"/>
        <family val="2"/>
      </rPr>
      <t>1202</t>
    </r>
    <r>
      <rPr>
        <sz val="11"/>
        <color theme="1"/>
        <rFont val="宋体"/>
        <family val="2"/>
        <charset val="134"/>
        <scheme val="minor"/>
      </rPr>
      <t/>
    </r>
  </si>
  <si>
    <r>
      <t>6</t>
    </r>
    <r>
      <rPr>
        <sz val="11"/>
        <color theme="1"/>
        <rFont val="宋体"/>
        <family val="3"/>
        <charset val="134"/>
      </rPr>
      <t>单元</t>
    </r>
    <r>
      <rPr>
        <sz val="11"/>
        <color theme="1"/>
        <rFont val="Arial"/>
        <family val="2"/>
      </rPr>
      <t>1203</t>
    </r>
    <r>
      <rPr>
        <sz val="11"/>
        <color theme="1"/>
        <rFont val="宋体"/>
        <family val="2"/>
        <charset val="134"/>
        <scheme val="minor"/>
      </rPr>
      <t/>
    </r>
  </si>
  <si>
    <r>
      <t>6</t>
    </r>
    <r>
      <rPr>
        <sz val="11"/>
        <color theme="1"/>
        <rFont val="宋体"/>
        <family val="3"/>
        <charset val="134"/>
      </rPr>
      <t>单元</t>
    </r>
    <r>
      <rPr>
        <sz val="11"/>
        <color theme="1"/>
        <rFont val="Arial"/>
        <family val="2"/>
      </rPr>
      <t>1205</t>
    </r>
    <phoneticPr fontId="135" type="noConversion"/>
  </si>
  <si>
    <r>
      <t>6</t>
    </r>
    <r>
      <rPr>
        <sz val="11"/>
        <color theme="1"/>
        <rFont val="宋体"/>
        <family val="3"/>
        <charset val="134"/>
      </rPr>
      <t>单元</t>
    </r>
    <r>
      <rPr>
        <sz val="11"/>
        <color theme="1"/>
        <rFont val="Arial"/>
        <family val="2"/>
      </rPr>
      <t>1206</t>
    </r>
    <r>
      <rPr>
        <sz val="11"/>
        <color theme="1"/>
        <rFont val="宋体"/>
        <family val="2"/>
        <charset val="134"/>
        <scheme val="minor"/>
      </rPr>
      <t/>
    </r>
  </si>
  <si>
    <r>
      <t>6</t>
    </r>
    <r>
      <rPr>
        <sz val="11"/>
        <color theme="1"/>
        <rFont val="宋体"/>
        <family val="3"/>
        <charset val="134"/>
      </rPr>
      <t>单元</t>
    </r>
    <r>
      <rPr>
        <sz val="11"/>
        <color theme="1"/>
        <rFont val="Arial"/>
        <family val="2"/>
      </rPr>
      <t>1207</t>
    </r>
    <r>
      <rPr>
        <sz val="11"/>
        <color theme="1"/>
        <rFont val="宋体"/>
        <family val="2"/>
        <charset val="134"/>
        <scheme val="minor"/>
      </rPr>
      <t/>
    </r>
  </si>
  <si>
    <r>
      <t>6</t>
    </r>
    <r>
      <rPr>
        <sz val="11"/>
        <color theme="1"/>
        <rFont val="宋体"/>
        <family val="3"/>
        <charset val="134"/>
      </rPr>
      <t>单元</t>
    </r>
    <r>
      <rPr>
        <sz val="11"/>
        <color theme="1"/>
        <rFont val="Arial"/>
        <family val="2"/>
      </rPr>
      <t>1208</t>
    </r>
    <r>
      <rPr>
        <sz val="11"/>
        <color theme="1"/>
        <rFont val="宋体"/>
        <family val="2"/>
        <charset val="134"/>
        <scheme val="minor"/>
      </rPr>
      <t/>
    </r>
  </si>
  <si>
    <r>
      <t>6</t>
    </r>
    <r>
      <rPr>
        <sz val="11"/>
        <color theme="1"/>
        <rFont val="宋体"/>
        <family val="3"/>
        <charset val="134"/>
      </rPr>
      <t>单元</t>
    </r>
    <r>
      <rPr>
        <sz val="11"/>
        <color theme="1"/>
        <rFont val="Arial"/>
        <family val="2"/>
      </rPr>
      <t>1209</t>
    </r>
    <r>
      <rPr>
        <sz val="11"/>
        <color theme="1"/>
        <rFont val="宋体"/>
        <family val="2"/>
        <charset val="134"/>
        <scheme val="minor"/>
      </rPr>
      <t/>
    </r>
  </si>
  <si>
    <r>
      <t>6</t>
    </r>
    <r>
      <rPr>
        <sz val="11"/>
        <color theme="1"/>
        <rFont val="宋体"/>
        <family val="3"/>
        <charset val="134"/>
      </rPr>
      <t>单元</t>
    </r>
    <r>
      <rPr>
        <sz val="11"/>
        <color theme="1"/>
        <rFont val="Arial"/>
        <family val="2"/>
      </rPr>
      <t>2001</t>
    </r>
    <phoneticPr fontId="135" type="noConversion"/>
  </si>
  <si>
    <r>
      <t>6</t>
    </r>
    <r>
      <rPr>
        <sz val="11"/>
        <color theme="1"/>
        <rFont val="宋体"/>
        <family val="3"/>
        <charset val="134"/>
      </rPr>
      <t>单元</t>
    </r>
    <r>
      <rPr>
        <sz val="11"/>
        <color theme="1"/>
        <rFont val="Arial"/>
        <family val="2"/>
      </rPr>
      <t>2002</t>
    </r>
    <r>
      <rPr>
        <sz val="11"/>
        <color theme="1"/>
        <rFont val="宋体"/>
        <family val="2"/>
        <charset val="134"/>
        <scheme val="minor"/>
      </rPr>
      <t/>
    </r>
  </si>
  <si>
    <r>
      <t>6</t>
    </r>
    <r>
      <rPr>
        <sz val="11"/>
        <color theme="1"/>
        <rFont val="宋体"/>
        <family val="3"/>
        <charset val="134"/>
      </rPr>
      <t>单元</t>
    </r>
    <r>
      <rPr>
        <sz val="11"/>
        <color theme="1"/>
        <rFont val="Arial"/>
        <family val="2"/>
      </rPr>
      <t>2003</t>
    </r>
    <r>
      <rPr>
        <sz val="11"/>
        <color theme="1"/>
        <rFont val="宋体"/>
        <family val="2"/>
        <charset val="134"/>
        <scheme val="minor"/>
      </rPr>
      <t/>
    </r>
  </si>
  <si>
    <r>
      <t>6</t>
    </r>
    <r>
      <rPr>
        <sz val="11"/>
        <color theme="1"/>
        <rFont val="宋体"/>
        <family val="3"/>
        <charset val="134"/>
      </rPr>
      <t>单元</t>
    </r>
    <r>
      <rPr>
        <sz val="11"/>
        <color theme="1"/>
        <rFont val="Arial"/>
        <family val="2"/>
      </rPr>
      <t>2005</t>
    </r>
    <r>
      <rPr>
        <sz val="11"/>
        <color theme="1"/>
        <rFont val="宋体"/>
        <family val="2"/>
        <charset val="134"/>
        <scheme val="minor"/>
      </rPr>
      <t/>
    </r>
  </si>
  <si>
    <r>
      <t>6</t>
    </r>
    <r>
      <rPr>
        <sz val="11"/>
        <color theme="1"/>
        <rFont val="宋体"/>
        <family val="3"/>
        <charset val="134"/>
      </rPr>
      <t>单元</t>
    </r>
    <r>
      <rPr>
        <sz val="11"/>
        <color theme="1"/>
        <rFont val="Arial"/>
        <family val="2"/>
      </rPr>
      <t>2006</t>
    </r>
    <r>
      <rPr>
        <sz val="11"/>
        <color theme="1"/>
        <rFont val="宋体"/>
        <family val="2"/>
        <charset val="134"/>
        <scheme val="minor"/>
      </rPr>
      <t/>
    </r>
  </si>
  <si>
    <r>
      <t>6</t>
    </r>
    <r>
      <rPr>
        <sz val="11"/>
        <color theme="1"/>
        <rFont val="宋体"/>
        <family val="3"/>
        <charset val="134"/>
      </rPr>
      <t>单元</t>
    </r>
    <r>
      <rPr>
        <sz val="11"/>
        <color theme="1"/>
        <rFont val="Arial"/>
        <family val="2"/>
      </rPr>
      <t>2007</t>
    </r>
    <r>
      <rPr>
        <sz val="11"/>
        <color theme="1"/>
        <rFont val="宋体"/>
        <family val="2"/>
        <charset val="134"/>
        <scheme val="minor"/>
      </rPr>
      <t/>
    </r>
  </si>
  <si>
    <r>
      <t>6</t>
    </r>
    <r>
      <rPr>
        <sz val="11"/>
        <color theme="1"/>
        <rFont val="宋体"/>
        <family val="3"/>
        <charset val="134"/>
      </rPr>
      <t>单元</t>
    </r>
    <r>
      <rPr>
        <sz val="11"/>
        <color theme="1"/>
        <rFont val="Arial"/>
        <family val="2"/>
      </rPr>
      <t>2008</t>
    </r>
    <r>
      <rPr>
        <sz val="11"/>
        <color theme="1"/>
        <rFont val="宋体"/>
        <family val="2"/>
        <charset val="134"/>
        <scheme val="minor"/>
      </rPr>
      <t/>
    </r>
  </si>
  <si>
    <r>
      <t>6</t>
    </r>
    <r>
      <rPr>
        <sz val="11"/>
        <color theme="1"/>
        <rFont val="宋体"/>
        <family val="3"/>
        <charset val="134"/>
      </rPr>
      <t>单元</t>
    </r>
    <r>
      <rPr>
        <sz val="11"/>
        <color theme="1"/>
        <rFont val="Arial"/>
        <family val="2"/>
      </rPr>
      <t>2009</t>
    </r>
    <r>
      <rPr>
        <sz val="11"/>
        <color theme="1"/>
        <rFont val="宋体"/>
        <family val="2"/>
        <charset val="134"/>
        <scheme val="minor"/>
      </rPr>
      <t/>
    </r>
  </si>
  <si>
    <r>
      <t>6</t>
    </r>
    <r>
      <rPr>
        <sz val="11"/>
        <color theme="1"/>
        <rFont val="宋体"/>
        <family val="3"/>
        <charset val="134"/>
      </rPr>
      <t>单元</t>
    </r>
    <r>
      <rPr>
        <sz val="11"/>
        <color theme="1"/>
        <rFont val="Arial"/>
        <family val="2"/>
      </rPr>
      <t>2101</t>
    </r>
    <phoneticPr fontId="135" type="noConversion"/>
  </si>
  <si>
    <r>
      <t>6</t>
    </r>
    <r>
      <rPr>
        <sz val="11"/>
        <color theme="1"/>
        <rFont val="宋体"/>
        <family val="3"/>
        <charset val="134"/>
      </rPr>
      <t>单元</t>
    </r>
    <r>
      <rPr>
        <sz val="11"/>
        <color theme="1"/>
        <rFont val="Arial"/>
        <family val="2"/>
      </rPr>
      <t>2102</t>
    </r>
    <r>
      <rPr>
        <sz val="11"/>
        <color theme="1"/>
        <rFont val="宋体"/>
        <family val="2"/>
        <charset val="134"/>
        <scheme val="minor"/>
      </rPr>
      <t/>
    </r>
  </si>
  <si>
    <r>
      <t>6</t>
    </r>
    <r>
      <rPr>
        <sz val="11"/>
        <color theme="1"/>
        <rFont val="宋体"/>
        <family val="3"/>
        <charset val="134"/>
      </rPr>
      <t>单元</t>
    </r>
    <r>
      <rPr>
        <sz val="11"/>
        <color theme="1"/>
        <rFont val="Arial"/>
        <family val="2"/>
      </rPr>
      <t>2103</t>
    </r>
    <r>
      <rPr>
        <sz val="11"/>
        <color theme="1"/>
        <rFont val="宋体"/>
        <family val="2"/>
        <charset val="134"/>
        <scheme val="minor"/>
      </rPr>
      <t/>
    </r>
  </si>
  <si>
    <r>
      <t>6</t>
    </r>
    <r>
      <rPr>
        <sz val="11"/>
        <color theme="1"/>
        <rFont val="宋体"/>
        <family val="3"/>
        <charset val="134"/>
      </rPr>
      <t>单元</t>
    </r>
    <r>
      <rPr>
        <sz val="11"/>
        <color theme="1"/>
        <rFont val="Arial"/>
        <family val="2"/>
      </rPr>
      <t>2105</t>
    </r>
    <r>
      <rPr>
        <sz val="11"/>
        <color theme="1"/>
        <rFont val="宋体"/>
        <family val="2"/>
        <charset val="134"/>
        <scheme val="minor"/>
      </rPr>
      <t/>
    </r>
  </si>
  <si>
    <r>
      <t>6</t>
    </r>
    <r>
      <rPr>
        <sz val="11"/>
        <color theme="1"/>
        <rFont val="宋体"/>
        <family val="3"/>
        <charset val="134"/>
      </rPr>
      <t>单元</t>
    </r>
    <r>
      <rPr>
        <sz val="11"/>
        <color theme="1"/>
        <rFont val="Arial"/>
        <family val="2"/>
      </rPr>
      <t>2106</t>
    </r>
    <r>
      <rPr>
        <sz val="11"/>
        <color theme="1"/>
        <rFont val="宋体"/>
        <family val="2"/>
        <charset val="134"/>
        <scheme val="minor"/>
      </rPr>
      <t/>
    </r>
  </si>
  <si>
    <r>
      <t>6</t>
    </r>
    <r>
      <rPr>
        <sz val="11"/>
        <color theme="1"/>
        <rFont val="宋体"/>
        <family val="3"/>
        <charset val="134"/>
      </rPr>
      <t>单元</t>
    </r>
    <r>
      <rPr>
        <sz val="11"/>
        <color theme="1"/>
        <rFont val="Arial"/>
        <family val="2"/>
      </rPr>
      <t>2107</t>
    </r>
    <r>
      <rPr>
        <sz val="11"/>
        <color theme="1"/>
        <rFont val="宋体"/>
        <family val="2"/>
        <charset val="134"/>
        <scheme val="minor"/>
      </rPr>
      <t/>
    </r>
  </si>
  <si>
    <r>
      <t>6</t>
    </r>
    <r>
      <rPr>
        <sz val="11"/>
        <color theme="1"/>
        <rFont val="宋体"/>
        <family val="3"/>
        <charset val="134"/>
      </rPr>
      <t>单元</t>
    </r>
    <r>
      <rPr>
        <sz val="11"/>
        <color theme="1"/>
        <rFont val="Arial"/>
        <family val="2"/>
      </rPr>
      <t>2108</t>
    </r>
    <r>
      <rPr>
        <sz val="11"/>
        <color theme="1"/>
        <rFont val="宋体"/>
        <family val="2"/>
        <charset val="134"/>
        <scheme val="minor"/>
      </rPr>
      <t/>
    </r>
  </si>
  <si>
    <r>
      <t>6</t>
    </r>
    <r>
      <rPr>
        <sz val="11"/>
        <color theme="1"/>
        <rFont val="宋体"/>
        <family val="3"/>
        <charset val="134"/>
      </rPr>
      <t>单元</t>
    </r>
    <r>
      <rPr>
        <sz val="11"/>
        <color theme="1"/>
        <rFont val="Arial"/>
        <family val="2"/>
      </rPr>
      <t>2109</t>
    </r>
    <r>
      <rPr>
        <sz val="11"/>
        <color theme="1"/>
        <rFont val="宋体"/>
        <family val="2"/>
        <charset val="134"/>
        <scheme val="minor"/>
      </rPr>
      <t/>
    </r>
  </si>
  <si>
    <r>
      <t>3</t>
    </r>
    <r>
      <rPr>
        <sz val="11"/>
        <color theme="1"/>
        <rFont val="宋体"/>
        <family val="3"/>
        <charset val="134"/>
      </rPr>
      <t>单元</t>
    </r>
    <r>
      <rPr>
        <sz val="11"/>
        <color theme="1"/>
        <rFont val="Arial"/>
        <family val="2"/>
      </rPr>
      <t>103</t>
    </r>
    <phoneticPr fontId="135" type="noConversion"/>
  </si>
  <si>
    <t>办公小计</t>
    <phoneticPr fontId="135" type="noConversion"/>
  </si>
  <si>
    <r>
      <t>3</t>
    </r>
    <r>
      <rPr>
        <sz val="11"/>
        <color theme="1"/>
        <rFont val="宋体"/>
        <family val="3"/>
        <charset val="134"/>
      </rPr>
      <t>单元</t>
    </r>
    <r>
      <rPr>
        <sz val="11"/>
        <color theme="1"/>
        <rFont val="Arial"/>
        <family val="2"/>
      </rPr>
      <t>105</t>
    </r>
    <phoneticPr fontId="135" type="noConversion"/>
  </si>
  <si>
    <r>
      <t>1</t>
    </r>
    <r>
      <rPr>
        <sz val="11"/>
        <color theme="1"/>
        <rFont val="宋体"/>
        <family val="3"/>
        <charset val="134"/>
      </rPr>
      <t>单元</t>
    </r>
    <r>
      <rPr>
        <sz val="11"/>
        <color theme="1"/>
        <rFont val="Arial"/>
        <family val="2"/>
      </rPr>
      <t>101</t>
    </r>
    <phoneticPr fontId="135" type="noConversion"/>
  </si>
  <si>
    <r>
      <t>1</t>
    </r>
    <r>
      <rPr>
        <sz val="11"/>
        <color theme="1"/>
        <rFont val="宋体"/>
        <family val="3"/>
        <charset val="134"/>
      </rPr>
      <t>单元</t>
    </r>
    <r>
      <rPr>
        <sz val="11"/>
        <color theme="1"/>
        <rFont val="Arial"/>
        <family val="2"/>
      </rPr>
      <t>102</t>
    </r>
    <r>
      <rPr>
        <sz val="11"/>
        <color theme="1"/>
        <rFont val="宋体"/>
        <family val="2"/>
        <charset val="134"/>
        <scheme val="minor"/>
      </rPr>
      <t/>
    </r>
  </si>
  <si>
    <r>
      <t>1</t>
    </r>
    <r>
      <rPr>
        <sz val="11"/>
        <color theme="1"/>
        <rFont val="宋体"/>
        <family val="3"/>
        <charset val="134"/>
      </rPr>
      <t>单元</t>
    </r>
    <r>
      <rPr>
        <sz val="11"/>
        <color theme="1"/>
        <rFont val="Arial"/>
        <family val="2"/>
      </rPr>
      <t>103</t>
    </r>
    <r>
      <rPr>
        <sz val="11"/>
        <color theme="1"/>
        <rFont val="宋体"/>
        <family val="2"/>
        <charset val="134"/>
        <scheme val="minor"/>
      </rPr>
      <t/>
    </r>
  </si>
  <si>
    <r>
      <t>1</t>
    </r>
    <r>
      <rPr>
        <sz val="11"/>
        <color theme="1"/>
        <rFont val="宋体"/>
        <family val="3"/>
        <charset val="134"/>
      </rPr>
      <t>单元</t>
    </r>
    <r>
      <rPr>
        <sz val="11"/>
        <color theme="1"/>
        <rFont val="Arial"/>
        <family val="2"/>
      </rPr>
      <t>105</t>
    </r>
    <r>
      <rPr>
        <sz val="11"/>
        <color theme="1"/>
        <rFont val="宋体"/>
        <family val="2"/>
        <charset val="134"/>
        <scheme val="minor"/>
      </rPr>
      <t/>
    </r>
  </si>
  <si>
    <r>
      <t>1</t>
    </r>
    <r>
      <rPr>
        <sz val="11"/>
        <color theme="1"/>
        <rFont val="宋体"/>
        <family val="3"/>
        <charset val="134"/>
      </rPr>
      <t>单元</t>
    </r>
    <r>
      <rPr>
        <sz val="11"/>
        <color theme="1"/>
        <rFont val="Arial"/>
        <family val="2"/>
      </rPr>
      <t>106</t>
    </r>
    <r>
      <rPr>
        <sz val="11"/>
        <color theme="1"/>
        <rFont val="宋体"/>
        <family val="2"/>
        <charset val="134"/>
        <scheme val="minor"/>
      </rPr>
      <t/>
    </r>
  </si>
  <si>
    <r>
      <t>6</t>
    </r>
    <r>
      <rPr>
        <sz val="11"/>
        <color theme="1"/>
        <rFont val="宋体"/>
        <family val="3"/>
        <charset val="134"/>
      </rPr>
      <t>单元</t>
    </r>
    <r>
      <rPr>
        <sz val="11"/>
        <color theme="1"/>
        <rFont val="Arial"/>
        <family val="2"/>
      </rPr>
      <t>101</t>
    </r>
    <phoneticPr fontId="135" type="noConversion"/>
  </si>
  <si>
    <r>
      <t>6</t>
    </r>
    <r>
      <rPr>
        <sz val="11"/>
        <color theme="1"/>
        <rFont val="宋体"/>
        <family val="3"/>
        <charset val="134"/>
      </rPr>
      <t>单元</t>
    </r>
    <r>
      <rPr>
        <sz val="11"/>
        <color theme="1"/>
        <rFont val="Arial"/>
        <family val="2"/>
      </rPr>
      <t>102</t>
    </r>
    <r>
      <rPr>
        <sz val="11"/>
        <color theme="1"/>
        <rFont val="宋体"/>
        <family val="2"/>
        <charset val="134"/>
        <scheme val="minor"/>
      </rPr>
      <t/>
    </r>
  </si>
  <si>
    <r>
      <t>6</t>
    </r>
    <r>
      <rPr>
        <sz val="11"/>
        <color theme="1"/>
        <rFont val="宋体"/>
        <family val="3"/>
        <charset val="134"/>
      </rPr>
      <t>单元</t>
    </r>
    <r>
      <rPr>
        <sz val="11"/>
        <color theme="1"/>
        <rFont val="Arial"/>
        <family val="2"/>
      </rPr>
      <t>103</t>
    </r>
    <r>
      <rPr>
        <sz val="11"/>
        <color theme="1"/>
        <rFont val="宋体"/>
        <family val="2"/>
        <charset val="134"/>
        <scheme val="minor"/>
      </rPr>
      <t/>
    </r>
  </si>
  <si>
    <t>商业</t>
    <phoneticPr fontId="135" type="noConversion"/>
  </si>
  <si>
    <r>
      <t>2</t>
    </r>
    <r>
      <rPr>
        <sz val="11"/>
        <color theme="1"/>
        <rFont val="宋体"/>
        <family val="3"/>
        <charset val="134"/>
      </rPr>
      <t>单元</t>
    </r>
    <r>
      <rPr>
        <sz val="11"/>
        <color theme="1"/>
        <rFont val="Arial"/>
        <family val="2"/>
      </rPr>
      <t>1615</t>
    </r>
    <phoneticPr fontId="135" type="noConversion"/>
  </si>
  <si>
    <r>
      <t>2</t>
    </r>
    <r>
      <rPr>
        <sz val="11"/>
        <color theme="1"/>
        <rFont val="宋体"/>
        <family val="3"/>
        <charset val="134"/>
      </rPr>
      <t>单元</t>
    </r>
    <r>
      <rPr>
        <sz val="11"/>
        <color theme="1"/>
        <rFont val="Arial"/>
        <family val="2"/>
      </rPr>
      <t>1617</t>
    </r>
    <phoneticPr fontId="135" type="noConversion"/>
  </si>
  <si>
    <t>地上</t>
  </si>
  <si>
    <t>是</t>
  </si>
  <si>
    <t>估价对象所在区域公共配套设施齐备情况较好</t>
  </si>
  <si>
    <t>估价对象所在区域基础设施水平七通</t>
  </si>
  <si>
    <t>金贸大厦</t>
    <phoneticPr fontId="4" type="noConversion"/>
  </si>
  <si>
    <t>正常</t>
  </si>
  <si>
    <t>报价</t>
  </si>
  <si>
    <t>报价</t>
    <phoneticPr fontId="32" type="noConversion"/>
  </si>
  <si>
    <t>单套模式</t>
  </si>
  <si>
    <t>售价</t>
  </si>
  <si>
    <t>办公</t>
    <phoneticPr fontId="32" type="noConversion"/>
  </si>
  <si>
    <t>较好</t>
  </si>
  <si>
    <t>七通</t>
  </si>
  <si>
    <t>西直门外大街</t>
    <phoneticPr fontId="4" type="noConversion"/>
  </si>
  <si>
    <t>西直门外大街</t>
    <phoneticPr fontId="4" type="noConversion"/>
  </si>
  <si>
    <t>西直门外大街</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</si>
  <si>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</si>
  <si>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</si>
  <si>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</si>
  <si>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</si>
  <si>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</si>
  <si>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</si>
  <si>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</si>
  <si>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</si>
  <si>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主干道</t>
  </si>
  <si>
    <t>低区</t>
  </si>
  <si>
    <t>标准写字楼</t>
    <phoneticPr fontId="4" type="noConversion"/>
  </si>
  <si>
    <t>高层建筑</t>
    <phoneticPr fontId="4" type="noConversion"/>
  </si>
  <si>
    <t>钢混</t>
    <phoneticPr fontId="4" type="noConversion"/>
  </si>
  <si>
    <t>精装修</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</si>
  <si>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</si>
  <si>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</si>
  <si>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</si>
  <si>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</si>
  <si>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</si>
  <si>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</si>
  <si>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</si>
  <si>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</si>
  <si>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</si>
  <si>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</si>
  <si>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</si>
  <si>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</si>
  <si>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超高层高</t>
    <phoneticPr fontId="32" type="noConversion"/>
  </si>
  <si>
    <t>可餐饮</t>
  </si>
  <si>
    <t>可餐饮</t>
    <phoneticPr fontId="31" type="noConversion"/>
  </si>
  <si>
    <t>不可餐饮</t>
  </si>
  <si>
    <t>不可餐饮</t>
    <phoneticPr fontId="31" type="noConversion"/>
  </si>
  <si>
    <t>钢混</t>
    <phoneticPr fontId="4" type="noConversion"/>
  </si>
  <si>
    <t>配套商业</t>
    <phoneticPr fontId="4"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</si>
  <si>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</si>
  <si>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</si>
  <si>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</si>
  <si>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</si>
  <si>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</si>
  <si>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好</t>
  </si>
  <si>
    <t>一般</t>
  </si>
  <si>
    <t>较差</t>
  </si>
  <si>
    <t>差</t>
  </si>
  <si>
    <t>大</t>
    <phoneticPr fontId="4" type="noConversion"/>
  </si>
  <si>
    <t>较大</t>
    <phoneticPr fontId="4" type="noConversion"/>
  </si>
  <si>
    <t>一般</t>
    <phoneticPr fontId="4" type="noConversion"/>
  </si>
  <si>
    <t>较小</t>
    <phoneticPr fontId="4" type="noConversion"/>
  </si>
  <si>
    <t>小</t>
    <phoneticPr fontId="4" type="noConversion"/>
  </si>
  <si>
    <t>高层建筑</t>
  </si>
  <si>
    <t>钢混</t>
  </si>
  <si>
    <t>精装修</t>
  </si>
  <si>
    <t>乙级</t>
  </si>
  <si>
    <t>专业</t>
  </si>
  <si>
    <t>五通</t>
  </si>
  <si>
    <t>标准</t>
  </si>
  <si>
    <t>普装</t>
  </si>
  <si>
    <t>商业小计</t>
    <phoneticPr fontId="135" type="noConversion"/>
  </si>
  <si>
    <t>规划用途</t>
    <phoneticPr fontId="135" type="noConversion"/>
  </si>
  <si>
    <t>成新度</t>
  </si>
  <si>
    <t>收益法 (元)</t>
  </si>
  <si>
    <t>收益法商业</t>
  </si>
  <si>
    <t>收益法商业</t>
    <phoneticPr fontId="17" type="noConversion"/>
  </si>
  <si>
    <t>中区</t>
  </si>
  <si>
    <t>非生产用房</t>
  </si>
  <si>
    <t>否</t>
  </si>
  <si>
    <t>现房</t>
  </si>
  <si>
    <t>项目局部</t>
  </si>
  <si>
    <t>实际用途</t>
    <phoneticPr fontId="135" type="noConversion"/>
  </si>
  <si>
    <t>公寓</t>
  </si>
  <si>
    <t>公寓</t>
    <phoneticPr fontId="135" type="noConversion"/>
  </si>
  <si>
    <t>毛坯</t>
  </si>
  <si>
    <r>
      <rPr>
        <sz val="11"/>
        <color theme="1"/>
        <rFont val="宋体"/>
        <family val="3"/>
        <charset val="134"/>
      </rPr>
      <t>毛坯</t>
    </r>
    <phoneticPr fontId="135" type="noConversion"/>
  </si>
  <si>
    <t>现状用途</t>
    <phoneticPr fontId="32" type="noConversion"/>
  </si>
  <si>
    <t>公寓</t>
    <phoneticPr fontId="32" type="noConversion"/>
  </si>
  <si>
    <t>办公</t>
    <phoneticPr fontId="32" type="noConversion"/>
  </si>
  <si>
    <t>高区</t>
  </si>
  <si>
    <t>楼层</t>
    <phoneticPr fontId="4" type="noConversion"/>
  </si>
  <si>
    <t>装修</t>
    <phoneticPr fontId="4" type="noConversion"/>
  </si>
  <si>
    <t>简装</t>
  </si>
  <si>
    <t>现状用途</t>
    <phoneticPr fontId="4" type="noConversion"/>
  </si>
  <si>
    <t>收益比率</t>
  </si>
  <si>
    <t>押一</t>
  </si>
  <si>
    <t>商业</t>
    <phoneticPr fontId="31" type="noConversion"/>
  </si>
  <si>
    <t>单面临街</t>
  </si>
  <si>
    <t>浙商银行</t>
    <phoneticPr fontId="135" type="noConversion"/>
  </si>
  <si>
    <t>浦发银行</t>
    <phoneticPr fontId="135" type="noConversion"/>
  </si>
  <si>
    <t>链家</t>
    <phoneticPr fontId="135" type="noConversion"/>
  </si>
  <si>
    <t>餐厅</t>
    <phoneticPr fontId="135" type="noConversion"/>
  </si>
  <si>
    <t>蛋糕房</t>
    <phoneticPr fontId="135" type="noConversion"/>
  </si>
  <si>
    <t>基金会</t>
    <phoneticPr fontId="135" type="noConversion"/>
  </si>
  <si>
    <t>人寿</t>
    <phoneticPr fontId="135" type="noConversion"/>
  </si>
  <si>
    <t>配套商业</t>
  </si>
  <si>
    <t>六通</t>
  </si>
  <si>
    <t>标准</t>
    <phoneticPr fontId="31" type="noConversion"/>
  </si>
  <si>
    <t>较好</t>
    <phoneticPr fontId="31" type="noConversion"/>
  </si>
  <si>
    <t>比较法-商业</t>
  </si>
  <si>
    <t>利息：取LPR加浮动点数</t>
  </si>
  <si>
    <t>——</t>
    <phoneticPr fontId="135" type="noConversion"/>
  </si>
  <si>
    <t>直线</t>
    <phoneticPr fontId="4" type="noConversion"/>
  </si>
  <si>
    <t>观察</t>
    <phoneticPr fontId="4" type="noConversion"/>
  </si>
  <si>
    <t>独立商业</t>
    <phoneticPr fontId="4" type="noConversion"/>
  </si>
  <si>
    <t>方庄6号底商</t>
    <phoneticPr fontId="4" type="noConversion"/>
  </si>
  <si>
    <t>区域自然环境：北京动物园、官园公园；人文环境：北京天文馆、北京建筑大学；综合评价环境状况邮编</t>
    <phoneticPr fontId="25" type="noConversion"/>
  </si>
  <si>
    <r>
      <rPr>
        <sz val="10"/>
        <color theme="9" tint="-0.249977111117893"/>
        <rFont val="宋体"/>
        <family val="3"/>
        <charset val="134"/>
      </rPr>
      <t>快速路</t>
    </r>
    <r>
      <rPr>
        <sz val="10"/>
        <color theme="9" tint="-0.249977111117893"/>
        <rFont val="Arial"/>
        <family val="2"/>
      </rPr>
      <t>-</t>
    </r>
    <r>
      <rPr>
        <sz val="10"/>
        <color theme="9" tint="-0.249977111117893"/>
        <rFont val="宋体"/>
        <family val="3"/>
        <charset val="134"/>
      </rPr>
      <t>南三环东路</t>
    </r>
    <phoneticPr fontId="25" type="noConversion"/>
  </si>
  <si>
    <r>
      <rPr>
        <sz val="10"/>
        <color theme="9" tint="-0.249977111117893"/>
        <rFont val="宋体"/>
        <family val="3"/>
        <charset val="134"/>
      </rPr>
      <t>估价对象周边道路状况较好、有</t>
    </r>
    <r>
      <rPr>
        <sz val="10"/>
        <color theme="9" tint="-0.249977111117893"/>
        <rFont val="Arial"/>
        <family val="2"/>
      </rPr>
      <t>300</t>
    </r>
    <r>
      <rPr>
        <sz val="10"/>
        <color theme="9" tint="-0.249977111117893"/>
        <rFont val="宋体"/>
        <family val="3"/>
        <charset val="134"/>
      </rPr>
      <t>、</t>
    </r>
    <r>
      <rPr>
        <sz val="10"/>
        <color theme="9" tint="-0.249977111117893"/>
        <rFont val="Arial"/>
        <family val="2"/>
      </rPr>
      <t>368</t>
    </r>
    <r>
      <rPr>
        <sz val="10"/>
        <color theme="9" tint="-0.249977111117893"/>
        <rFont val="宋体"/>
        <family val="3"/>
        <charset val="134"/>
      </rPr>
      <t>、</t>
    </r>
    <r>
      <rPr>
        <sz val="10"/>
        <color theme="9" tint="-0.249977111117893"/>
        <rFont val="Arial"/>
        <family val="2"/>
      </rPr>
      <t>652</t>
    </r>
    <r>
      <rPr>
        <sz val="10"/>
        <color theme="9" tint="-0.249977111117893"/>
        <rFont val="宋体"/>
        <family val="3"/>
        <charset val="134"/>
      </rPr>
      <t>路等公交线路及地铁</t>
    </r>
    <r>
      <rPr>
        <sz val="10"/>
        <color theme="9" tint="-0.249977111117893"/>
        <rFont val="Arial"/>
        <family val="2"/>
      </rPr>
      <t>10</t>
    </r>
    <r>
      <rPr>
        <sz val="10"/>
        <color theme="9" tint="-0.249977111117893"/>
        <rFont val="宋体"/>
        <family val="3"/>
        <charset val="134"/>
      </rPr>
      <t>号线经过，公共交通通达情况较好、停车便捷程度一般，综合评价交通便捷度较好</t>
    </r>
    <phoneticPr fontId="25" type="noConversion"/>
  </si>
  <si>
    <t>鑫苑国际底商</t>
    <phoneticPr fontId="4"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</si>
  <si>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</si>
  <si>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</si>
  <si>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t>1-2</t>
  </si>
  <si>
    <t>1-2</t>
    <phoneticPr fontId="31" type="noConversion"/>
  </si>
  <si>
    <t>较好</t>
    <phoneticPr fontId="31" type="noConversion"/>
  </si>
  <si>
    <t>自然人</t>
  </si>
  <si>
    <t>估价对象周边商业氛围成熟度一般，有新业广场等，人流量一般，商业繁华度一般</t>
    <phoneticPr fontId="25" type="noConversion"/>
  </si>
  <si>
    <t>方庄6号</t>
    <phoneticPr fontId="4" type="noConversion"/>
  </si>
  <si>
    <t>租金</t>
  </si>
  <si>
    <t>独立商业</t>
  </si>
  <si>
    <t>较大</t>
  </si>
  <si>
    <t>福臻家园</t>
    <phoneticPr fontId="4" type="noConversion"/>
  </si>
  <si>
    <t>绿地</t>
    <phoneticPr fontId="4" type="noConversion"/>
  </si>
  <si>
    <t>1层</t>
    <phoneticPr fontId="4" type="noConversion"/>
  </si>
  <si>
    <r>
      <t>2</t>
    </r>
    <r>
      <rPr>
        <sz val="10"/>
        <color indexed="8"/>
        <rFont val="宋体"/>
        <family val="3"/>
        <charset val="134"/>
      </rPr>
      <t>层</t>
    </r>
    <phoneticPr fontId="4" type="noConversion"/>
  </si>
  <si>
    <t>商业</t>
    <phoneticPr fontId="8" type="noConversion"/>
  </si>
  <si>
    <t>总价</t>
  </si>
  <si>
    <t>情况4</t>
  </si>
  <si>
    <t>转让取得</t>
  </si>
  <si>
    <t>个人其他（有凭证）</t>
  </si>
  <si>
    <t>购房发票</t>
  </si>
  <si>
    <t>2016年5月1日后购买</t>
  </si>
  <si>
    <t>不临街</t>
  </si>
  <si>
    <t>较差</t>
    <phoneticPr fontId="31" type="noConversion"/>
  </si>
  <si>
    <t>较大</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</si>
</sst>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4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5"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62" fillId="7" borderId="0" xfId="0" applyFont="1" applyFill="1" applyProtection="1">
      <alignment vertical="center"/>
      <protection locked="0"/>
    </xf>
    <xf numFmtId="0" fontId="48" fillId="0" borderId="1" xfId="0" applyFont="1" applyBorder="1" applyAlignment="1" applyProtection="1">
      <alignment horizontal="left" vertical="center" wrapText="1"/>
      <protection locked="0"/>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0" fontId="45" fillId="0" borderId="37" xfId="0" applyNumberFormat="1" applyFont="1" applyFill="1" applyBorder="1" applyAlignment="1" applyProtection="1">
      <alignment horizontal="center" vertical="center" wrapText="1"/>
      <protection locked="0"/>
    </xf>
    <xf numFmtId="0" fontId="45" fillId="0" borderId="23" xfId="0" applyFont="1" applyBorder="1" applyAlignment="1" applyProtection="1">
      <alignment vertical="center"/>
      <protection locked="0"/>
    </xf>
    <xf numFmtId="0" fontId="99" fillId="0" borderId="15" xfId="0" applyFont="1" applyFill="1" applyBorder="1" applyAlignment="1">
      <alignment horizontal="left" vertical="center"/>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223" fillId="0" borderId="18" xfId="0" applyNumberFormat="1"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99" fillId="0" borderId="1" xfId="0" applyFont="1" applyFill="1" applyBorder="1" applyAlignment="1">
      <alignment horizontal="left" vertical="center"/>
    </xf>
    <xf numFmtId="0" fontId="115" fillId="0" borderId="1" xfId="0" applyFont="1" applyFill="1" applyBorder="1" applyAlignment="1">
      <alignment horizontal="left" vertical="center"/>
    </xf>
    <xf numFmtId="0" fontId="99" fillId="0" borderId="0" xfId="0" applyFont="1" applyFill="1">
      <alignment vertical="center"/>
    </xf>
    <xf numFmtId="0" fontId="115" fillId="0" borderId="0" xfId="0" applyFont="1" applyFill="1">
      <alignment vertical="center"/>
    </xf>
    <xf numFmtId="0" fontId="115" fillId="0" borderId="0" xfId="0" applyFont="1" applyFill="1" applyAlignment="1">
      <alignment horizontal="left" vertical="center"/>
    </xf>
    <xf numFmtId="0" fontId="99" fillId="0" borderId="0" xfId="0" applyFont="1" applyFill="1" applyAlignment="1">
      <alignment horizontal="left" vertical="center"/>
    </xf>
    <xf numFmtId="0" fontId="78" fillId="0" borderId="1" xfId="0" applyFont="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49" fontId="223" fillId="0" borderId="24" xfId="0" applyNumberFormat="1" applyFont="1" applyFill="1" applyBorder="1" applyAlignment="1" applyProtection="1">
      <alignment vertical="center" wrapText="1"/>
      <protection locked="0"/>
    </xf>
    <xf numFmtId="176" fontId="48" fillId="12" borderId="0" xfId="0" applyNumberFormat="1" applyFont="1" applyFill="1" applyAlignment="1" applyProtection="1">
      <alignment horizontal="center" vertical="center"/>
      <protection locked="0"/>
    </xf>
    <xf numFmtId="49" fontId="45" fillId="0" borderId="44" xfId="0" applyNumberFormat="1" applyFont="1" applyFill="1" applyBorder="1" applyAlignment="1" applyProtection="1">
      <alignment horizontal="center" vertical="center" wrapText="1"/>
      <protection locked="0"/>
    </xf>
    <xf numFmtId="49" fontId="223" fillId="12" borderId="4" xfId="0" applyNumberFormat="1" applyFont="1" applyFill="1" applyBorder="1" applyAlignment="1" applyProtection="1">
      <alignment horizontal="left" vertical="center"/>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5" fillId="2" borderId="37"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115" fillId="0" borderId="5" xfId="0" applyFont="1" applyFill="1" applyBorder="1" applyAlignment="1">
      <alignment horizontal="left" vertical="center"/>
    </xf>
    <xf numFmtId="0" fontId="99" fillId="0" borderId="54" xfId="0" applyFont="1" applyFill="1" applyBorder="1" applyAlignment="1">
      <alignment horizontal="left" vertical="center"/>
    </xf>
    <xf numFmtId="0" fontId="99" fillId="0" borderId="3" xfId="0" applyFont="1" applyFill="1" applyBorder="1" applyAlignment="1">
      <alignment horizontal="left"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估价对象为北京市房地产，为所有。根据《国有土地使用证》[]，估价对象（分摊）出让国有建设用地使用权面积为0平方米，建筑面积为125.74平方米。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估价对象为北京市房地产,属开发建设的，该项目尚在开发建设中。根据《国有土地使用证》[]，估价对象（分摊）出让国有建设用地使用权面积为0平方米，规划建筑面积为125.74平方米。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482</v>
      </c>
    </row>
    <row r="21" spans="1:2" s="1202" customFormat="1">
      <c r="A21" s="1200" t="s">
        <v>537</v>
      </c>
      <c r="B21" s="1201">
        <f ca="1">'预评函-2'!D7</f>
        <v>38333</v>
      </c>
    </row>
    <row r="22" spans="1:2" s="1202" customFormat="1">
      <c r="A22" s="1200" t="s">
        <v>538</v>
      </c>
      <c r="B22" s="1201" t="str">
        <f ca="1">'预评函-2'!D6</f>
        <v>肆佰捌拾贰万元整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482</v>
      </c>
    </row>
    <row r="31" spans="1:2" s="1202" customFormat="1">
      <c r="A31" s="1200" t="s">
        <v>576</v>
      </c>
      <c r="B31" s="1201">
        <f ca="1">'预评函-2'!D15</f>
        <v>38333</v>
      </c>
    </row>
    <row r="32" spans="1:2" s="1202" customFormat="1">
      <c r="A32" s="1200" t="s">
        <v>543</v>
      </c>
      <c r="B32" s="1201" t="str">
        <f ca="1">'预评函-2'!D14</f>
        <v>肆佰捌拾贰万元整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125.74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350</v>
      </c>
    </row>
    <row r="48" spans="1:2" s="1202" customFormat="1">
      <c r="A48" s="1200" t="s">
        <v>549</v>
      </c>
      <c r="B48" s="1201">
        <f ca="1">'预评函-3'!E4</f>
        <v>27835</v>
      </c>
    </row>
    <row r="49" spans="1:2" s="1202" customFormat="1">
      <c r="A49" s="1200" t="s">
        <v>550</v>
      </c>
      <c r="B49" s="1201" t="str">
        <f ca="1">'预评函-3'!D5</f>
        <v>叁佰伍拾万元整</v>
      </c>
    </row>
    <row r="50" spans="1:2" s="1202" customFormat="1">
      <c r="A50" s="1200" t="s">
        <v>574</v>
      </c>
      <c r="B50" s="1201" t="str">
        <f>'预评函-3'!F2</f>
        <v>在建建筑物价值</v>
      </c>
    </row>
    <row r="51" spans="1:2" s="1202" customFormat="1">
      <c r="A51" s="1200" t="s">
        <v>551</v>
      </c>
      <c r="B51" s="1201">
        <f ca="1">'预评函-3'!F4</f>
        <v>132</v>
      </c>
    </row>
    <row r="52" spans="1:2" s="1202" customFormat="1">
      <c r="A52" s="1200" t="s">
        <v>552</v>
      </c>
      <c r="B52" s="1201">
        <f ca="1">'预评函-3'!G4</f>
        <v>10498</v>
      </c>
    </row>
    <row r="53" spans="1:2" s="1202" customFormat="1">
      <c r="A53" s="1200" t="s">
        <v>580</v>
      </c>
      <c r="B53" s="1201" t="str">
        <f ca="1">'预评函-3'!F5</f>
        <v>壹佰叁拾贰万元整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7" t="s">
        <v>3579</v>
      </c>
      <c r="C5" s="1545" t="s">
        <v>318</v>
      </c>
      <c r="F5" s="1546" t="s">
        <v>1015</v>
      </c>
      <c r="G5" s="1546">
        <v>70</v>
      </c>
      <c r="H5" s="1546" t="s">
        <v>1016</v>
      </c>
      <c r="I5" s="1546" t="s">
        <v>3336</v>
      </c>
      <c r="K5" s="1546" t="s">
        <v>1017</v>
      </c>
      <c r="L5" s="1546" t="s">
        <v>1017</v>
      </c>
      <c r="M5" s="1546" t="s">
        <v>1017</v>
      </c>
      <c r="N5" s="1546" t="s">
        <v>1017</v>
      </c>
      <c r="O5" s="1546" t="s">
        <v>1017</v>
      </c>
      <c r="P5" s="1546" t="s">
        <v>1017</v>
      </c>
      <c r="Q5" s="1546" t="s">
        <v>1017</v>
      </c>
      <c r="R5" s="1546" t="s">
        <v>445</v>
      </c>
      <c r="S5" s="1546" t="s">
        <v>1017</v>
      </c>
      <c r="T5" s="1546" t="s">
        <v>1018</v>
      </c>
      <c r="U5" s="1546" t="s">
        <v>1017</v>
      </c>
      <c r="W5" s="1546" t="s">
        <v>1017</v>
      </c>
    </row>
    <row r="6" spans="1:23">
      <c r="A6" s="1544" t="s">
        <v>1019</v>
      </c>
      <c r="B6" s="1547" t="s">
        <v>449</v>
      </c>
      <c r="C6" s="1550" t="s">
        <v>24</v>
      </c>
      <c r="F6" s="1546" t="s">
        <v>1016</v>
      </c>
      <c r="H6" s="1546" t="s">
        <v>1020</v>
      </c>
      <c r="I6" s="1546" t="s">
        <v>3337</v>
      </c>
      <c r="K6" s="1546" t="s">
        <v>1021</v>
      </c>
      <c r="L6" s="1546" t="s">
        <v>1021</v>
      </c>
      <c r="M6" s="1546" t="s">
        <v>1021</v>
      </c>
      <c r="N6" s="1546" t="s">
        <v>1021</v>
      </c>
      <c r="O6" s="1546" t="s">
        <v>1021</v>
      </c>
      <c r="P6" s="1546" t="s">
        <v>1021</v>
      </c>
      <c r="Q6" s="1546" t="s">
        <v>1021</v>
      </c>
      <c r="R6" s="1546" t="s">
        <v>446</v>
      </c>
      <c r="S6" s="1546" t="s">
        <v>1021</v>
      </c>
      <c r="T6" s="1546"/>
      <c r="U6" s="1546" t="s">
        <v>1021</v>
      </c>
      <c r="W6" s="1546" t="s">
        <v>1021</v>
      </c>
    </row>
    <row r="7" spans="1:23">
      <c r="A7" s="1544" t="s">
        <v>1022</v>
      </c>
      <c r="B7" s="1547" t="s">
        <v>450</v>
      </c>
      <c r="C7" s="1545" t="s">
        <v>25</v>
      </c>
      <c r="F7" s="1546" t="s">
        <v>1023</v>
      </c>
      <c r="H7" s="1546" t="s">
        <v>1024</v>
      </c>
      <c r="I7" s="1546" t="s">
        <v>3338</v>
      </c>
    </row>
    <row r="8" spans="1:23">
      <c r="A8" s="1544" t="s">
        <v>1025</v>
      </c>
      <c r="B8" s="1544" t="s">
        <v>1026</v>
      </c>
      <c r="C8" s="1545" t="s">
        <v>319</v>
      </c>
      <c r="F8" s="1546" t="s">
        <v>1027</v>
      </c>
      <c r="H8" s="1546" t="s">
        <v>2571</v>
      </c>
      <c r="I8" s="1546" t="s">
        <v>3339</v>
      </c>
    </row>
    <row r="9" spans="1:23">
      <c r="A9" s="1544" t="s">
        <v>1028</v>
      </c>
      <c r="B9" s="1544" t="s">
        <v>1029</v>
      </c>
      <c r="C9" s="1545" t="s">
        <v>320</v>
      </c>
      <c r="F9" s="1546" t="s">
        <v>1030</v>
      </c>
      <c r="H9" s="1546"/>
      <c r="I9" s="1549" t="s">
        <v>3340</v>
      </c>
    </row>
    <row r="10" spans="1:23">
      <c r="A10" s="1544" t="s">
        <v>1031</v>
      </c>
      <c r="B10" s="1544" t="s">
        <v>1032</v>
      </c>
      <c r="C10" s="1545" t="s">
        <v>321</v>
      </c>
      <c r="F10" s="1546" t="s">
        <v>2572</v>
      </c>
      <c r="I10" s="1549" t="s">
        <v>3341</v>
      </c>
    </row>
    <row r="11" spans="1:23">
      <c r="A11" s="1544" t="s">
        <v>1033</v>
      </c>
      <c r="B11" s="1544" t="s">
        <v>1034</v>
      </c>
      <c r="C11" s="1545" t="s">
        <v>322</v>
      </c>
      <c r="F11" s="1546" t="s">
        <v>13</v>
      </c>
      <c r="I11" s="1549" t="s">
        <v>3342</v>
      </c>
    </row>
    <row r="12" spans="1:23">
      <c r="A12" s="1544" t="s">
        <v>1035</v>
      </c>
      <c r="B12" s="1544" t="s">
        <v>1036</v>
      </c>
      <c r="C12" s="1545" t="s">
        <v>323</v>
      </c>
      <c r="I12" s="1549" t="s">
        <v>3343</v>
      </c>
    </row>
    <row r="13" spans="1:23">
      <c r="A13" s="1544" t="s">
        <v>1037</v>
      </c>
      <c r="B13" s="1544" t="s">
        <v>1038</v>
      </c>
      <c r="C13" s="1545" t="s">
        <v>324</v>
      </c>
      <c r="I13" s="1549" t="s">
        <v>3344</v>
      </c>
    </row>
    <row r="14" spans="1:23">
      <c r="A14" s="1544" t="s">
        <v>1039</v>
      </c>
      <c r="B14" s="1544" t="s">
        <v>1040</v>
      </c>
      <c r="C14" s="1546" t="s">
        <v>13</v>
      </c>
      <c r="I14" s="1549" t="s">
        <v>3345</v>
      </c>
    </row>
    <row r="15" spans="1:23">
      <c r="A15" s="1544" t="s">
        <v>1041</v>
      </c>
      <c r="B15" s="1544" t="s">
        <v>1042</v>
      </c>
      <c r="C15" s="1545"/>
      <c r="I15" s="1549" t="s">
        <v>3346</v>
      </c>
    </row>
    <row r="16" spans="1:23">
      <c r="A16" s="1544" t="s">
        <v>1043</v>
      </c>
      <c r="B16" s="1544" t="s">
        <v>312</v>
      </c>
      <c r="C16" s="1545"/>
    </row>
    <row r="17" spans="1:3">
      <c r="A17" s="1544" t="s">
        <v>1044</v>
      </c>
      <c r="B17" s="1544" t="s">
        <v>2284</v>
      </c>
      <c r="C17" s="1545"/>
    </row>
    <row r="18" spans="1:3">
      <c r="A18" s="1544" t="s">
        <v>1045</v>
      </c>
      <c r="B18" s="1544" t="s">
        <v>2427</v>
      </c>
      <c r="C18" s="1545"/>
    </row>
    <row r="19" spans="1:3">
      <c r="A19" s="1544" t="s">
        <v>1046</v>
      </c>
      <c r="B19" s="1544" t="s">
        <v>313</v>
      </c>
      <c r="C19" s="1545"/>
    </row>
    <row r="20" spans="1:3">
      <c r="A20" s="1544" t="s">
        <v>1047</v>
      </c>
      <c r="B20" s="1544" t="s">
        <v>313</v>
      </c>
      <c r="C20" s="1545"/>
    </row>
    <row r="21" spans="1:3">
      <c r="A21" s="1544" t="s">
        <v>1048</v>
      </c>
      <c r="B21" s="1544" t="s">
        <v>313</v>
      </c>
      <c r="C21" s="1545"/>
    </row>
    <row r="22" spans="1:3">
      <c r="A22" s="1544" t="s">
        <v>1049</v>
      </c>
      <c r="B22" s="1544" t="s">
        <v>313</v>
      </c>
      <c r="C22" s="1545"/>
    </row>
    <row r="23" spans="1:3">
      <c r="A23" s="1544" t="s">
        <v>1050</v>
      </c>
      <c r="B23" s="1544" t="s">
        <v>313</v>
      </c>
      <c r="C23" s="1545"/>
    </row>
    <row r="24" spans="1:3">
      <c r="A24" s="1544" t="s">
        <v>1051</v>
      </c>
      <c r="B24" s="1544" t="s">
        <v>313</v>
      </c>
      <c r="C24" s="1545"/>
    </row>
    <row r="25" spans="1:3">
      <c r="A25" s="1544" t="s">
        <v>1052</v>
      </c>
      <c r="B25" s="1544" t="s">
        <v>313</v>
      </c>
      <c r="C25" s="1545"/>
    </row>
    <row r="26" spans="1:3">
      <c r="A26" s="1544" t="s">
        <v>1053</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2"/>
      <c r="B54" s="1552" t="s">
        <v>385</v>
      </c>
      <c r="C54" s="1549" t="s">
        <v>583</v>
      </c>
    </row>
    <row r="55" spans="1:4">
      <c r="A55" s="3542"/>
      <c r="B55" s="1552" t="s">
        <v>386</v>
      </c>
      <c r="C55" s="1549" t="s">
        <v>584</v>
      </c>
    </row>
    <row r="56" spans="1:4">
      <c r="A56" s="3542"/>
      <c r="B56" s="1552" t="s">
        <v>387</v>
      </c>
      <c r="C56" s="1549" t="s">
        <v>588</v>
      </c>
    </row>
    <row r="57" spans="1:4">
      <c r="A57" s="354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543" t="s">
        <v>2574</v>
      </c>
      <c r="J2" s="3543"/>
      <c r="K2" s="3543"/>
      <c r="L2" s="3543"/>
      <c r="M2" s="3543"/>
      <c r="N2" s="3543"/>
      <c r="O2" s="3543"/>
      <c r="P2" s="3543"/>
      <c r="Q2" s="3543"/>
      <c r="R2" s="3543"/>
    </row>
    <row r="3" spans="1:18">
      <c r="A3" s="3017" t="s">
        <v>2495</v>
      </c>
      <c r="B3" s="3018">
        <f>项目基本情况!D3</f>
        <v>45210</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3.19</v>
      </c>
      <c r="D5" s="3022">
        <f>IF(ISERROR(ROUND(POWER(1+E5,A5-C5)*(POWER(1+E5,C5)-1)/(POWER(1+E5,A5)-1),3)),0,ROUND(POWER(1+E5,A5-C5)*(POWER(1+E5,C5)-1)/(POWER(1+E5,A5)-1),4))</f>
        <v>0.14849999999999999</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13.2</v>
      </c>
      <c r="D6" s="3022">
        <f>IF(ISERROR(ROUND(POWER(1+E6,A6-C6)*(POWER(1+E6,C6)-1)/(POWER(1+E6,A6)-1),3)),0,ROUND(POWER(1+E6,A6-C6)*(POWER(1+E6,C6)-1)/(POWER(1+E6,A6)-1),4))</f>
        <v>0.4703</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33.21</v>
      </c>
      <c r="D7" s="3022">
        <f>IF(ISERROR(ROUND(POWER(1+E7,A7-C7)*(POWER(1+E7,C7)-1)/(POWER(1+E7,A7)-1),3)),0,ROUND(POWER(1+E7,A7-C7)*(POWER(1+E7,C7)-1)/(POWER(1+E7,A7)-1),4))</f>
        <v>0.77810000000000001</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7" sqref="L1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52" t="str">
        <f>IF(B10="北京市","北京市",C10)&amp;F10&amp;IF(结果表!G1="在建","出让国有建设用地使用权及在建建筑物",IF(结果表!G1="土地","出让国有建设用地使用权",))&amp;B9&amp;"预评估"</f>
        <v>北京市房地产抵押价值预评估</v>
      </c>
      <c r="C1" s="3553"/>
      <c r="D1" s="3553"/>
      <c r="E1" s="3553"/>
      <c r="F1" s="3553"/>
      <c r="G1" s="3553"/>
      <c r="H1" s="3553"/>
      <c r="I1" s="355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45210</v>
      </c>
      <c r="C3" s="2372" t="s">
        <v>2166</v>
      </c>
      <c r="D3" s="2371">
        <f>B3</f>
        <v>45210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t="s">
        <v>3369</v>
      </c>
      <c r="C4" s="2374">
        <f ca="1">SUMIF(注册房地产估价师,B4,估价师及机构信息!B3:B24)</f>
        <v>1120100036</v>
      </c>
      <c r="D4" s="2373" t="s">
        <v>3370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3371</v>
      </c>
      <c r="C8" s="2388"/>
      <c r="D8" s="3555" t="s">
        <v>2172</v>
      </c>
      <c r="E8" s="2389"/>
      <c r="F8" s="2390"/>
      <c r="G8" s="2661"/>
      <c r="H8" s="2661"/>
      <c r="I8" s="2661"/>
      <c r="J8" s="2437"/>
      <c r="K8" s="2612"/>
      <c r="L8" s="2611"/>
      <c r="M8" s="2611"/>
      <c r="N8" s="2437"/>
      <c r="O8" s="2448"/>
      <c r="P8" s="2437"/>
      <c r="Q8" s="2437"/>
      <c r="R8" s="2437"/>
    </row>
    <row r="9" spans="1:30" ht="13.5" thickBot="1">
      <c r="A9" s="2391" t="s">
        <v>2173</v>
      </c>
      <c r="B9" s="2392" t="s">
        <v>3372</v>
      </c>
      <c r="C9" s="2393"/>
      <c r="D9" s="3556"/>
      <c r="E9" s="2392"/>
      <c r="F9" s="2394"/>
      <c r="G9" s="2663"/>
      <c r="H9" s="2663"/>
      <c r="I9" s="2663"/>
      <c r="J9" s="2437"/>
      <c r="K9" s="2614"/>
      <c r="L9" s="2611"/>
      <c r="M9" s="2611"/>
      <c r="N9" s="2437"/>
      <c r="O9" s="2448"/>
      <c r="P9" s="2437"/>
      <c r="Q9" s="2437"/>
      <c r="R9" s="2437"/>
    </row>
    <row r="10" spans="1:30" ht="13.5" thickTop="1">
      <c r="A10" s="2395" t="s">
        <v>2174</v>
      </c>
      <c r="B10" s="2396" t="s">
        <v>3373</v>
      </c>
      <c r="C10" s="2397"/>
      <c r="D10" s="2380"/>
      <c r="E10" s="2398" t="s">
        <v>2175</v>
      </c>
      <c r="F10" s="3493"/>
      <c r="G10" s="2664"/>
      <c r="H10" s="2665"/>
      <c r="I10" s="2666"/>
      <c r="J10" s="2437"/>
      <c r="K10" s="2614"/>
      <c r="L10" s="2611"/>
      <c r="M10" s="2611"/>
      <c r="N10" s="2437"/>
      <c r="O10" s="2448"/>
      <c r="P10" s="2437"/>
      <c r="Q10" s="2437"/>
      <c r="R10" s="2437"/>
    </row>
    <row r="11" spans="1:30">
      <c r="A11" s="2399" t="s">
        <v>2176</v>
      </c>
      <c r="B11" s="2400" t="s">
        <v>3629</v>
      </c>
      <c r="C11" s="2401"/>
      <c r="D11" s="2402"/>
      <c r="E11" s="2368"/>
      <c r="F11" s="2368"/>
      <c r="G11" s="2368"/>
      <c r="H11" s="2368"/>
      <c r="I11" s="2368"/>
      <c r="J11" s="3058"/>
      <c r="K11" s="3057"/>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6" t="s">
        <v>2570</v>
      </c>
      <c r="J12" s="3059"/>
      <c r="K12" s="2611"/>
      <c r="L12" s="2611"/>
      <c r="M12" s="2437"/>
      <c r="N12" s="2448"/>
      <c r="O12" s="2437"/>
      <c r="P12" s="2437"/>
      <c r="Q12" s="2437"/>
      <c r="AD12" s="1743"/>
    </row>
    <row r="13" spans="1:30">
      <c r="A13" s="3420" t="s">
        <v>3328</v>
      </c>
      <c r="B13" s="2405" t="s">
        <v>2185</v>
      </c>
      <c r="C13" s="855"/>
      <c r="D13" s="855">
        <v>56464</v>
      </c>
      <c r="E13" s="855"/>
      <c r="F13" s="855"/>
      <c r="G13" s="855"/>
      <c r="H13" s="855"/>
      <c r="I13" s="855"/>
      <c r="J13" s="3059"/>
      <c r="K13" s="2611"/>
      <c r="L13" s="2611"/>
      <c r="M13" s="2437"/>
      <c r="N13" s="2448"/>
      <c r="O13" s="2437"/>
      <c r="P13" s="2437"/>
      <c r="Q13" s="2437"/>
      <c r="AD13" s="1743"/>
    </row>
    <row r="14" spans="1:30">
      <c r="A14" s="1080"/>
      <c r="B14" s="2405" t="s">
        <v>2186</v>
      </c>
      <c r="C14" s="2406"/>
      <c r="D14" s="2406">
        <v>40</v>
      </c>
      <c r="E14" s="2406"/>
      <c r="F14" s="2406"/>
      <c r="G14" s="2406"/>
      <c r="H14" s="2406"/>
      <c r="I14" s="2406"/>
      <c r="J14" s="3060"/>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30.83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2188</v>
      </c>
      <c r="B16" s="3562"/>
      <c r="C16" s="3563"/>
      <c r="D16" s="3564"/>
      <c r="E16" s="2411" t="s">
        <v>2189</v>
      </c>
      <c r="F16" s="3565"/>
      <c r="G16" s="3566"/>
      <c r="H16" s="3566"/>
      <c r="I16" s="3567"/>
      <c r="J16" s="2437"/>
      <c r="K16" s="2615"/>
      <c r="L16" s="2449"/>
      <c r="M16" s="2449"/>
      <c r="N16" s="2507"/>
      <c r="O16" s="2449"/>
      <c r="P16" s="2507"/>
      <c r="Q16" s="2437"/>
      <c r="R16" s="2437"/>
    </row>
    <row r="17" spans="1:28">
      <c r="A17" s="313" t="s">
        <v>2190</v>
      </c>
      <c r="B17" s="302" t="s">
        <v>2191</v>
      </c>
      <c r="C17" s="8">
        <f>'数据-汇总表'!E3</f>
        <v>125.74</v>
      </c>
      <c r="D17" s="2320" t="s">
        <v>2192</v>
      </c>
      <c r="E17" s="3568" t="s">
        <v>2193</v>
      </c>
      <c r="F17" s="3569"/>
      <c r="G17" s="3569"/>
      <c r="H17" s="3569"/>
      <c r="I17" s="3570"/>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0</v>
      </c>
      <c r="D18" s="1091" t="s">
        <v>2196</v>
      </c>
      <c r="E18" s="3571" t="s">
        <v>2197</v>
      </c>
      <c r="F18" s="3572"/>
      <c r="G18" s="3572"/>
      <c r="H18" s="3572"/>
      <c r="I18" s="3573"/>
      <c r="J18" s="2437"/>
      <c r="K18" s="2616"/>
      <c r="L18" s="2449"/>
      <c r="M18" s="2449"/>
      <c r="N18" s="2507"/>
      <c r="O18" s="2449"/>
      <c r="P18" s="2507"/>
      <c r="Q18" s="2437"/>
      <c r="R18" s="2437"/>
      <c r="S18" s="2437"/>
      <c r="T18" s="2437"/>
      <c r="U18" s="2437"/>
      <c r="V18" s="2437"/>
    </row>
    <row r="19" spans="1:28" ht="37.5" thickTop="1" thickBot="1">
      <c r="A19" s="327" t="s">
        <v>1054</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58" t="s">
        <v>2201</v>
      </c>
      <c r="C20" s="3559"/>
      <c r="D20" s="3560" t="s">
        <v>2202</v>
      </c>
      <c r="E20" s="3561"/>
      <c r="F20" s="2645" t="s">
        <v>1055</v>
      </c>
      <c r="G20" s="2662"/>
      <c r="H20" s="2662"/>
      <c r="I20" s="2662"/>
      <c r="J20" s="2437"/>
      <c r="K20" s="3557"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1056</v>
      </c>
      <c r="D21" s="1566" t="s">
        <v>2205</v>
      </c>
      <c r="E21" s="2633" t="s">
        <v>1056</v>
      </c>
      <c r="F21" s="2646"/>
      <c r="G21" s="2662"/>
      <c r="H21" s="2662"/>
      <c r="I21" s="2662"/>
      <c r="J21" s="2437"/>
      <c r="K21" s="355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1057</v>
      </c>
      <c r="D22" s="2661"/>
      <c r="E22" s="2661"/>
      <c r="F22" s="2661"/>
      <c r="G22" s="2662"/>
      <c r="H22" s="2662"/>
      <c r="I22" s="2662"/>
      <c r="J22" s="2437"/>
      <c r="K22" s="355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5" t="s">
        <v>2209</v>
      </c>
      <c r="B27" s="320" t="s">
        <v>2210</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5"/>
      <c r="B28" s="302" t="s">
        <v>2211</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5"/>
      <c r="B29" s="302" t="s">
        <v>2212</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6"/>
      <c r="B30" s="302" t="s">
        <v>2213</v>
      </c>
      <c r="C30" s="3547"/>
      <c r="D30" s="3548"/>
      <c r="E30" s="2662"/>
      <c r="F30" s="2662"/>
      <c r="G30" s="2662"/>
      <c r="H30" s="2662"/>
      <c r="I30" s="2662"/>
      <c r="J30" s="2437"/>
      <c r="K30" s="2614"/>
      <c r="L30" s="2611"/>
      <c r="M30" s="2611"/>
      <c r="N30" s="2437"/>
      <c r="O30" s="2448"/>
      <c r="P30" s="2437"/>
      <c r="Q30" s="2437"/>
      <c r="R30" s="2437"/>
      <c r="S30" s="2437"/>
      <c r="T30" s="2437"/>
      <c r="U30" s="2437"/>
      <c r="V30" s="2437"/>
    </row>
    <row r="31" spans="1:28">
      <c r="A31" s="3549" t="s">
        <v>2214</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5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5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44" t="s">
        <v>2223</v>
      </c>
      <c r="T34" s="2426" t="str">
        <f>NUMBERSTRING(7-K34,1)&amp;"通"</f>
        <v>七通</v>
      </c>
      <c r="U34" s="2437"/>
      <c r="V34" s="2437"/>
    </row>
    <row r="35" spans="1:30">
      <c r="A35" s="2427"/>
      <c r="B35" s="3551" t="s">
        <v>2224</v>
      </c>
      <c r="C35" s="3551"/>
      <c r="D35" s="3551"/>
      <c r="E35" s="3551"/>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7"/>
      <c r="V35" s="2437"/>
    </row>
    <row r="36" spans="1:30">
      <c r="A36" s="2428"/>
      <c r="B36" s="663" t="s">
        <v>2180</v>
      </c>
      <c r="C36" s="663" t="s">
        <v>2181</v>
      </c>
      <c r="D36" s="663" t="s">
        <v>2179</v>
      </c>
      <c r="E36" s="663" t="s">
        <v>2184</v>
      </c>
      <c r="F36" s="3062" t="s">
        <v>2573</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workbookViewId="0">
      <selection activeCell="J26" sqref="J26"/>
    </sheetView>
  </sheetViews>
  <sheetFormatPr defaultRowHeight="14.25"/>
  <cols>
    <col min="1" max="1" width="9" style="3487"/>
    <col min="2" max="2" width="13.625" style="3487" customWidth="1"/>
    <col min="3" max="3" width="11" style="3487" customWidth="1"/>
    <col min="4" max="4" width="10.75" style="3487" customWidth="1"/>
    <col min="5" max="5" width="12" style="3487" customWidth="1"/>
    <col min="6" max="7" width="9.875" style="3487" customWidth="1"/>
    <col min="8" max="16384" width="9" style="3484"/>
  </cols>
  <sheetData>
    <row r="1" spans="1:7">
      <c r="A1" s="3482" t="s">
        <v>3374</v>
      </c>
      <c r="B1" s="3482" t="s">
        <v>3375</v>
      </c>
      <c r="C1" s="3482" t="s">
        <v>3376</v>
      </c>
      <c r="D1" s="3482" t="s">
        <v>3377</v>
      </c>
      <c r="E1" s="3482" t="s">
        <v>3378</v>
      </c>
      <c r="F1" s="3483" t="s">
        <v>3575</v>
      </c>
      <c r="G1" s="3483" t="s">
        <v>3585</v>
      </c>
    </row>
    <row r="2" spans="1:7">
      <c r="A2" s="3482">
        <v>1</v>
      </c>
      <c r="B2" s="3482" t="s">
        <v>3379</v>
      </c>
      <c r="C2" s="3482" t="s">
        <v>3386</v>
      </c>
      <c r="D2" s="3482">
        <v>5</v>
      </c>
      <c r="E2" s="3482">
        <v>108.47</v>
      </c>
      <c r="F2" s="3483" t="s">
        <v>3387</v>
      </c>
      <c r="G2" s="3483" t="s">
        <v>3387</v>
      </c>
    </row>
    <row r="3" spans="1:7">
      <c r="A3" s="3482">
        <v>2</v>
      </c>
      <c r="B3" s="3482" t="s">
        <v>3380</v>
      </c>
      <c r="C3" s="3482" t="s">
        <v>3386</v>
      </c>
      <c r="D3" s="3482">
        <v>5</v>
      </c>
      <c r="E3" s="3482">
        <v>108.47</v>
      </c>
      <c r="F3" s="3483" t="s">
        <v>3387</v>
      </c>
      <c r="G3" s="3483" t="s">
        <v>3387</v>
      </c>
    </row>
    <row r="4" spans="1:7">
      <c r="A4" s="3482">
        <v>3</v>
      </c>
      <c r="B4" s="3482" t="s">
        <v>3381</v>
      </c>
      <c r="C4" s="3482" t="s">
        <v>3386</v>
      </c>
      <c r="D4" s="3482">
        <v>5</v>
      </c>
      <c r="E4" s="3482">
        <v>108.47</v>
      </c>
      <c r="F4" s="3483" t="s">
        <v>3387</v>
      </c>
      <c r="G4" s="3483" t="s">
        <v>3587</v>
      </c>
    </row>
    <row r="5" spans="1:7">
      <c r="A5" s="3482">
        <v>4</v>
      </c>
      <c r="B5" s="3482" t="s">
        <v>3382</v>
      </c>
      <c r="C5" s="3482" t="s">
        <v>3386</v>
      </c>
      <c r="D5" s="3482">
        <v>5</v>
      </c>
      <c r="E5" s="3482">
        <v>108.47</v>
      </c>
      <c r="F5" s="3483" t="s">
        <v>3387</v>
      </c>
      <c r="G5" s="3483" t="s">
        <v>3387</v>
      </c>
    </row>
    <row r="6" spans="1:7">
      <c r="A6" s="3482">
        <v>5</v>
      </c>
      <c r="B6" s="3482" t="s">
        <v>3383</v>
      </c>
      <c r="C6" s="3482" t="s">
        <v>3386</v>
      </c>
      <c r="D6" s="3482">
        <v>5</v>
      </c>
      <c r="E6" s="3482">
        <v>138.01</v>
      </c>
      <c r="F6" s="3483" t="s">
        <v>3387</v>
      </c>
      <c r="G6" s="3483" t="s">
        <v>3387</v>
      </c>
    </row>
    <row r="7" spans="1:7">
      <c r="A7" s="3482">
        <v>6</v>
      </c>
      <c r="B7" s="3482" t="s">
        <v>3384</v>
      </c>
      <c r="C7" s="3482" t="s">
        <v>3386</v>
      </c>
      <c r="D7" s="3482">
        <v>5</v>
      </c>
      <c r="E7" s="3482">
        <v>138.01</v>
      </c>
      <c r="F7" s="3483" t="s">
        <v>3387</v>
      </c>
      <c r="G7" s="3483" t="s">
        <v>3387</v>
      </c>
    </row>
    <row r="8" spans="1:7">
      <c r="A8" s="3482">
        <v>7</v>
      </c>
      <c r="B8" s="3482" t="s">
        <v>3385</v>
      </c>
      <c r="C8" s="3482" t="s">
        <v>3386</v>
      </c>
      <c r="D8" s="3482">
        <v>5</v>
      </c>
      <c r="E8" s="3482">
        <v>201.75</v>
      </c>
      <c r="F8" s="3483" t="s">
        <v>3387</v>
      </c>
      <c r="G8" s="3483" t="s">
        <v>3387</v>
      </c>
    </row>
    <row r="9" spans="1:7">
      <c r="A9" s="3482">
        <v>8</v>
      </c>
      <c r="B9" s="3482" t="s">
        <v>3388</v>
      </c>
      <c r="C9" s="3482" t="s">
        <v>3386</v>
      </c>
      <c r="D9" s="3482">
        <v>6</v>
      </c>
      <c r="E9" s="3482">
        <v>206.15</v>
      </c>
      <c r="F9" s="3483" t="s">
        <v>3387</v>
      </c>
      <c r="G9" s="3483" t="s">
        <v>3587</v>
      </c>
    </row>
    <row r="10" spans="1:7">
      <c r="A10" s="3482">
        <v>9</v>
      </c>
      <c r="B10" s="3482" t="s">
        <v>3389</v>
      </c>
      <c r="C10" s="3482" t="s">
        <v>3386</v>
      </c>
      <c r="D10" s="3482">
        <v>6</v>
      </c>
      <c r="E10" s="3482">
        <v>109.06</v>
      </c>
      <c r="F10" s="3483" t="s">
        <v>3387</v>
      </c>
      <c r="G10" s="3483" t="s">
        <v>3587</v>
      </c>
    </row>
    <row r="11" spans="1:7">
      <c r="A11" s="3482">
        <v>10</v>
      </c>
      <c r="B11" s="3482" t="s">
        <v>3390</v>
      </c>
      <c r="C11" s="3482" t="s">
        <v>3386</v>
      </c>
      <c r="D11" s="3482">
        <v>6</v>
      </c>
      <c r="E11" s="3482">
        <v>108.47</v>
      </c>
      <c r="F11" s="3483" t="s">
        <v>3387</v>
      </c>
      <c r="G11" s="3483" t="s">
        <v>3387</v>
      </c>
    </row>
    <row r="12" spans="1:7">
      <c r="A12" s="3482">
        <v>11</v>
      </c>
      <c r="B12" s="3482" t="s">
        <v>3391</v>
      </c>
      <c r="C12" s="3482" t="s">
        <v>3386</v>
      </c>
      <c r="D12" s="3482">
        <v>6</v>
      </c>
      <c r="E12" s="3482">
        <v>108.47</v>
      </c>
      <c r="F12" s="3483" t="s">
        <v>3387</v>
      </c>
      <c r="G12" s="3483" t="s">
        <v>3387</v>
      </c>
    </row>
    <row r="13" spans="1:7">
      <c r="A13" s="3482">
        <v>12</v>
      </c>
      <c r="B13" s="3482" t="s">
        <v>3392</v>
      </c>
      <c r="C13" s="3482" t="s">
        <v>3386</v>
      </c>
      <c r="D13" s="3482">
        <v>6</v>
      </c>
      <c r="E13" s="3482">
        <v>108.47</v>
      </c>
      <c r="F13" s="3483" t="s">
        <v>3387</v>
      </c>
      <c r="G13" s="3483" t="s">
        <v>3387</v>
      </c>
    </row>
    <row r="14" spans="1:7">
      <c r="A14" s="3482">
        <v>13</v>
      </c>
      <c r="B14" s="3482" t="s">
        <v>3393</v>
      </c>
      <c r="C14" s="3482" t="s">
        <v>3386</v>
      </c>
      <c r="D14" s="3482">
        <v>6</v>
      </c>
      <c r="E14" s="3482">
        <v>108.47</v>
      </c>
      <c r="F14" s="3483" t="s">
        <v>3387</v>
      </c>
      <c r="G14" s="3483" t="s">
        <v>3387</v>
      </c>
    </row>
    <row r="15" spans="1:7">
      <c r="A15" s="3482">
        <v>14</v>
      </c>
      <c r="B15" s="3482" t="s">
        <v>3394</v>
      </c>
      <c r="C15" s="3482" t="s">
        <v>3386</v>
      </c>
      <c r="D15" s="3482">
        <v>6</v>
      </c>
      <c r="E15" s="3482">
        <v>201.75</v>
      </c>
      <c r="F15" s="3483" t="s">
        <v>3387</v>
      </c>
      <c r="G15" s="3483" t="s">
        <v>3587</v>
      </c>
    </row>
    <row r="16" spans="1:7">
      <c r="A16" s="3482">
        <v>15</v>
      </c>
      <c r="B16" s="3482" t="s">
        <v>3395</v>
      </c>
      <c r="C16" s="3482" t="s">
        <v>3386</v>
      </c>
      <c r="D16" s="3482">
        <v>7</v>
      </c>
      <c r="E16" s="3482">
        <v>142.4</v>
      </c>
      <c r="F16" s="3483" t="s">
        <v>3387</v>
      </c>
      <c r="G16" s="3483" t="s">
        <v>3587</v>
      </c>
    </row>
    <row r="17" spans="1:7">
      <c r="A17" s="3482">
        <v>16</v>
      </c>
      <c r="B17" s="3482" t="s">
        <v>3396</v>
      </c>
      <c r="C17" s="3482" t="s">
        <v>3386</v>
      </c>
      <c r="D17" s="3482">
        <v>7</v>
      </c>
      <c r="E17" s="3482">
        <v>108.47</v>
      </c>
      <c r="F17" s="3483" t="s">
        <v>3387</v>
      </c>
      <c r="G17" s="3483" t="s">
        <v>3387</v>
      </c>
    </row>
    <row r="18" spans="1:7">
      <c r="A18" s="3482">
        <v>17</v>
      </c>
      <c r="B18" s="3482" t="s">
        <v>3397</v>
      </c>
      <c r="C18" s="3482" t="s">
        <v>3386</v>
      </c>
      <c r="D18" s="3482">
        <v>7</v>
      </c>
      <c r="E18" s="3482">
        <v>108.47</v>
      </c>
      <c r="F18" s="3483" t="s">
        <v>3387</v>
      </c>
      <c r="G18" s="3483" t="s">
        <v>3387</v>
      </c>
    </row>
    <row r="19" spans="1:7">
      <c r="A19" s="3482">
        <v>18</v>
      </c>
      <c r="B19" s="3482" t="s">
        <v>3398</v>
      </c>
      <c r="C19" s="3482" t="s">
        <v>3386</v>
      </c>
      <c r="D19" s="3482">
        <v>7</v>
      </c>
      <c r="E19" s="3482">
        <v>108.47</v>
      </c>
      <c r="F19" s="3483" t="s">
        <v>3387</v>
      </c>
      <c r="G19" s="3483" t="s">
        <v>3587</v>
      </c>
    </row>
    <row r="20" spans="1:7">
      <c r="A20" s="3482">
        <v>19</v>
      </c>
      <c r="B20" s="3482" t="s">
        <v>3399</v>
      </c>
      <c r="C20" s="3482" t="s">
        <v>3386</v>
      </c>
      <c r="D20" s="3482">
        <v>7</v>
      </c>
      <c r="E20" s="3482">
        <v>108.47</v>
      </c>
      <c r="F20" s="3483" t="s">
        <v>3387</v>
      </c>
      <c r="G20" s="3483" t="s">
        <v>3587</v>
      </c>
    </row>
    <row r="21" spans="1:7">
      <c r="A21" s="3482">
        <v>20</v>
      </c>
      <c r="B21" s="3482" t="s">
        <v>3400</v>
      </c>
      <c r="C21" s="3482" t="s">
        <v>3386</v>
      </c>
      <c r="D21" s="3482">
        <v>7</v>
      </c>
      <c r="E21" s="3482">
        <v>142.4</v>
      </c>
      <c r="F21" s="3483" t="s">
        <v>3387</v>
      </c>
      <c r="G21" s="3483" t="s">
        <v>3587</v>
      </c>
    </row>
    <row r="22" spans="1:7">
      <c r="A22" s="3482">
        <v>21</v>
      </c>
      <c r="B22" s="3482" t="s">
        <v>3401</v>
      </c>
      <c r="C22" s="3482" t="s">
        <v>3386</v>
      </c>
      <c r="D22" s="3482">
        <v>8</v>
      </c>
      <c r="E22" s="3482">
        <v>208.9</v>
      </c>
      <c r="F22" s="3483" t="s">
        <v>3387</v>
      </c>
      <c r="G22" s="3483" t="s">
        <v>3587</v>
      </c>
    </row>
    <row r="23" spans="1:7">
      <c r="A23" s="3482">
        <v>22</v>
      </c>
      <c r="B23" s="3482" t="s">
        <v>3402</v>
      </c>
      <c r="C23" s="3482" t="s">
        <v>3386</v>
      </c>
      <c r="D23" s="3482">
        <v>8</v>
      </c>
      <c r="E23" s="3482">
        <v>142.4</v>
      </c>
      <c r="F23" s="3483" t="s">
        <v>3387</v>
      </c>
      <c r="G23" s="3483" t="s">
        <v>3587</v>
      </c>
    </row>
    <row r="24" spans="1:7">
      <c r="A24" s="3482">
        <v>23</v>
      </c>
      <c r="B24" s="3482" t="s">
        <v>3403</v>
      </c>
      <c r="C24" s="3482" t="s">
        <v>3386</v>
      </c>
      <c r="D24" s="3482">
        <v>8</v>
      </c>
      <c r="E24" s="3482">
        <v>108.47</v>
      </c>
      <c r="F24" s="3483" t="s">
        <v>3387</v>
      </c>
      <c r="G24" s="3483" t="s">
        <v>3587</v>
      </c>
    </row>
    <row r="25" spans="1:7">
      <c r="A25" s="3482">
        <v>24</v>
      </c>
      <c r="B25" s="3482" t="s">
        <v>3404</v>
      </c>
      <c r="C25" s="3482" t="s">
        <v>3386</v>
      </c>
      <c r="D25" s="3482">
        <v>8</v>
      </c>
      <c r="E25" s="3482">
        <v>108.47</v>
      </c>
      <c r="F25" s="3483" t="s">
        <v>3387</v>
      </c>
      <c r="G25" s="3483" t="s">
        <v>3587</v>
      </c>
    </row>
    <row r="26" spans="1:7">
      <c r="A26" s="3482">
        <v>25</v>
      </c>
      <c r="B26" s="3482" t="s">
        <v>3405</v>
      </c>
      <c r="C26" s="3482" t="s">
        <v>3386</v>
      </c>
      <c r="D26" s="3482">
        <v>8</v>
      </c>
      <c r="E26" s="3482">
        <v>108.47</v>
      </c>
      <c r="F26" s="3483" t="s">
        <v>3387</v>
      </c>
      <c r="G26" s="3483" t="s">
        <v>3587</v>
      </c>
    </row>
    <row r="27" spans="1:7">
      <c r="A27" s="3482">
        <v>26</v>
      </c>
      <c r="B27" s="3482" t="s">
        <v>3406</v>
      </c>
      <c r="C27" s="3482" t="s">
        <v>3386</v>
      </c>
      <c r="D27" s="3482">
        <v>9</v>
      </c>
      <c r="E27" s="3482">
        <v>109.06</v>
      </c>
      <c r="F27" s="3483" t="s">
        <v>3387</v>
      </c>
      <c r="G27" s="3483" t="s">
        <v>3587</v>
      </c>
    </row>
    <row r="28" spans="1:7">
      <c r="A28" s="3482">
        <v>27</v>
      </c>
      <c r="B28" s="3482" t="s">
        <v>3407</v>
      </c>
      <c r="C28" s="3482" t="s">
        <v>3386</v>
      </c>
      <c r="D28" s="3482">
        <v>9</v>
      </c>
      <c r="E28" s="3482">
        <v>109.06</v>
      </c>
      <c r="F28" s="3483" t="s">
        <v>3387</v>
      </c>
      <c r="G28" s="3483" t="s">
        <v>3587</v>
      </c>
    </row>
    <row r="29" spans="1:7">
      <c r="A29" s="3482">
        <v>28</v>
      </c>
      <c r="B29" s="3482" t="s">
        <v>3408</v>
      </c>
      <c r="C29" s="3482" t="s">
        <v>3386</v>
      </c>
      <c r="D29" s="3482">
        <v>9</v>
      </c>
      <c r="E29" s="3482">
        <v>109.06</v>
      </c>
      <c r="F29" s="3483" t="s">
        <v>3387</v>
      </c>
      <c r="G29" s="3483" t="s">
        <v>3587</v>
      </c>
    </row>
    <row r="30" spans="1:7">
      <c r="A30" s="3482">
        <v>29</v>
      </c>
      <c r="B30" s="3482" t="s">
        <v>3409</v>
      </c>
      <c r="C30" s="3482" t="s">
        <v>3386</v>
      </c>
      <c r="D30" s="3482">
        <v>9</v>
      </c>
      <c r="E30" s="3482">
        <v>142.4</v>
      </c>
      <c r="F30" s="3483" t="s">
        <v>3387</v>
      </c>
      <c r="G30" s="3483" t="s">
        <v>3587</v>
      </c>
    </row>
    <row r="31" spans="1:7">
      <c r="A31" s="3482">
        <v>30</v>
      </c>
      <c r="B31" s="3482" t="s">
        <v>3410</v>
      </c>
      <c r="C31" s="3482" t="s">
        <v>3386</v>
      </c>
      <c r="D31" s="3482">
        <v>9</v>
      </c>
      <c r="E31" s="3482">
        <v>108.47</v>
      </c>
      <c r="F31" s="3483" t="s">
        <v>3387</v>
      </c>
      <c r="G31" s="3483" t="s">
        <v>3587</v>
      </c>
    </row>
    <row r="32" spans="1:7">
      <c r="A32" s="3482">
        <v>31</v>
      </c>
      <c r="B32" s="3482" t="s">
        <v>3411</v>
      </c>
      <c r="C32" s="3482" t="s">
        <v>3386</v>
      </c>
      <c r="D32" s="3482">
        <v>9</v>
      </c>
      <c r="E32" s="3482">
        <v>108.47</v>
      </c>
      <c r="F32" s="3483" t="s">
        <v>3387</v>
      </c>
      <c r="G32" s="3483" t="s">
        <v>3587</v>
      </c>
    </row>
    <row r="33" spans="1:7">
      <c r="A33" s="3482">
        <v>32</v>
      </c>
      <c r="B33" s="3482" t="s">
        <v>3412</v>
      </c>
      <c r="C33" s="3482" t="s">
        <v>3386</v>
      </c>
      <c r="D33" s="3482">
        <v>9</v>
      </c>
      <c r="E33" s="3482">
        <v>100.31</v>
      </c>
      <c r="F33" s="3483" t="s">
        <v>3387</v>
      </c>
      <c r="G33" s="3483" t="s">
        <v>3587</v>
      </c>
    </row>
    <row r="34" spans="1:7">
      <c r="A34" s="3482">
        <v>33</v>
      </c>
      <c r="B34" s="3482" t="s">
        <v>3414</v>
      </c>
      <c r="C34" s="3482" t="s">
        <v>3386</v>
      </c>
      <c r="D34" s="3482">
        <v>9</v>
      </c>
      <c r="E34" s="3482">
        <v>108.47</v>
      </c>
      <c r="F34" s="3483" t="s">
        <v>3387</v>
      </c>
      <c r="G34" s="3483" t="s">
        <v>3587</v>
      </c>
    </row>
    <row r="35" spans="1:7">
      <c r="A35" s="3482">
        <v>34</v>
      </c>
      <c r="B35" s="3482" t="s">
        <v>3413</v>
      </c>
      <c r="C35" s="3482" t="s">
        <v>3386</v>
      </c>
      <c r="D35" s="3482">
        <v>9</v>
      </c>
      <c r="E35" s="3482">
        <v>108.47</v>
      </c>
      <c r="F35" s="3483" t="s">
        <v>3387</v>
      </c>
      <c r="G35" s="3483" t="s">
        <v>3587</v>
      </c>
    </row>
    <row r="36" spans="1:7">
      <c r="A36" s="3482">
        <v>35</v>
      </c>
      <c r="B36" s="3482" t="s">
        <v>3415</v>
      </c>
      <c r="C36" s="3482" t="s">
        <v>3386</v>
      </c>
      <c r="D36" s="3482">
        <v>9</v>
      </c>
      <c r="E36" s="3482">
        <v>142.4</v>
      </c>
      <c r="F36" s="3483" t="s">
        <v>3387</v>
      </c>
      <c r="G36" s="3483" t="s">
        <v>3587</v>
      </c>
    </row>
    <row r="37" spans="1:7">
      <c r="A37" s="3482">
        <v>36</v>
      </c>
      <c r="B37" s="3482" t="s">
        <v>3416</v>
      </c>
      <c r="C37" s="3482" t="s">
        <v>3386</v>
      </c>
      <c r="D37" s="3482">
        <v>10</v>
      </c>
      <c r="E37" s="3482">
        <v>109.06</v>
      </c>
      <c r="F37" s="3483" t="s">
        <v>3387</v>
      </c>
      <c r="G37" s="3483" t="s">
        <v>3587</v>
      </c>
    </row>
    <row r="38" spans="1:7">
      <c r="A38" s="3482">
        <v>37</v>
      </c>
      <c r="B38" s="3482" t="s">
        <v>3417</v>
      </c>
      <c r="C38" s="3482" t="s">
        <v>3386</v>
      </c>
      <c r="D38" s="3482">
        <v>10</v>
      </c>
      <c r="E38" s="3482">
        <v>100.31</v>
      </c>
      <c r="F38" s="3483" t="s">
        <v>3387</v>
      </c>
      <c r="G38" s="3483" t="s">
        <v>3587</v>
      </c>
    </row>
    <row r="39" spans="1:7">
      <c r="A39" s="3482">
        <v>38</v>
      </c>
      <c r="B39" s="3482" t="s">
        <v>3418</v>
      </c>
      <c r="C39" s="3482" t="s">
        <v>3386</v>
      </c>
      <c r="D39" s="3482">
        <v>11</v>
      </c>
      <c r="E39" s="3482">
        <v>109.06</v>
      </c>
      <c r="F39" s="3483" t="s">
        <v>3387</v>
      </c>
      <c r="G39" s="3483" t="s">
        <v>3587</v>
      </c>
    </row>
    <row r="40" spans="1:7">
      <c r="A40" s="3482">
        <v>39</v>
      </c>
      <c r="B40" s="3482" t="s">
        <v>3419</v>
      </c>
      <c r="C40" s="3482" t="s">
        <v>3386</v>
      </c>
      <c r="D40" s="3482">
        <v>11</v>
      </c>
      <c r="E40" s="3482">
        <v>208.9</v>
      </c>
      <c r="F40" s="3483" t="s">
        <v>3387</v>
      </c>
      <c r="G40" s="3483" t="s">
        <v>3587</v>
      </c>
    </row>
    <row r="41" spans="1:7">
      <c r="A41" s="3482">
        <v>40</v>
      </c>
      <c r="B41" s="3482" t="s">
        <v>3420</v>
      </c>
      <c r="C41" s="3482" t="s">
        <v>3386</v>
      </c>
      <c r="D41" s="3482">
        <v>11</v>
      </c>
      <c r="E41" s="3482">
        <v>108.47</v>
      </c>
      <c r="F41" s="3483" t="s">
        <v>3387</v>
      </c>
      <c r="G41" s="3483" t="s">
        <v>3587</v>
      </c>
    </row>
    <row r="42" spans="1:7">
      <c r="A42" s="3482">
        <v>41</v>
      </c>
      <c r="B42" s="3482" t="s">
        <v>3421</v>
      </c>
      <c r="C42" s="3482" t="s">
        <v>3386</v>
      </c>
      <c r="D42" s="3482">
        <v>11</v>
      </c>
      <c r="E42" s="3482">
        <v>100.31</v>
      </c>
      <c r="F42" s="3483" t="s">
        <v>3387</v>
      </c>
      <c r="G42" s="3483" t="s">
        <v>3587</v>
      </c>
    </row>
    <row r="43" spans="1:7">
      <c r="A43" s="3482">
        <v>42</v>
      </c>
      <c r="B43" s="3482" t="s">
        <v>3422</v>
      </c>
      <c r="C43" s="3482" t="s">
        <v>3386</v>
      </c>
      <c r="D43" s="3482">
        <v>11</v>
      </c>
      <c r="E43" s="3482">
        <v>108.47</v>
      </c>
      <c r="F43" s="3483" t="s">
        <v>3387</v>
      </c>
      <c r="G43" s="3483" t="s">
        <v>3587</v>
      </c>
    </row>
    <row r="44" spans="1:7">
      <c r="A44" s="3482">
        <v>43</v>
      </c>
      <c r="B44" s="3482" t="s">
        <v>3423</v>
      </c>
      <c r="C44" s="3482" t="s">
        <v>3386</v>
      </c>
      <c r="D44" s="3482">
        <v>11</v>
      </c>
      <c r="E44" s="3482">
        <v>142.4</v>
      </c>
      <c r="F44" s="3483" t="s">
        <v>3387</v>
      </c>
      <c r="G44" s="3483" t="s">
        <v>3587</v>
      </c>
    </row>
    <row r="45" spans="1:7">
      <c r="A45" s="3482">
        <v>44</v>
      </c>
      <c r="B45" s="3482" t="s">
        <v>3424</v>
      </c>
      <c r="C45" s="3482" t="s">
        <v>3386</v>
      </c>
      <c r="D45" s="3482">
        <v>14</v>
      </c>
      <c r="E45" s="3482">
        <v>109.06</v>
      </c>
      <c r="F45" s="3483" t="s">
        <v>3387</v>
      </c>
      <c r="G45" s="3483" t="s">
        <v>3387</v>
      </c>
    </row>
    <row r="46" spans="1:7">
      <c r="A46" s="3482">
        <v>45</v>
      </c>
      <c r="B46" s="3482" t="s">
        <v>3425</v>
      </c>
      <c r="C46" s="3482" t="s">
        <v>3386</v>
      </c>
      <c r="D46" s="3482">
        <v>14</v>
      </c>
      <c r="E46" s="3482">
        <v>109.06</v>
      </c>
      <c r="F46" s="3483" t="s">
        <v>3387</v>
      </c>
      <c r="G46" s="3483" t="s">
        <v>3387</v>
      </c>
    </row>
    <row r="47" spans="1:7">
      <c r="A47" s="3482">
        <v>46</v>
      </c>
      <c r="B47" s="3482" t="s">
        <v>3426</v>
      </c>
      <c r="C47" s="3482" t="s">
        <v>3386</v>
      </c>
      <c r="D47" s="3482">
        <v>14</v>
      </c>
      <c r="E47" s="3482">
        <v>109.06</v>
      </c>
      <c r="F47" s="3483" t="s">
        <v>3387</v>
      </c>
      <c r="G47" s="3483" t="s">
        <v>3387</v>
      </c>
    </row>
    <row r="48" spans="1:7">
      <c r="A48" s="3482">
        <v>47</v>
      </c>
      <c r="B48" s="3482" t="s">
        <v>3427</v>
      </c>
      <c r="C48" s="3482" t="s">
        <v>3386</v>
      </c>
      <c r="D48" s="3482">
        <v>14</v>
      </c>
      <c r="E48" s="3482">
        <v>109.06</v>
      </c>
      <c r="F48" s="3483" t="s">
        <v>3387</v>
      </c>
      <c r="G48" s="3483" t="s">
        <v>3387</v>
      </c>
    </row>
    <row r="49" spans="1:7">
      <c r="A49" s="3482">
        <v>48</v>
      </c>
      <c r="B49" s="3482" t="s">
        <v>3428</v>
      </c>
      <c r="C49" s="3482" t="s">
        <v>3386</v>
      </c>
      <c r="D49" s="3482">
        <v>14</v>
      </c>
      <c r="E49" s="3482">
        <v>109.06</v>
      </c>
      <c r="F49" s="3483" t="s">
        <v>3387</v>
      </c>
      <c r="G49" s="3483" t="s">
        <v>3387</v>
      </c>
    </row>
    <row r="50" spans="1:7">
      <c r="A50" s="3482">
        <v>49</v>
      </c>
      <c r="B50" s="3482" t="s">
        <v>3429</v>
      </c>
      <c r="C50" s="3482" t="s">
        <v>3386</v>
      </c>
      <c r="D50" s="3482">
        <v>14</v>
      </c>
      <c r="E50" s="3482">
        <v>208.9</v>
      </c>
      <c r="F50" s="3483" t="s">
        <v>3387</v>
      </c>
      <c r="G50" s="3483" t="s">
        <v>3387</v>
      </c>
    </row>
    <row r="51" spans="1:7">
      <c r="A51" s="3482">
        <v>50</v>
      </c>
      <c r="B51" s="3482" t="s">
        <v>3430</v>
      </c>
      <c r="C51" s="3482" t="s">
        <v>3386</v>
      </c>
      <c r="D51" s="3482">
        <v>14</v>
      </c>
      <c r="E51" s="3482">
        <v>108.47</v>
      </c>
      <c r="F51" s="3483" t="s">
        <v>3387</v>
      </c>
      <c r="G51" s="3483" t="s">
        <v>3587</v>
      </c>
    </row>
    <row r="52" spans="1:7">
      <c r="A52" s="3482">
        <v>51</v>
      </c>
      <c r="B52" s="3482" t="s">
        <v>3431</v>
      </c>
      <c r="C52" s="3482" t="s">
        <v>3386</v>
      </c>
      <c r="D52" s="3482">
        <v>14</v>
      </c>
      <c r="E52" s="3482">
        <v>108.47</v>
      </c>
      <c r="F52" s="3483" t="s">
        <v>3387</v>
      </c>
      <c r="G52" s="3483" t="s">
        <v>3587</v>
      </c>
    </row>
    <row r="53" spans="1:7">
      <c r="A53" s="3482">
        <v>52</v>
      </c>
      <c r="B53" s="3482" t="s">
        <v>3432</v>
      </c>
      <c r="C53" s="3482" t="s">
        <v>3386</v>
      </c>
      <c r="D53" s="3482">
        <v>14</v>
      </c>
      <c r="E53" s="3482">
        <v>100.31</v>
      </c>
      <c r="F53" s="3483" t="s">
        <v>3387</v>
      </c>
      <c r="G53" s="3483" t="s">
        <v>3587</v>
      </c>
    </row>
    <row r="54" spans="1:7">
      <c r="A54" s="3482">
        <v>53</v>
      </c>
      <c r="B54" s="3482" t="s">
        <v>3501</v>
      </c>
      <c r="C54" s="3482" t="s">
        <v>3386</v>
      </c>
      <c r="D54" s="3482">
        <v>14</v>
      </c>
      <c r="E54" s="3482">
        <v>108.47</v>
      </c>
      <c r="F54" s="3483" t="s">
        <v>3387</v>
      </c>
      <c r="G54" s="3483" t="s">
        <v>3587</v>
      </c>
    </row>
    <row r="55" spans="1:7">
      <c r="A55" s="3482">
        <v>54</v>
      </c>
      <c r="B55" s="3482" t="s">
        <v>3502</v>
      </c>
      <c r="C55" s="3482" t="s">
        <v>3386</v>
      </c>
      <c r="D55" s="3482">
        <v>14</v>
      </c>
      <c r="E55" s="3482">
        <v>142.4</v>
      </c>
      <c r="F55" s="3483" t="s">
        <v>3387</v>
      </c>
      <c r="G55" s="3483" t="s">
        <v>3587</v>
      </c>
    </row>
    <row r="56" spans="1:7">
      <c r="A56" s="3482">
        <v>55</v>
      </c>
      <c r="B56" s="3482" t="s">
        <v>3433</v>
      </c>
      <c r="C56" s="3482" t="s">
        <v>3386</v>
      </c>
      <c r="D56" s="3482">
        <v>15</v>
      </c>
      <c r="E56" s="3482">
        <v>109.06</v>
      </c>
      <c r="F56" s="3483" t="s">
        <v>3387</v>
      </c>
      <c r="G56" s="3483" t="s">
        <v>3587</v>
      </c>
    </row>
    <row r="57" spans="1:7">
      <c r="A57" s="3482">
        <v>56</v>
      </c>
      <c r="B57" s="3482" t="s">
        <v>3434</v>
      </c>
      <c r="C57" s="3482" t="s">
        <v>3386</v>
      </c>
      <c r="D57" s="3482">
        <v>15</v>
      </c>
      <c r="E57" s="3482">
        <v>109.06</v>
      </c>
      <c r="F57" s="3483" t="s">
        <v>3387</v>
      </c>
      <c r="G57" s="3483" t="s">
        <v>3587</v>
      </c>
    </row>
    <row r="58" spans="1:7">
      <c r="A58" s="3482">
        <v>57</v>
      </c>
      <c r="B58" s="3482" t="s">
        <v>3435</v>
      </c>
      <c r="C58" s="3482" t="s">
        <v>3386</v>
      </c>
      <c r="D58" s="3482">
        <v>15</v>
      </c>
      <c r="E58" s="3482">
        <v>208.9</v>
      </c>
      <c r="F58" s="3483" t="s">
        <v>3387</v>
      </c>
      <c r="G58" s="3483" t="s">
        <v>3587</v>
      </c>
    </row>
    <row r="59" spans="1:7">
      <c r="A59" s="3482">
        <v>58</v>
      </c>
      <c r="B59" s="3482" t="s">
        <v>3436</v>
      </c>
      <c r="C59" s="3482" t="s">
        <v>3386</v>
      </c>
      <c r="D59" s="3482">
        <v>15</v>
      </c>
      <c r="E59" s="3482">
        <v>108.47</v>
      </c>
      <c r="F59" s="3483" t="s">
        <v>3387</v>
      </c>
      <c r="G59" s="3483" t="s">
        <v>3587</v>
      </c>
    </row>
    <row r="60" spans="1:7">
      <c r="A60" s="3482">
        <v>59</v>
      </c>
      <c r="B60" s="3482" t="s">
        <v>3437</v>
      </c>
      <c r="C60" s="3482" t="s">
        <v>3386</v>
      </c>
      <c r="D60" s="3482">
        <v>15</v>
      </c>
      <c r="E60" s="3482">
        <v>108.47</v>
      </c>
      <c r="F60" s="3483" t="s">
        <v>3387</v>
      </c>
      <c r="G60" s="3483" t="s">
        <v>3587</v>
      </c>
    </row>
    <row r="61" spans="1:7">
      <c r="A61" s="3482">
        <v>60</v>
      </c>
      <c r="B61" s="3482" t="s">
        <v>3438</v>
      </c>
      <c r="C61" s="3482" t="s">
        <v>3386</v>
      </c>
      <c r="D61" s="3482">
        <v>15</v>
      </c>
      <c r="E61" s="3482">
        <v>100.31</v>
      </c>
      <c r="F61" s="3483" t="s">
        <v>3387</v>
      </c>
      <c r="G61" s="3483" t="s">
        <v>3587</v>
      </c>
    </row>
    <row r="62" spans="1:7">
      <c r="A62" s="3482">
        <v>61</v>
      </c>
      <c r="B62" s="3482" t="s">
        <v>3439</v>
      </c>
      <c r="C62" s="3482" t="s">
        <v>3386</v>
      </c>
      <c r="D62" s="3482">
        <v>15</v>
      </c>
      <c r="E62" s="3482">
        <v>108.47</v>
      </c>
      <c r="F62" s="3483" t="s">
        <v>3387</v>
      </c>
      <c r="G62" s="3483" t="s">
        <v>3587</v>
      </c>
    </row>
    <row r="63" spans="1:7">
      <c r="A63" s="3482">
        <v>62</v>
      </c>
      <c r="B63" s="3482" t="s">
        <v>3440</v>
      </c>
      <c r="C63" s="3482" t="s">
        <v>3386</v>
      </c>
      <c r="D63" s="3482">
        <v>15</v>
      </c>
      <c r="E63" s="3482">
        <v>142.4</v>
      </c>
      <c r="F63" s="3483" t="s">
        <v>3387</v>
      </c>
      <c r="G63" s="3483" t="s">
        <v>3587</v>
      </c>
    </row>
    <row r="64" spans="1:7">
      <c r="A64" s="3482">
        <v>63</v>
      </c>
      <c r="B64" s="3482" t="s">
        <v>3442</v>
      </c>
      <c r="C64" s="3482" t="s">
        <v>3386</v>
      </c>
      <c r="D64" s="3482">
        <v>16</v>
      </c>
      <c r="E64" s="3482">
        <v>208.9</v>
      </c>
      <c r="F64" s="3483" t="s">
        <v>3387</v>
      </c>
      <c r="G64" s="3483" t="s">
        <v>3587</v>
      </c>
    </row>
    <row r="65" spans="1:7">
      <c r="A65" s="3482">
        <v>64</v>
      </c>
      <c r="B65" s="3482" t="s">
        <v>3443</v>
      </c>
      <c r="C65" s="3482" t="s">
        <v>3386</v>
      </c>
      <c r="D65" s="3482">
        <v>16</v>
      </c>
      <c r="E65" s="3482">
        <v>218.12</v>
      </c>
      <c r="F65" s="3483" t="s">
        <v>3441</v>
      </c>
      <c r="G65" s="3483" t="s">
        <v>3587</v>
      </c>
    </row>
    <row r="66" spans="1:7">
      <c r="A66" s="3482">
        <v>65</v>
      </c>
      <c r="B66" s="3482" t="s">
        <v>3444</v>
      </c>
      <c r="C66" s="3482" t="s">
        <v>3386</v>
      </c>
      <c r="D66" s="3482">
        <v>16</v>
      </c>
      <c r="E66" s="3482">
        <v>208.9</v>
      </c>
      <c r="F66" s="3483" t="s">
        <v>3441</v>
      </c>
      <c r="G66" s="3483" t="s">
        <v>3587</v>
      </c>
    </row>
    <row r="67" spans="1:7">
      <c r="A67" s="3482">
        <v>66</v>
      </c>
      <c r="B67" s="3482" t="s">
        <v>3445</v>
      </c>
      <c r="C67" s="3482" t="s">
        <v>3386</v>
      </c>
      <c r="D67" s="3482">
        <v>16</v>
      </c>
      <c r="E67" s="3482">
        <v>250.89</v>
      </c>
      <c r="F67" s="3483" t="s">
        <v>3441</v>
      </c>
      <c r="G67" s="3483" t="s">
        <v>3587</v>
      </c>
    </row>
    <row r="68" spans="1:7">
      <c r="A68" s="3482">
        <v>67</v>
      </c>
      <c r="B68" s="3482" t="s">
        <v>3446</v>
      </c>
      <c r="C68" s="3482" t="s">
        <v>3386</v>
      </c>
      <c r="D68" s="3482">
        <v>16</v>
      </c>
      <c r="E68" s="3482">
        <v>108.47</v>
      </c>
      <c r="F68" s="3483" t="s">
        <v>3441</v>
      </c>
      <c r="G68" s="3483" t="s">
        <v>3587</v>
      </c>
    </row>
    <row r="69" spans="1:7">
      <c r="A69" s="3482">
        <v>68</v>
      </c>
      <c r="B69" s="3482" t="s">
        <v>3447</v>
      </c>
      <c r="C69" s="3482" t="s">
        <v>3386</v>
      </c>
      <c r="D69" s="3482">
        <v>16</v>
      </c>
      <c r="E69" s="3482">
        <v>250.89</v>
      </c>
      <c r="F69" s="3483" t="s">
        <v>3441</v>
      </c>
      <c r="G69" s="3483" t="s">
        <v>3587</v>
      </c>
    </row>
    <row r="70" spans="1:7">
      <c r="A70" s="3482">
        <v>69</v>
      </c>
      <c r="B70" s="3482" t="s">
        <v>3448</v>
      </c>
      <c r="C70" s="3482" t="s">
        <v>3386</v>
      </c>
      <c r="D70" s="3482">
        <v>2</v>
      </c>
      <c r="E70" s="3482">
        <v>125.44</v>
      </c>
      <c r="F70" s="3483" t="s">
        <v>3441</v>
      </c>
      <c r="G70" s="3483" t="s">
        <v>3387</v>
      </c>
    </row>
    <row r="71" spans="1:7">
      <c r="A71" s="3482">
        <v>70</v>
      </c>
      <c r="B71" s="3482" t="s">
        <v>3449</v>
      </c>
      <c r="C71" s="3482" t="s">
        <v>3386</v>
      </c>
      <c r="D71" s="3482">
        <v>2</v>
      </c>
      <c r="E71" s="3482">
        <v>211.49</v>
      </c>
      <c r="F71" s="3483" t="s">
        <v>3441</v>
      </c>
      <c r="G71" s="3483" t="s">
        <v>3387</v>
      </c>
    </row>
    <row r="72" spans="1:7">
      <c r="A72" s="3482">
        <v>71</v>
      </c>
      <c r="B72" s="3482" t="s">
        <v>3450</v>
      </c>
      <c r="C72" s="3482" t="s">
        <v>3386</v>
      </c>
      <c r="D72" s="3482">
        <v>2</v>
      </c>
      <c r="E72" s="3482">
        <v>211.49</v>
      </c>
      <c r="F72" s="3483" t="s">
        <v>3441</v>
      </c>
      <c r="G72" s="3483" t="s">
        <v>3387</v>
      </c>
    </row>
    <row r="73" spans="1:7">
      <c r="A73" s="3482">
        <v>72</v>
      </c>
      <c r="B73" s="3482" t="s">
        <v>3451</v>
      </c>
      <c r="C73" s="3482" t="s">
        <v>3386</v>
      </c>
      <c r="D73" s="3482">
        <v>2</v>
      </c>
      <c r="E73" s="3482">
        <v>125.44</v>
      </c>
      <c r="F73" s="3483" t="s">
        <v>3441</v>
      </c>
      <c r="G73" s="3483" t="s">
        <v>3387</v>
      </c>
    </row>
    <row r="74" spans="1:7">
      <c r="A74" s="3482">
        <v>73</v>
      </c>
      <c r="B74" s="3482" t="s">
        <v>3452</v>
      </c>
      <c r="C74" s="3482" t="s">
        <v>3386</v>
      </c>
      <c r="D74" s="3482">
        <v>2</v>
      </c>
      <c r="E74" s="3482">
        <v>125.44</v>
      </c>
      <c r="F74" s="3483" t="s">
        <v>3441</v>
      </c>
      <c r="G74" s="3483" t="s">
        <v>3387</v>
      </c>
    </row>
    <row r="75" spans="1:7">
      <c r="A75" s="3482">
        <v>74</v>
      </c>
      <c r="B75" s="3482" t="s">
        <v>3453</v>
      </c>
      <c r="C75" s="3482" t="s">
        <v>3386</v>
      </c>
      <c r="D75" s="3482">
        <v>2</v>
      </c>
      <c r="E75" s="3482">
        <v>164.06</v>
      </c>
      <c r="F75" s="3483" t="s">
        <v>3441</v>
      </c>
      <c r="G75" s="3483" t="s">
        <v>3387</v>
      </c>
    </row>
    <row r="76" spans="1:7">
      <c r="A76" s="3482">
        <v>75</v>
      </c>
      <c r="B76" s="3482" t="s">
        <v>3454</v>
      </c>
      <c r="C76" s="3482" t="s">
        <v>3386</v>
      </c>
      <c r="D76" s="3482">
        <v>2</v>
      </c>
      <c r="E76" s="3482">
        <v>169.88</v>
      </c>
      <c r="F76" s="3483" t="s">
        <v>3441</v>
      </c>
      <c r="G76" s="3483" t="s">
        <v>3387</v>
      </c>
    </row>
    <row r="77" spans="1:7">
      <c r="A77" s="3482">
        <v>76</v>
      </c>
      <c r="B77" s="3482" t="s">
        <v>3455</v>
      </c>
      <c r="C77" s="3482" t="s">
        <v>3386</v>
      </c>
      <c r="D77" s="3482">
        <v>2</v>
      </c>
      <c r="E77" s="3482">
        <v>125.44</v>
      </c>
      <c r="F77" s="3483" t="s">
        <v>3441</v>
      </c>
      <c r="G77" s="3483" t="s">
        <v>3387</v>
      </c>
    </row>
    <row r="78" spans="1:7">
      <c r="A78" s="3482">
        <v>77</v>
      </c>
      <c r="B78" s="3482" t="s">
        <v>3456</v>
      </c>
      <c r="C78" s="3482" t="s">
        <v>3386</v>
      </c>
      <c r="D78" s="3482">
        <v>7</v>
      </c>
      <c r="E78" s="3482">
        <v>234.74</v>
      </c>
      <c r="F78" s="3483" t="s">
        <v>3441</v>
      </c>
      <c r="G78" s="3483" t="s">
        <v>3387</v>
      </c>
    </row>
    <row r="79" spans="1:7">
      <c r="A79" s="3482">
        <v>78</v>
      </c>
      <c r="B79" s="3482" t="s">
        <v>3457</v>
      </c>
      <c r="C79" s="3482" t="s">
        <v>3386</v>
      </c>
      <c r="D79" s="3482">
        <v>10</v>
      </c>
      <c r="E79" s="3482">
        <v>125.44</v>
      </c>
      <c r="F79" s="3483" t="s">
        <v>3441</v>
      </c>
      <c r="G79" s="3483" t="s">
        <v>3387</v>
      </c>
    </row>
    <row r="80" spans="1:7">
      <c r="A80" s="3482">
        <v>79</v>
      </c>
      <c r="B80" s="3482" t="s">
        <v>3458</v>
      </c>
      <c r="C80" s="3482" t="s">
        <v>3386</v>
      </c>
      <c r="D80" s="3482">
        <v>10</v>
      </c>
      <c r="E80" s="3482">
        <v>211.49</v>
      </c>
      <c r="F80" s="3483" t="s">
        <v>3441</v>
      </c>
      <c r="G80" s="3483" t="s">
        <v>3387</v>
      </c>
    </row>
    <row r="81" spans="1:8">
      <c r="A81" s="3482">
        <v>80</v>
      </c>
      <c r="B81" s="3482" t="s">
        <v>3459</v>
      </c>
      <c r="C81" s="3482" t="s">
        <v>3386</v>
      </c>
      <c r="D81" s="3482">
        <v>10</v>
      </c>
      <c r="E81" s="3482">
        <v>211.49</v>
      </c>
      <c r="F81" s="3483" t="s">
        <v>3441</v>
      </c>
      <c r="G81" s="3483" t="s">
        <v>3387</v>
      </c>
      <c r="H81" s="3476" t="s">
        <v>3589</v>
      </c>
    </row>
    <row r="82" spans="1:8">
      <c r="A82" s="3482">
        <v>81</v>
      </c>
      <c r="B82" s="3482" t="s">
        <v>3460</v>
      </c>
      <c r="C82" s="3482" t="s">
        <v>3386</v>
      </c>
      <c r="D82" s="3482">
        <v>10</v>
      </c>
      <c r="E82" s="3482">
        <v>125.44</v>
      </c>
      <c r="F82" s="3483" t="s">
        <v>3441</v>
      </c>
      <c r="G82" s="3483" t="s">
        <v>3387</v>
      </c>
      <c r="H82" s="3476" t="s">
        <v>3589</v>
      </c>
    </row>
    <row r="83" spans="1:8">
      <c r="A83" s="3482">
        <v>82</v>
      </c>
      <c r="B83" s="3482" t="s">
        <v>3461</v>
      </c>
      <c r="C83" s="3482" t="s">
        <v>3386</v>
      </c>
      <c r="D83" s="3482">
        <v>10</v>
      </c>
      <c r="E83" s="3482">
        <v>125.44</v>
      </c>
      <c r="F83" s="3483" t="s">
        <v>3441</v>
      </c>
      <c r="G83" s="3483" t="s">
        <v>3387</v>
      </c>
      <c r="H83" s="3476" t="s">
        <v>3589</v>
      </c>
    </row>
    <row r="84" spans="1:8">
      <c r="A84" s="3482">
        <v>83</v>
      </c>
      <c r="B84" s="3482" t="s">
        <v>3462</v>
      </c>
      <c r="C84" s="3482" t="s">
        <v>3386</v>
      </c>
      <c r="D84" s="3482">
        <v>10</v>
      </c>
      <c r="E84" s="3482">
        <v>234.73</v>
      </c>
      <c r="F84" s="3483" t="s">
        <v>3441</v>
      </c>
      <c r="G84" s="3483" t="s">
        <v>3387</v>
      </c>
      <c r="H84" s="3476" t="s">
        <v>3589</v>
      </c>
    </row>
    <row r="85" spans="1:8">
      <c r="A85" s="3482">
        <v>84</v>
      </c>
      <c r="B85" s="3482" t="s">
        <v>3463</v>
      </c>
      <c r="C85" s="3482" t="s">
        <v>3386</v>
      </c>
      <c r="D85" s="3482">
        <v>10</v>
      </c>
      <c r="E85" s="3482">
        <v>234.74</v>
      </c>
      <c r="F85" s="3483" t="s">
        <v>3441</v>
      </c>
      <c r="G85" s="3483" t="s">
        <v>3387</v>
      </c>
      <c r="H85" s="3476" t="s">
        <v>3589</v>
      </c>
    </row>
    <row r="86" spans="1:8">
      <c r="A86" s="3482">
        <v>85</v>
      </c>
      <c r="B86" s="3482" t="s">
        <v>3464</v>
      </c>
      <c r="C86" s="3482" t="s">
        <v>3386</v>
      </c>
      <c r="D86" s="3482">
        <v>10</v>
      </c>
      <c r="E86" s="3482">
        <v>125.44</v>
      </c>
      <c r="F86" s="3483" t="s">
        <v>3441</v>
      </c>
      <c r="G86" s="3483" t="s">
        <v>3387</v>
      </c>
    </row>
    <row r="87" spans="1:8">
      <c r="A87" s="3482">
        <v>86</v>
      </c>
      <c r="B87" s="3482" t="s">
        <v>3465</v>
      </c>
      <c r="C87" s="3482" t="s">
        <v>3386</v>
      </c>
      <c r="D87" s="3482">
        <v>11</v>
      </c>
      <c r="E87" s="3482">
        <v>125.44</v>
      </c>
      <c r="F87" s="3483" t="s">
        <v>3441</v>
      </c>
      <c r="G87" s="3483" t="s">
        <v>3387</v>
      </c>
    </row>
    <row r="88" spans="1:8">
      <c r="A88" s="3482">
        <v>87</v>
      </c>
      <c r="B88" s="3482" t="s">
        <v>3466</v>
      </c>
      <c r="C88" s="3482" t="s">
        <v>3386</v>
      </c>
      <c r="D88" s="3482">
        <v>11</v>
      </c>
      <c r="E88" s="3482">
        <v>211.49</v>
      </c>
      <c r="F88" s="3483" t="s">
        <v>3441</v>
      </c>
      <c r="G88" s="3483" t="s">
        <v>3387</v>
      </c>
    </row>
    <row r="89" spans="1:8">
      <c r="A89" s="3482">
        <v>88</v>
      </c>
      <c r="B89" s="3482" t="s">
        <v>3467</v>
      </c>
      <c r="C89" s="3482" t="s">
        <v>3386</v>
      </c>
      <c r="D89" s="3482">
        <v>11</v>
      </c>
      <c r="E89" s="3482">
        <v>211.49</v>
      </c>
      <c r="F89" s="3483" t="s">
        <v>3441</v>
      </c>
      <c r="G89" s="3483" t="s">
        <v>3387</v>
      </c>
    </row>
    <row r="90" spans="1:8">
      <c r="A90" s="3482">
        <v>89</v>
      </c>
      <c r="B90" s="3482" t="s">
        <v>3468</v>
      </c>
      <c r="C90" s="3482" t="s">
        <v>3386</v>
      </c>
      <c r="D90" s="3482">
        <v>11</v>
      </c>
      <c r="E90" s="3482">
        <v>125.44</v>
      </c>
      <c r="F90" s="3483" t="s">
        <v>3441</v>
      </c>
      <c r="G90" s="3483" t="s">
        <v>3387</v>
      </c>
    </row>
    <row r="91" spans="1:8">
      <c r="A91" s="3482">
        <v>90</v>
      </c>
      <c r="B91" s="3482" t="s">
        <v>3469</v>
      </c>
      <c r="C91" s="3482" t="s">
        <v>3386</v>
      </c>
      <c r="D91" s="3482">
        <v>11</v>
      </c>
      <c r="E91" s="3482">
        <v>125.44</v>
      </c>
      <c r="F91" s="3483" t="s">
        <v>3441</v>
      </c>
      <c r="G91" s="3483" t="s">
        <v>3387</v>
      </c>
    </row>
    <row r="92" spans="1:8">
      <c r="A92" s="3482">
        <v>91</v>
      </c>
      <c r="B92" s="3482" t="s">
        <v>3470</v>
      </c>
      <c r="C92" s="3482" t="s">
        <v>3386</v>
      </c>
      <c r="D92" s="3482">
        <v>11</v>
      </c>
      <c r="E92" s="3482">
        <v>234.73</v>
      </c>
      <c r="F92" s="3483" t="s">
        <v>3441</v>
      </c>
      <c r="G92" s="3483" t="s">
        <v>3387</v>
      </c>
    </row>
    <row r="93" spans="1:8">
      <c r="A93" s="3482">
        <v>92</v>
      </c>
      <c r="B93" s="3482" t="s">
        <v>3471</v>
      </c>
      <c r="C93" s="3482" t="s">
        <v>3386</v>
      </c>
      <c r="D93" s="3482">
        <v>11</v>
      </c>
      <c r="E93" s="3482">
        <v>234.74</v>
      </c>
      <c r="F93" s="3483" t="s">
        <v>3441</v>
      </c>
      <c r="G93" s="3483" t="s">
        <v>3387</v>
      </c>
    </row>
    <row r="94" spans="1:8">
      <c r="A94" s="3482">
        <v>93</v>
      </c>
      <c r="B94" s="3482" t="s">
        <v>3472</v>
      </c>
      <c r="C94" s="3482" t="s">
        <v>3386</v>
      </c>
      <c r="D94" s="3482">
        <v>11</v>
      </c>
      <c r="E94" s="3482">
        <v>125.44</v>
      </c>
      <c r="F94" s="3483" t="s">
        <v>3441</v>
      </c>
      <c r="G94" s="3483" t="s">
        <v>3387</v>
      </c>
    </row>
    <row r="95" spans="1:8">
      <c r="A95" s="3482">
        <v>94</v>
      </c>
      <c r="B95" s="3482" t="s">
        <v>3473</v>
      </c>
      <c r="C95" s="3482" t="s">
        <v>3386</v>
      </c>
      <c r="D95" s="3482">
        <v>18</v>
      </c>
      <c r="E95" s="3482">
        <v>125.44</v>
      </c>
      <c r="F95" s="3483" t="s">
        <v>3441</v>
      </c>
      <c r="G95" s="3483" t="s">
        <v>3387</v>
      </c>
    </row>
    <row r="96" spans="1:8">
      <c r="A96" s="3482">
        <v>95</v>
      </c>
      <c r="B96" s="3482" t="s">
        <v>3474</v>
      </c>
      <c r="C96" s="3482" t="s">
        <v>3386</v>
      </c>
      <c r="D96" s="3482">
        <v>18</v>
      </c>
      <c r="E96" s="3482">
        <v>211.49</v>
      </c>
      <c r="F96" s="3483" t="s">
        <v>3441</v>
      </c>
      <c r="G96" s="3483" t="s">
        <v>3387</v>
      </c>
    </row>
    <row r="97" spans="1:8">
      <c r="A97" s="3482">
        <v>96</v>
      </c>
      <c r="B97" s="3482" t="s">
        <v>3475</v>
      </c>
      <c r="C97" s="3482" t="s">
        <v>3386</v>
      </c>
      <c r="D97" s="3482">
        <v>18</v>
      </c>
      <c r="E97" s="3482">
        <v>211.49</v>
      </c>
      <c r="F97" s="3483" t="s">
        <v>3441</v>
      </c>
      <c r="G97" s="3483" t="s">
        <v>3387</v>
      </c>
    </row>
    <row r="98" spans="1:8">
      <c r="A98" s="3482">
        <v>97</v>
      </c>
      <c r="B98" s="3482" t="s">
        <v>3476</v>
      </c>
      <c r="C98" s="3482" t="s">
        <v>3386</v>
      </c>
      <c r="D98" s="3482">
        <v>18</v>
      </c>
      <c r="E98" s="3482">
        <v>125.44</v>
      </c>
      <c r="F98" s="3483" t="s">
        <v>3441</v>
      </c>
      <c r="G98" s="3483" t="s">
        <v>3387</v>
      </c>
    </row>
    <row r="99" spans="1:8">
      <c r="A99" s="3482">
        <v>98</v>
      </c>
      <c r="B99" s="3482" t="s">
        <v>3477</v>
      </c>
      <c r="C99" s="3482" t="s">
        <v>3386</v>
      </c>
      <c r="D99" s="3482">
        <v>18</v>
      </c>
      <c r="E99" s="3482">
        <v>125.44</v>
      </c>
      <c r="F99" s="3483" t="s">
        <v>3441</v>
      </c>
      <c r="G99" s="3483" t="s">
        <v>3387</v>
      </c>
    </row>
    <row r="100" spans="1:8">
      <c r="A100" s="3482">
        <v>99</v>
      </c>
      <c r="B100" s="3482" t="s">
        <v>3478</v>
      </c>
      <c r="C100" s="3482" t="s">
        <v>3386</v>
      </c>
      <c r="D100" s="3482">
        <v>18</v>
      </c>
      <c r="E100" s="3482">
        <v>234.73</v>
      </c>
      <c r="F100" s="3483" t="s">
        <v>3441</v>
      </c>
      <c r="G100" s="3483" t="s">
        <v>3387</v>
      </c>
    </row>
    <row r="101" spans="1:8">
      <c r="A101" s="3482">
        <v>100</v>
      </c>
      <c r="B101" s="3482" t="s">
        <v>3479</v>
      </c>
      <c r="C101" s="3482" t="s">
        <v>3386</v>
      </c>
      <c r="D101" s="3482">
        <v>18</v>
      </c>
      <c r="E101" s="3482">
        <v>234.74</v>
      </c>
      <c r="F101" s="3483" t="s">
        <v>3441</v>
      </c>
      <c r="G101" s="3483" t="s">
        <v>3387</v>
      </c>
    </row>
    <row r="102" spans="1:8">
      <c r="A102" s="3482">
        <v>101</v>
      </c>
      <c r="B102" s="3482" t="s">
        <v>3480</v>
      </c>
      <c r="C102" s="3482" t="s">
        <v>3386</v>
      </c>
      <c r="D102" s="3482">
        <v>18</v>
      </c>
      <c r="E102" s="3482">
        <v>125.44</v>
      </c>
      <c r="F102" s="3483" t="s">
        <v>3441</v>
      </c>
      <c r="G102" s="3483" t="s">
        <v>3387</v>
      </c>
    </row>
    <row r="103" spans="1:8">
      <c r="A103" s="3482">
        <v>102</v>
      </c>
      <c r="B103" s="3482" t="s">
        <v>3481</v>
      </c>
      <c r="C103" s="3482" t="s">
        <v>3386</v>
      </c>
      <c r="D103" s="3482">
        <v>19</v>
      </c>
      <c r="E103" s="3482">
        <v>125.44</v>
      </c>
      <c r="F103" s="3483" t="s">
        <v>3441</v>
      </c>
      <c r="G103" s="3483" t="s">
        <v>3387</v>
      </c>
    </row>
    <row r="104" spans="1:8">
      <c r="A104" s="3482">
        <v>103</v>
      </c>
      <c r="B104" s="3482" t="s">
        <v>3482</v>
      </c>
      <c r="C104" s="3482" t="s">
        <v>3386</v>
      </c>
      <c r="D104" s="3482">
        <v>19</v>
      </c>
      <c r="E104" s="3482">
        <v>211.49</v>
      </c>
      <c r="F104" s="3483" t="s">
        <v>3441</v>
      </c>
      <c r="G104" s="3483" t="s">
        <v>3387</v>
      </c>
    </row>
    <row r="105" spans="1:8">
      <c r="A105" s="3482">
        <v>104</v>
      </c>
      <c r="B105" s="3482" t="s">
        <v>3483</v>
      </c>
      <c r="C105" s="3482" t="s">
        <v>3386</v>
      </c>
      <c r="D105" s="3482">
        <v>19</v>
      </c>
      <c r="E105" s="3482">
        <v>211.49</v>
      </c>
      <c r="F105" s="3483" t="s">
        <v>3441</v>
      </c>
      <c r="G105" s="3483" t="s">
        <v>3387</v>
      </c>
    </row>
    <row r="106" spans="1:8">
      <c r="A106" s="3482">
        <v>105</v>
      </c>
      <c r="B106" s="3482" t="s">
        <v>3484</v>
      </c>
      <c r="C106" s="3482" t="s">
        <v>3386</v>
      </c>
      <c r="D106" s="3482">
        <v>19</v>
      </c>
      <c r="E106" s="3482">
        <v>125.44</v>
      </c>
      <c r="F106" s="3483" t="s">
        <v>3441</v>
      </c>
      <c r="G106" s="3483" t="s">
        <v>3387</v>
      </c>
    </row>
    <row r="107" spans="1:8">
      <c r="A107" s="3482">
        <v>106</v>
      </c>
      <c r="B107" s="3482" t="s">
        <v>3485</v>
      </c>
      <c r="C107" s="3482" t="s">
        <v>3386</v>
      </c>
      <c r="D107" s="3482">
        <v>19</v>
      </c>
      <c r="E107" s="3482">
        <v>125.44</v>
      </c>
      <c r="F107" s="3483" t="s">
        <v>3441</v>
      </c>
      <c r="G107" s="3483" t="s">
        <v>3387</v>
      </c>
    </row>
    <row r="108" spans="1:8">
      <c r="A108" s="3482">
        <v>107</v>
      </c>
      <c r="B108" s="3482" t="s">
        <v>3486</v>
      </c>
      <c r="C108" s="3482" t="s">
        <v>3386</v>
      </c>
      <c r="D108" s="3482">
        <v>19</v>
      </c>
      <c r="E108" s="3482">
        <v>234.73</v>
      </c>
      <c r="F108" s="3483" t="s">
        <v>3441</v>
      </c>
      <c r="G108" s="3483" t="s">
        <v>3387</v>
      </c>
    </row>
    <row r="109" spans="1:8">
      <c r="A109" s="3482">
        <v>108</v>
      </c>
      <c r="B109" s="3482" t="s">
        <v>3487</v>
      </c>
      <c r="C109" s="3482" t="s">
        <v>3386</v>
      </c>
      <c r="D109" s="3482">
        <v>19</v>
      </c>
      <c r="E109" s="3482">
        <v>234.74</v>
      </c>
      <c r="F109" s="3483" t="s">
        <v>3441</v>
      </c>
      <c r="G109" s="3483" t="s">
        <v>3387</v>
      </c>
    </row>
    <row r="110" spans="1:8">
      <c r="A110" s="3482">
        <v>109</v>
      </c>
      <c r="B110" s="3482" t="s">
        <v>3488</v>
      </c>
      <c r="C110" s="3482" t="s">
        <v>3386</v>
      </c>
      <c r="D110" s="3482">
        <v>19</v>
      </c>
      <c r="E110" s="3482">
        <v>125.44</v>
      </c>
      <c r="F110" s="3483" t="s">
        <v>3441</v>
      </c>
      <c r="G110" s="3483" t="s">
        <v>3387</v>
      </c>
    </row>
    <row r="111" spans="1:8">
      <c r="A111" s="3574" t="s">
        <v>3490</v>
      </c>
      <c r="B111" s="3575"/>
      <c r="C111" s="3575"/>
      <c r="D111" s="3576"/>
      <c r="E111" s="3482">
        <f>SUM(E2:E110)</f>
        <v>16024.920000000006</v>
      </c>
      <c r="F111" s="3483" t="s">
        <v>3615</v>
      </c>
      <c r="G111" s="3483"/>
    </row>
    <row r="112" spans="1:8">
      <c r="A112" s="3482">
        <v>110</v>
      </c>
      <c r="B112" s="3482" t="s">
        <v>3489</v>
      </c>
      <c r="C112" s="3482" t="s">
        <v>3386</v>
      </c>
      <c r="D112" s="3482">
        <v>1</v>
      </c>
      <c r="E112" s="3482">
        <v>282.85000000000002</v>
      </c>
      <c r="F112" s="3483" t="s">
        <v>3500</v>
      </c>
      <c r="G112" s="3483"/>
      <c r="H112" s="3485" t="s">
        <v>3602</v>
      </c>
    </row>
    <row r="113" spans="1:8">
      <c r="A113" s="3482">
        <v>110</v>
      </c>
      <c r="B113" s="3482" t="s">
        <v>3491</v>
      </c>
      <c r="C113" s="3482" t="s">
        <v>3386</v>
      </c>
      <c r="D113" s="3482">
        <v>1</v>
      </c>
      <c r="E113" s="3482">
        <v>204.95</v>
      </c>
      <c r="F113" s="3483" t="s">
        <v>3500</v>
      </c>
      <c r="G113" s="3483"/>
      <c r="H113" s="3485" t="s">
        <v>3602</v>
      </c>
    </row>
    <row r="114" spans="1:8">
      <c r="A114" s="3482">
        <v>110</v>
      </c>
      <c r="B114" s="3482" t="s">
        <v>3492</v>
      </c>
      <c r="C114" s="3482" t="s">
        <v>3386</v>
      </c>
      <c r="D114" s="3482">
        <v>1</v>
      </c>
      <c r="E114" s="3482">
        <v>256.02999999999997</v>
      </c>
      <c r="F114" s="3483" t="s">
        <v>3500</v>
      </c>
      <c r="G114" s="3483"/>
      <c r="H114" s="3485" t="s">
        <v>3603</v>
      </c>
    </row>
    <row r="115" spans="1:8">
      <c r="A115" s="3482">
        <v>110</v>
      </c>
      <c r="B115" s="3482" t="s">
        <v>3493</v>
      </c>
      <c r="C115" s="3482" t="s">
        <v>3386</v>
      </c>
      <c r="D115" s="3482">
        <v>1</v>
      </c>
      <c r="E115" s="3482">
        <v>467.92</v>
      </c>
      <c r="F115" s="3483" t="s">
        <v>3500</v>
      </c>
      <c r="G115" s="3483"/>
      <c r="H115" s="3485" t="s">
        <v>3603</v>
      </c>
    </row>
    <row r="116" spans="1:8">
      <c r="A116" s="3482">
        <v>110</v>
      </c>
      <c r="B116" s="3482" t="s">
        <v>3494</v>
      </c>
      <c r="C116" s="3482" t="s">
        <v>3386</v>
      </c>
      <c r="D116" s="3482">
        <v>1</v>
      </c>
      <c r="E116" s="3482">
        <v>396.96</v>
      </c>
      <c r="F116" s="3483" t="s">
        <v>3500</v>
      </c>
      <c r="G116" s="3483"/>
      <c r="H116" s="3486">
        <v>711</v>
      </c>
    </row>
    <row r="117" spans="1:8">
      <c r="A117" s="3482">
        <v>110</v>
      </c>
      <c r="B117" s="3482" t="s">
        <v>3495</v>
      </c>
      <c r="C117" s="3482" t="s">
        <v>3386</v>
      </c>
      <c r="D117" s="3482">
        <v>1</v>
      </c>
      <c r="E117" s="3482">
        <v>251.25</v>
      </c>
      <c r="F117" s="3483" t="s">
        <v>3500</v>
      </c>
      <c r="G117" s="3483"/>
      <c r="H117" s="3486" t="s">
        <v>3604</v>
      </c>
    </row>
    <row r="118" spans="1:8">
      <c r="A118" s="3482">
        <v>110</v>
      </c>
      <c r="B118" s="3482" t="s">
        <v>3496</v>
      </c>
      <c r="C118" s="3482" t="s">
        <v>3386</v>
      </c>
      <c r="D118" s="3482">
        <v>1</v>
      </c>
      <c r="E118" s="3482">
        <v>195.05</v>
      </c>
      <c r="F118" s="3483" t="s">
        <v>3500</v>
      </c>
      <c r="G118" s="3483"/>
      <c r="H118" s="3486" t="s">
        <v>3605</v>
      </c>
    </row>
    <row r="119" spans="1:8">
      <c r="A119" s="3482">
        <v>110</v>
      </c>
      <c r="B119" s="3482" t="s">
        <v>3497</v>
      </c>
      <c r="C119" s="3482" t="s">
        <v>3386</v>
      </c>
      <c r="D119" s="3482">
        <v>1</v>
      </c>
      <c r="E119" s="3482">
        <v>324.41000000000003</v>
      </c>
      <c r="F119" s="3483" t="s">
        <v>3500</v>
      </c>
      <c r="G119" s="3483"/>
      <c r="H119" s="3486" t="s">
        <v>3606</v>
      </c>
    </row>
    <row r="120" spans="1:8">
      <c r="A120" s="3482">
        <v>110</v>
      </c>
      <c r="B120" s="3482" t="s">
        <v>3498</v>
      </c>
      <c r="C120" s="3482" t="s">
        <v>3386</v>
      </c>
      <c r="D120" s="3482">
        <v>1</v>
      </c>
      <c r="E120" s="3482">
        <v>480.71</v>
      </c>
      <c r="F120" s="3483" t="s">
        <v>3500</v>
      </c>
      <c r="G120" s="3483"/>
      <c r="H120" s="3486" t="s">
        <v>3607</v>
      </c>
    </row>
    <row r="121" spans="1:8">
      <c r="A121" s="3482">
        <v>110</v>
      </c>
      <c r="B121" s="3482" t="s">
        <v>3499</v>
      </c>
      <c r="C121" s="3482" t="s">
        <v>3386</v>
      </c>
      <c r="D121" s="3482">
        <v>1</v>
      </c>
      <c r="E121" s="3482">
        <v>283.31</v>
      </c>
      <c r="F121" s="3483" t="s">
        <v>3500</v>
      </c>
      <c r="G121" s="3483"/>
      <c r="H121" s="3486" t="s">
        <v>3608</v>
      </c>
    </row>
    <row r="122" spans="1:8">
      <c r="A122" s="3574" t="s">
        <v>3574</v>
      </c>
      <c r="B122" s="3575"/>
      <c r="C122" s="3575"/>
      <c r="D122" s="3576"/>
      <c r="E122" s="3482">
        <f>SUM(E112:E121)</f>
        <v>3143.44</v>
      </c>
      <c r="F122" s="3483" t="s">
        <v>3615</v>
      </c>
      <c r="G122" s="3483"/>
    </row>
    <row r="123" spans="1:8">
      <c r="A123" s="3574" t="s">
        <v>2586</v>
      </c>
      <c r="B123" s="3575"/>
      <c r="C123" s="3575"/>
      <c r="D123" s="3576"/>
      <c r="E123" s="3482">
        <f>SUM(E122,E111)</f>
        <v>19168.360000000004</v>
      </c>
      <c r="F123" s="3483" t="s">
        <v>3615</v>
      </c>
      <c r="G123" s="3483"/>
    </row>
  </sheetData>
  <mergeCells count="3">
    <mergeCell ref="A111:D111"/>
    <mergeCell ref="A122:D122"/>
    <mergeCell ref="A123:D123"/>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1066</v>
      </c>
      <c r="AZ2" s="1048"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294.52</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f>A15</f>
        <v>0</v>
      </c>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294.52</v>
      </c>
      <c r="H5" s="13">
        <f t="shared" ref="H5:AT5" si="0">SUM(H13:H656)</f>
        <v>294.52</v>
      </c>
      <c r="I5" s="13">
        <f t="shared" si="0"/>
        <v>294.52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125.74</v>
      </c>
      <c r="BA5" s="15">
        <f t="shared" si="1"/>
        <v>125.74</v>
      </c>
      <c r="BB5" s="15">
        <f t="shared" si="1"/>
        <v>125.74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3503</v>
      </c>
      <c r="J9" s="808"/>
      <c r="K9" s="1601"/>
      <c r="L9" s="808"/>
      <c r="M9" s="1601"/>
      <c r="N9" s="808"/>
      <c r="O9" s="1601"/>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f>K9</f>
        <v>0</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3488" t="s">
        <v>3637</v>
      </c>
      <c r="D13" s="1623" t="s">
        <v>3504</v>
      </c>
      <c r="E13" s="13">
        <f>IF($C$3="是",ROUND($A$3*G13/$B$3,2),ROUND($A$3*(G13-AT13)/$B$3,2))</f>
        <v>0</v>
      </c>
      <c r="F13" s="29"/>
      <c r="G13" s="30">
        <f>H13+AC13+AT13</f>
        <v>125.74</v>
      </c>
      <c r="H13" s="17">
        <f>SUMIF(I$12:AB$12,"总值",I13:AB13)</f>
        <v>125.74</v>
      </c>
      <c r="I13" s="1624">
        <v>125.74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1层</v>
      </c>
      <c r="AY13" s="1347">
        <f>ROUND($AY$6*AZ13/$AZ$5,2)</f>
        <v>0</v>
      </c>
      <c r="AZ13" s="13">
        <f>BA13+BL13</f>
        <v>125.74</v>
      </c>
      <c r="BA13" s="13">
        <f>SUM(BB13:BK13)</f>
        <v>125.74</v>
      </c>
      <c r="BB13" s="13">
        <f>IF($D13="是",I13-J13,0)</f>
        <v>125.74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65" t="s">
        <v>3638</v>
      </c>
      <c r="D14" s="1623" t="s">
        <v>3582</v>
      </c>
      <c r="E14" s="13">
        <f>IF($C$3="是",ROUND($A$3*G14/$B$3,2),ROUND($A$3*(G14-AT14)/$B$3,2))</f>
        <v>0</v>
      </c>
      <c r="F14" s="29"/>
      <c r="G14" s="30">
        <f>H14+AC14+AT14</f>
        <v>168.78</v>
      </c>
      <c r="H14" s="17">
        <f>SUMIF(I$12:AB$12,"总值",I14:AB14)</f>
        <v>168.78</v>
      </c>
      <c r="I14" s="1624">
        <v>168.78</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2层</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586" t="s">
        <v>1130</v>
      </c>
      <c r="B2" s="3586"/>
      <c r="C2" s="3586"/>
      <c r="D2" s="795" t="s">
        <v>1106</v>
      </c>
      <c r="E2" s="1637" t="s">
        <v>1107</v>
      </c>
      <c r="F2" s="2657"/>
      <c r="G2" s="2648"/>
      <c r="H2" s="2649"/>
      <c r="I2" s="2323" t="s">
        <v>1131</v>
      </c>
      <c r="J2" s="2657"/>
      <c r="K2" s="2657"/>
      <c r="L2" s="2657"/>
      <c r="M2" s="2657"/>
      <c r="N2" s="2659"/>
      <c r="O2" s="2657"/>
      <c r="P2" s="2657"/>
    </row>
    <row r="3" spans="1:16" ht="15.75" thickBot="1">
      <c r="A3" s="3587" t="s">
        <v>1104</v>
      </c>
      <c r="B3" s="3587"/>
      <c r="C3" s="3587"/>
      <c r="D3" s="43">
        <f>'数据-基础表'!AY6</f>
        <v>0</v>
      </c>
      <c r="E3" s="43">
        <f>'数据-基础表'!AZ5</f>
        <v>125.74</v>
      </c>
      <c r="F3" s="2657"/>
      <c r="G3" s="1144"/>
      <c r="H3" s="1025" t="s">
        <v>1105</v>
      </c>
      <c r="I3" s="854" t="e">
        <f>ROUND('数据-基础表'!B3/'数据-基础表'!A3,2)</f>
        <v>#DIV/0!</v>
      </c>
      <c r="J3" s="2657"/>
      <c r="K3" s="2657"/>
      <c r="L3" s="2657"/>
      <c r="M3" s="2657"/>
      <c r="N3" s="2659"/>
      <c r="O3" s="2657"/>
      <c r="P3" s="2657"/>
    </row>
    <row r="4" spans="1:16" ht="15">
      <c r="A4" s="3588"/>
      <c r="B4" s="3589"/>
      <c r="C4" s="3590"/>
      <c r="D4" s="1639" t="s">
        <v>1106</v>
      </c>
      <c r="E4" s="1640" t="s">
        <v>1107</v>
      </c>
      <c r="F4" s="2657"/>
      <c r="G4" s="2650" t="s">
        <v>1132</v>
      </c>
      <c r="H4" s="1025" t="s">
        <v>1112</v>
      </c>
      <c r="I4" s="854" t="e">
        <f>ROUND(SUMIF('数据-基础表'!I9:AS9,"地上",'数据-基础表'!I5:AS5)/'数据-基础表'!A3,2)</f>
        <v>#DIV/0!</v>
      </c>
      <c r="J4" s="2657"/>
      <c r="K4" s="2657"/>
      <c r="L4" s="2657"/>
      <c r="M4" s="2657"/>
      <c r="N4" s="2659"/>
      <c r="O4" s="2657"/>
      <c r="P4" s="2657"/>
    </row>
    <row r="5" spans="1:16">
      <c r="A5" s="44" t="s">
        <v>1108</v>
      </c>
      <c r="B5" s="3591" t="s">
        <v>1109</v>
      </c>
      <c r="C5" s="3591"/>
      <c r="D5" s="45">
        <f>ROUND($D$3*E5/$E$3,2)</f>
        <v>0</v>
      </c>
      <c r="E5" s="46">
        <f>SUMIF('数据-基础表'!$11:$11,"住宅",'数据-基础表'!$5:$5)</f>
        <v>0</v>
      </c>
      <c r="F5" s="2657"/>
      <c r="G5" s="1144"/>
      <c r="H5" s="1025" t="s">
        <v>1105</v>
      </c>
      <c r="I5" s="854" t="e">
        <f>ROUND(E31/D31,2)</f>
        <v>#DIV/0!</v>
      </c>
      <c r="J5" s="2657"/>
      <c r="K5" s="2657"/>
      <c r="L5" s="2657"/>
      <c r="M5" s="2657"/>
      <c r="N5" s="2657"/>
      <c r="O5" s="2657"/>
      <c r="P5" s="2657"/>
    </row>
    <row r="6" spans="1:16" ht="15" thickBot="1">
      <c r="A6" s="1642"/>
      <c r="B6" s="3591" t="s">
        <v>1110</v>
      </c>
      <c r="C6" s="3591"/>
      <c r="D6" s="45">
        <f>ROUND($D$3*E6/$E$3,2)</f>
        <v>0</v>
      </c>
      <c r="E6" s="46">
        <f>E3-E5</f>
        <v>125.74</v>
      </c>
      <c r="F6" s="2657"/>
      <c r="G6" s="2651" t="s">
        <v>1111</v>
      </c>
      <c r="H6" s="1145" t="s">
        <v>1112</v>
      </c>
      <c r="I6" s="2652" t="e">
        <f>ROUND(F31/D31,2)</f>
        <v>#DIV/0!</v>
      </c>
      <c r="J6" s="2657"/>
      <c r="K6" s="2657"/>
      <c r="L6" s="2657"/>
      <c r="M6" s="2657"/>
      <c r="N6" s="2657"/>
      <c r="O6" s="2657"/>
      <c r="P6" s="2657"/>
    </row>
    <row r="7" spans="1:16" ht="15.75" thickBot="1">
      <c r="A7" s="3583"/>
      <c r="B7" s="3584"/>
      <c r="C7" s="3585"/>
      <c r="D7" s="1639" t="s">
        <v>1106</v>
      </c>
      <c r="E7" s="1643"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125.74</v>
      </c>
      <c r="F8" s="2657"/>
      <c r="G8" s="2658"/>
      <c r="H8" s="2658"/>
      <c r="I8" s="2657"/>
      <c r="J8" s="2657"/>
      <c r="K8" s="2657"/>
      <c r="L8" s="2657"/>
      <c r="M8" s="2657"/>
      <c r="N8" s="2657"/>
      <c r="O8" s="2657"/>
      <c r="P8" s="2657"/>
    </row>
    <row r="9" spans="1:16">
      <c r="A9" s="1644"/>
      <c r="B9" s="1645"/>
      <c r="C9" s="45" t="s">
        <v>1118</v>
      </c>
      <c r="D9" s="45">
        <f t="shared" si="0"/>
        <v>0</v>
      </c>
      <c r="E9" s="49">
        <v>0</v>
      </c>
      <c r="F9" s="2657"/>
      <c r="G9" s="2658"/>
      <c r="H9" s="2658"/>
      <c r="I9" s="2657"/>
      <c r="J9" s="2657"/>
      <c r="K9" s="2657"/>
      <c r="L9" s="2657"/>
      <c r="M9" s="2657"/>
      <c r="N9" s="2657"/>
      <c r="O9" s="2657"/>
      <c r="P9" s="2657"/>
    </row>
    <row r="10" spans="1:16">
      <c r="A10" s="1644"/>
      <c r="B10" s="1645"/>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1122</v>
      </c>
      <c r="D16" s="47">
        <f>SUM(D8:D15)</f>
        <v>0</v>
      </c>
      <c r="E16" s="50">
        <f>SUM(E8:E15)</f>
        <v>125.74</v>
      </c>
      <c r="F16" s="2657"/>
      <c r="G16" s="2658"/>
      <c r="H16" s="1646" t="s">
        <v>1134</v>
      </c>
      <c r="I16" s="1647"/>
      <c r="J16" s="1138"/>
      <c r="K16" s="3580" t="s">
        <v>1134</v>
      </c>
      <c r="L16" s="3581"/>
      <c r="M16" s="3581"/>
      <c r="N16" s="3581"/>
      <c r="O16" s="3581"/>
      <c r="P16" s="3582"/>
    </row>
    <row r="17" spans="1:19" ht="15">
      <c r="A17" s="1648" t="s">
        <v>1135</v>
      </c>
      <c r="B17" s="1649" t="s">
        <v>1136</v>
      </c>
      <c r="C17" s="1650" t="s">
        <v>1137</v>
      </c>
      <c r="D17" s="1651" t="s">
        <v>1125</v>
      </c>
      <c r="E17" s="1652" t="s">
        <v>1126</v>
      </c>
      <c r="F17" s="1653"/>
      <c r="G17" s="1654"/>
      <c r="H17" s="1655" t="s">
        <v>1138</v>
      </c>
      <c r="I17" s="1656" t="s">
        <v>1123</v>
      </c>
      <c r="J17" s="1138"/>
      <c r="K17" s="3577" t="s">
        <v>1139</v>
      </c>
      <c r="L17" s="3578"/>
      <c r="M17" s="3579"/>
      <c r="N17" s="3577" t="s">
        <v>1140</v>
      </c>
      <c r="O17" s="3578"/>
      <c r="P17" s="3579"/>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4" t="s">
        <v>3639</v>
      </c>
      <c r="D19" s="45">
        <f>ROUND($D$3*E19/$E$3,2)</f>
        <v>0</v>
      </c>
      <c r="E19" s="53">
        <f t="shared" ref="E19:E26" si="1">SUM(F19:G19)</f>
        <v>125.74</v>
      </c>
      <c r="F19" s="2792">
        <f>'数据-基础表'!I13</f>
        <v>125.74</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'数据-基础表'!B13</f>
        <v>0</v>
      </c>
      <c r="S19" s="1026">
        <f t="shared" ref="R19:S26" si="5">E19+I19</f>
        <v>125.74</v>
      </c>
    </row>
    <row r="20" spans="1:19">
      <c r="A20" s="1668"/>
      <c r="B20" s="47" t="s">
        <v>1152</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'数据-基础表'!B14</f>
        <v>0</v>
      </c>
      <c r="S20" s="1026">
        <f t="shared" si="5"/>
        <v>0</v>
      </c>
    </row>
    <row r="21" spans="1:19">
      <c r="A21" s="1668"/>
      <c r="B21" s="47" t="s">
        <v>1152</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1152</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0</v>
      </c>
      <c r="E27" s="1140">
        <f>IF(SUM(E19:E26)='数据-基础表'!BA5,SUM(E19:E26),IF(F27="地上面积有误","面积有误","地下面积有误"))</f>
        <v>125.74</v>
      </c>
      <c r="F27" s="1139">
        <f>IF(SUM(F19:F26)=E8,SUM(F19:F26),"地上面积有误")</f>
        <v>125.74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125.74</v>
      </c>
    </row>
    <row r="28" spans="1:19">
      <c r="A28" s="1668"/>
      <c r="B28" s="47" t="s">
        <v>1154</v>
      </c>
      <c r="C28" s="1037"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1154</v>
      </c>
      <c r="C29" s="1672"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1153</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4" t="s">
        <v>1157</v>
      </c>
      <c r="D31" s="675">
        <f>D27+D30</f>
        <v>0</v>
      </c>
      <c r="E31" s="675">
        <f>E27+E30</f>
        <v>125.74</v>
      </c>
      <c r="F31" s="676">
        <f>F27+F30</f>
        <v>125.74</v>
      </c>
      <c r="G31" s="677">
        <f>G27+G30</f>
        <v>0</v>
      </c>
      <c r="H31" s="2657"/>
      <c r="I31" s="2657"/>
      <c r="J31" s="2657"/>
      <c r="K31" s="2657"/>
      <c r="L31" s="2657"/>
      <c r="M31" s="2657"/>
      <c r="N31" s="2657"/>
      <c r="O31" s="2657"/>
      <c r="P31" s="2657"/>
    </row>
    <row r="32" spans="1:19">
      <c r="A32" s="1641"/>
      <c r="B32" s="1641" t="s">
        <v>1158</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Y19" sqref="Y1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3" width="7.25" style="1680" customWidth="1"/>
    <col min="34" max="34" width="11.1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8"/>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7" customFormat="1" ht="15.75" thickBot="1">
      <c r="A2" s="1681" t="s">
        <v>1160</v>
      </c>
      <c r="B2" s="1044">
        <f>项目基本情况!D3</f>
        <v>45210</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6"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0.5">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3576</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56464</v>
      </c>
      <c r="F6" s="64">
        <f>SUMIF(项目基本情况!C$12:I$12,C6,项目基本情况!C$15:I$15)</f>
        <v>30.83</v>
      </c>
      <c r="G6" s="65">
        <f>IF(ISERROR(ROUND(POWER(1+H6,D6-F6)*(POWER(1+H6,F6)-1)/(POWER(1+H6,D6)-1),3)),0,ROUND(POWER(1+H6,D6-F6)*(POWER(1+H6,F6)-1)/(POWER(1+H6,D6)-1),3))</f>
        <v>0.90700000000000003</v>
      </c>
      <c r="H6" s="731">
        <v>0.05</v>
      </c>
      <c r="I6" s="731">
        <v>0.06</v>
      </c>
      <c r="J6" s="66">
        <v>7.4999999999999997E-2</v>
      </c>
      <c r="K6" s="1029">
        <f>SUMIF('数据-汇总表'!C$19:C$33,A6,'数据-汇总表'!E$19:E$33)</f>
        <v>125.74</v>
      </c>
      <c r="L6" s="732">
        <v>4000</v>
      </c>
      <c r="M6" s="67">
        <f t="shared" ref="M6:M14" si="0">ROUND(K6*L6/10000,0)</f>
        <v>50</v>
      </c>
      <c r="N6" s="730">
        <f>ROUND(1-(2023-2017)/60,4)</f>
        <v>0.9</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75">
        <v>5</v>
      </c>
      <c r="V6" s="70">
        <v>2.5000000000000001E-2</v>
      </c>
      <c r="W6" s="70">
        <v>0.1</v>
      </c>
      <c r="X6" s="1039"/>
      <c r="Y6" s="71">
        <f>N6</f>
        <v>0.9</v>
      </c>
      <c r="Z6" s="72"/>
      <c r="AA6" s="66"/>
      <c r="AB6" s="66"/>
      <c r="AC6" s="1039"/>
      <c r="AD6" s="73"/>
      <c r="AE6" s="1040">
        <f ca="1">IF(AN6="",0,SUMIF(INDIRECT("'"&amp;AN6&amp;"'"&amp;"!E:E"),$AE$5,INDIRECT("'"&amp;AN6&amp;"'"&amp;"!F:F")))</f>
        <v>30.83</v>
      </c>
      <c r="AF6" s="1346"/>
      <c r="AG6" s="138">
        <f>IF(AF6="",0,AE6-AF6)</f>
        <v>0</v>
      </c>
      <c r="AH6" s="3425">
        <f>K6</f>
        <v>125.74</v>
      </c>
      <c r="AI6" s="76">
        <v>365</v>
      </c>
      <c r="AJ6" s="77"/>
      <c r="AK6" s="78">
        <v>0.01</v>
      </c>
      <c r="AL6" s="79">
        <v>1E-3</v>
      </c>
      <c r="AM6" s="80">
        <v>0.01</v>
      </c>
      <c r="AN6" s="1713" t="s">
        <v>3577</v>
      </c>
      <c r="AO6" s="52">
        <f ca="1">SUMIF(INDIRECT("'"&amp;AN6&amp;"'"&amp;"!A:A"),"总价",INDIRECT("'"&amp;AN6&amp;"'"&amp;"!B:B"))</f>
        <v>336.86810000000003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75"/>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3425"/>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0.90700000000000003</v>
      </c>
      <c r="H16" s="90">
        <f>ROUND(SUMPRODUCT(H6:H13,K6:K13)/SUMPRODUCT((H6:H13&gt;0)*(K6:K13)),3)</f>
        <v>0.05</v>
      </c>
      <c r="I16" s="91"/>
      <c r="J16" s="91"/>
      <c r="K16" s="92">
        <f>SUM(K6:K15)</f>
        <v>125.74</v>
      </c>
      <c r="L16" s="93">
        <f>ROUND(M16*10000/SUM(K6:K14),0)</f>
        <v>3976</v>
      </c>
      <c r="M16" s="93">
        <f>SUM(M6:M14)</f>
        <v>50</v>
      </c>
      <c r="N16" s="94">
        <f>ROUND(SUMPRODUCT(M6:M14,N6:N14)/M16,3)</f>
        <v>0.9</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1210</v>
      </c>
      <c r="B19" s="103">
        <v>0</v>
      </c>
      <c r="C19" s="2796" t="s">
        <v>2296</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1211</v>
      </c>
      <c r="B20" s="104">
        <v>1</v>
      </c>
      <c r="C20" s="2797" t="s">
        <v>2294</v>
      </c>
      <c r="D20" s="2673"/>
      <c r="E20" s="2670"/>
      <c r="F20" s="2670"/>
      <c r="G20" s="2670"/>
      <c r="H20" s="2670"/>
      <c r="I20" s="2670"/>
      <c r="J20" s="2670"/>
      <c r="K20" s="24"/>
      <c r="L20" s="2669"/>
      <c r="M20" s="3489" t="s">
        <v>3616</v>
      </c>
      <c r="N20" s="730">
        <f>ROUND(1-(2023-2005)/60,2)</f>
        <v>0.7</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1212</v>
      </c>
      <c r="B21" s="104">
        <f>B20</f>
        <v>1</v>
      </c>
      <c r="C21" s="2670"/>
      <c r="D21" s="2673"/>
      <c r="E21" s="2670"/>
      <c r="F21" s="2670"/>
      <c r="G21" s="2670"/>
      <c r="H21" s="2670"/>
      <c r="I21" s="2670"/>
      <c r="J21" s="2670"/>
      <c r="K21" s="2669"/>
      <c r="L21" s="2669"/>
      <c r="M21" s="3489" t="s">
        <v>3617</v>
      </c>
      <c r="N21" s="730">
        <v>0.8</v>
      </c>
      <c r="O21" s="2668"/>
      <c r="P21" s="2668"/>
      <c r="Q21" s="2668"/>
      <c r="R21" s="2668"/>
      <c r="S21" s="2668"/>
      <c r="T21" s="2668"/>
      <c r="U21" s="2668">
        <f>3914669/K16/365</f>
        <v>85.296011992565653</v>
      </c>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1213</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1214</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1215</v>
      </c>
      <c r="B24" s="106">
        <f>B20-B21</f>
        <v>0</v>
      </c>
      <c r="C24" s="2670"/>
      <c r="D24" s="2673"/>
      <c r="E24" s="2670"/>
      <c r="F24" s="2670"/>
      <c r="G24" s="2670"/>
      <c r="H24" s="2670"/>
      <c r="I24" s="2670"/>
      <c r="J24" s="2670"/>
      <c r="K24" s="2669">
        <f>K16*0.45</f>
        <v>56.582999999999998</v>
      </c>
      <c r="L24" s="2669" t="s">
        <v>3624</v>
      </c>
      <c r="M24" s="2668">
        <v>1</v>
      </c>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3491">
        <f>K16-K24</f>
        <v>69.156999999999996</v>
      </c>
      <c r="L25" s="2669" t="s">
        <v>3625</v>
      </c>
      <c r="M25" s="2668">
        <v>0.75</v>
      </c>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1216</v>
      </c>
      <c r="B26" s="1724" t="s">
        <v>1217</v>
      </c>
      <c r="C26" s="2674" t="s">
        <v>1218</v>
      </c>
      <c r="D26" s="2673"/>
      <c r="E26" s="2670"/>
      <c r="F26" s="2670"/>
      <c r="G26" s="2670"/>
      <c r="H26" s="2670"/>
      <c r="I26" s="2670"/>
      <c r="J26" s="2670"/>
      <c r="K26" s="3491">
        <f>K24+K25</f>
        <v>125.74</v>
      </c>
      <c r="L26" s="2669"/>
      <c r="M26" s="2668">
        <f>(M24*K24+K25*M25)/K26</f>
        <v>0.86250000000000004</v>
      </c>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1219</v>
      </c>
      <c r="B27" s="107"/>
      <c r="C27" s="2798" t="s">
        <v>2298</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c r="C29" s="2799" t="s">
        <v>2285</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1">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2">
        <v>0.03</v>
      </c>
      <c r="C33" s="2800" t="s">
        <v>2286</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800" t="s">
        <v>2287</v>
      </c>
      <c r="D34" s="2681" t="s">
        <v>2295</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v>200</v>
      </c>
      <c r="C35" s="2800" t="s">
        <v>2288</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1.4999999999999999E-2</v>
      </c>
      <c r="C36" s="2800" t="s">
        <v>2289</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1229</v>
      </c>
      <c r="B37" s="115">
        <v>0.02</v>
      </c>
      <c r="C37" s="2800" t="s">
        <v>2290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1230</v>
      </c>
      <c r="B38" s="115">
        <f>B37</f>
        <v>0.02</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3614</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1235</v>
      </c>
      <c r="B44" s="119">
        <v>7.0000000000000007E-2</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1236</v>
      </c>
      <c r="B45" s="117">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1237</v>
      </c>
      <c r="B46" s="117">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1238</v>
      </c>
      <c r="B47" s="120">
        <v>0</v>
      </c>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1239</v>
      </c>
      <c r="B48" s="121">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1240</v>
      </c>
      <c r="B49" s="117">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1243</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1244</v>
      </c>
      <c r="B53" s="1736"/>
      <c r="C53" s="2659" t="s">
        <v>1245</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1246</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1247</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1248</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1249</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1250</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1251</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92" t="s">
        <v>2277</v>
      </c>
      <c r="B1" s="3593"/>
      <c r="C1" s="3593"/>
      <c r="D1" s="3593"/>
      <c r="E1" s="3593"/>
      <c r="F1" s="3593"/>
      <c r="G1" s="359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8"/>
      <c r="I2" s="798"/>
      <c r="J2" s="798"/>
      <c r="K2" s="798"/>
      <c r="L2" s="798"/>
      <c r="M2" s="798"/>
      <c r="N2" s="798"/>
      <c r="O2" s="798"/>
      <c r="P2" s="798"/>
      <c r="Q2" s="798"/>
      <c r="R2" s="798"/>
    </row>
    <row r="3" spans="1:29" ht="25.5">
      <c r="A3" s="2439" t="s">
        <v>2275</v>
      </c>
      <c r="B3" s="2461" t="s">
        <v>2247</v>
      </c>
      <c r="C3" s="2462"/>
      <c r="D3" s="2463"/>
      <c r="E3" s="2440" t="s">
        <v>2275</v>
      </c>
      <c r="F3" s="2464" t="s">
        <v>2248</v>
      </c>
      <c r="G3" s="2465" t="s">
        <v>2276</v>
      </c>
      <c r="H3" s="798"/>
      <c r="I3" s="798"/>
      <c r="J3" s="798"/>
      <c r="K3" s="798"/>
      <c r="L3" s="798"/>
      <c r="M3" s="798"/>
      <c r="N3" s="798"/>
      <c r="O3" s="798"/>
      <c r="P3" s="798"/>
      <c r="Q3" s="798"/>
      <c r="R3" s="798"/>
    </row>
    <row r="4" spans="1:29" ht="36">
      <c r="A4" s="2440"/>
      <c r="B4" s="323" t="s">
        <v>2249</v>
      </c>
      <c r="C4" s="3490" t="s">
        <v>3630</v>
      </c>
      <c r="D4" s="2463"/>
      <c r="E4" s="2467"/>
      <c r="F4" s="1371" t="s">
        <v>2250</v>
      </c>
      <c r="G4" s="2468" t="s">
        <v>2251</v>
      </c>
      <c r="H4" s="798"/>
      <c r="I4" s="798"/>
      <c r="J4" s="798"/>
      <c r="K4" s="798"/>
      <c r="L4" s="798"/>
      <c r="M4" s="798"/>
      <c r="N4" s="798"/>
      <c r="O4" s="798"/>
      <c r="P4" s="798"/>
      <c r="Q4" s="798"/>
      <c r="R4" s="798"/>
    </row>
    <row r="5" spans="1:29" ht="24">
      <c r="A5" s="2440"/>
      <c r="B5" s="323" t="s">
        <v>2252</v>
      </c>
      <c r="C5" s="2466"/>
      <c r="D5" s="2463"/>
      <c r="E5" s="2467"/>
      <c r="F5" s="323" t="s">
        <v>2253</v>
      </c>
      <c r="G5" s="2468" t="s">
        <v>2254</v>
      </c>
      <c r="H5" s="798"/>
      <c r="I5" s="798"/>
      <c r="J5" s="798"/>
      <c r="K5" s="798"/>
      <c r="L5" s="798"/>
      <c r="M5" s="798"/>
      <c r="N5" s="798"/>
      <c r="O5" s="798"/>
      <c r="P5" s="798"/>
      <c r="Q5" s="798"/>
      <c r="R5" s="798"/>
    </row>
    <row r="6" spans="1:29" ht="61.5">
      <c r="A6" s="2440"/>
      <c r="B6" s="323" t="s">
        <v>2255</v>
      </c>
      <c r="C6" s="2468" t="s">
        <v>3622</v>
      </c>
      <c r="D6" s="2463"/>
      <c r="E6" s="2467"/>
      <c r="F6" s="323" t="s">
        <v>2256</v>
      </c>
      <c r="G6" s="2468" t="s">
        <v>2257</v>
      </c>
      <c r="H6" s="798"/>
      <c r="I6" s="798"/>
      <c r="J6" s="798"/>
      <c r="K6" s="798"/>
      <c r="L6" s="798"/>
      <c r="M6" s="798"/>
      <c r="N6" s="798"/>
      <c r="O6" s="798"/>
      <c r="P6" s="798"/>
      <c r="Q6" s="798"/>
      <c r="R6" s="798"/>
    </row>
    <row r="7" spans="1:29" ht="26.25" thickBot="1">
      <c r="A7" s="2440"/>
      <c r="B7" s="323" t="s">
        <v>2253</v>
      </c>
      <c r="C7" s="2468" t="s">
        <v>3505</v>
      </c>
      <c r="D7" s="2469"/>
      <c r="E7" s="2470"/>
      <c r="F7" s="2471" t="s">
        <v>2258</v>
      </c>
      <c r="G7" s="2472" t="s">
        <v>2259</v>
      </c>
      <c r="H7" s="798"/>
      <c r="I7" s="798"/>
      <c r="J7" s="798"/>
      <c r="K7" s="798"/>
      <c r="L7" s="798"/>
      <c r="M7" s="798"/>
      <c r="N7" s="798"/>
      <c r="O7" s="798"/>
      <c r="P7" s="798"/>
      <c r="Q7" s="798"/>
      <c r="R7" s="798"/>
    </row>
    <row r="8" spans="1:29" ht="25.5">
      <c r="A8" s="2440"/>
      <c r="B8" s="323" t="s">
        <v>2256</v>
      </c>
      <c r="C8" s="2468" t="s">
        <v>3506</v>
      </c>
      <c r="D8" s="2469"/>
      <c r="E8" s="2469"/>
      <c r="F8" s="2473"/>
      <c r="G8" s="2473"/>
      <c r="H8" s="798"/>
      <c r="I8" s="798"/>
      <c r="J8" s="798"/>
      <c r="K8" s="798"/>
      <c r="L8" s="798"/>
      <c r="M8" s="798"/>
      <c r="N8" s="798"/>
      <c r="O8" s="798"/>
      <c r="P8" s="798"/>
      <c r="Q8" s="798"/>
      <c r="R8" s="798"/>
    </row>
    <row r="9" spans="1:29" ht="48">
      <c r="A9" s="2440"/>
      <c r="B9" s="323" t="s">
        <v>2260</v>
      </c>
      <c r="C9" s="3490" t="s">
        <v>3620</v>
      </c>
      <c r="D9" s="2463"/>
      <c r="E9" s="2469"/>
      <c r="F9" s="2473"/>
      <c r="G9" s="2473"/>
      <c r="H9" s="798"/>
      <c r="I9" s="798"/>
      <c r="J9" s="798"/>
      <c r="K9" s="798"/>
      <c r="L9" s="798"/>
      <c r="M9" s="798"/>
      <c r="N9" s="798"/>
      <c r="O9" s="798"/>
      <c r="P9" s="798"/>
      <c r="Q9" s="798"/>
      <c r="R9" s="798"/>
    </row>
    <row r="10" spans="1:29" s="2479" customFormat="1" ht="15" thickBot="1">
      <c r="A10" s="2441"/>
      <c r="B10" s="2474" t="s">
        <v>2261</v>
      </c>
      <c r="C10" s="2475" t="s">
        <v>3621</v>
      </c>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2262</v>
      </c>
      <c r="D14" s="2463"/>
      <c r="E14" s="2494"/>
      <c r="F14" s="2494"/>
      <c r="G14" s="2458" t="s">
        <v>2263</v>
      </c>
    </row>
    <row r="15" spans="1:29" ht="25.5">
      <c r="A15" s="2442" t="s">
        <v>2264</v>
      </c>
      <c r="B15" s="2495" t="s">
        <v>2247</v>
      </c>
      <c r="C15" s="2496">
        <f>C3</f>
        <v>0</v>
      </c>
      <c r="D15" s="2463"/>
      <c r="E15" s="2443" t="s">
        <v>2265</v>
      </c>
      <c r="F15" s="2495" t="s">
        <v>2266</v>
      </c>
      <c r="G15" s="2497" t="str">
        <f>G3</f>
        <v>估价对象位于XX开发区，园区建设成熟度XX，产业集聚程度XX</v>
      </c>
    </row>
    <row r="16" spans="1:29" ht="38.25">
      <c r="A16" s="2444"/>
      <c r="B16" s="2498" t="s">
        <v>2249</v>
      </c>
      <c r="C16" s="2499" t="str">
        <f>C4</f>
        <v>估价对象周边商业氛围成熟度一般，有新业广场等，人流量一般，商业繁华度一般</v>
      </c>
      <c r="D16" s="2463"/>
      <c r="E16" s="2445"/>
      <c r="F16" s="2500" t="s">
        <v>2250</v>
      </c>
      <c r="G16" s="2501" t="str">
        <f>G4</f>
        <v>估价对象周边道路状况、公共交通通达情况、停车便捷程度，综合评价交通便捷度较好</v>
      </c>
    </row>
    <row r="17" spans="1:18">
      <c r="A17" s="2444"/>
      <c r="B17" s="2498" t="s">
        <v>2252</v>
      </c>
      <c r="C17" s="2499">
        <f>C5</f>
        <v>0</v>
      </c>
      <c r="D17" s="2469"/>
      <c r="E17" s="2445"/>
      <c r="F17" s="2500" t="s">
        <v>2267</v>
      </c>
      <c r="G17" s="2502"/>
    </row>
    <row r="18" spans="1:18" ht="63.75">
      <c r="A18" s="2444"/>
      <c r="B18" s="2500" t="s">
        <v>2255</v>
      </c>
      <c r="C18" s="2501" t="str">
        <f>C6</f>
        <v>估价对象周边道路状况较好、有300、368、652路等公交线路及地铁10号线经过，公共交通通达情况较好、停车便捷程度一般，综合评价交通便捷度较好</v>
      </c>
      <c r="D18" s="2469"/>
      <c r="E18" s="2445"/>
      <c r="F18" s="2500" t="s">
        <v>2258</v>
      </c>
      <c r="G18" s="2501" t="str">
        <f>G7</f>
        <v>该园区内是否有污染型企业，绿化情况，卫生条件，整体环境状况判断</v>
      </c>
    </row>
    <row r="19" spans="1:18" ht="25.5">
      <c r="A19" s="2444"/>
      <c r="B19" s="2500" t="s">
        <v>2268</v>
      </c>
      <c r="C19" s="2502"/>
      <c r="D19" s="2463"/>
      <c r="E19" s="2445"/>
      <c r="F19" s="323" t="s">
        <v>2253</v>
      </c>
      <c r="G19" s="2501" t="str">
        <f>G5</f>
        <v>估价对象所在区域公共配套设施齐备情况</v>
      </c>
    </row>
    <row r="20" spans="1:18" ht="51">
      <c r="A20" s="2444"/>
      <c r="B20" s="2500" t="s">
        <v>2269</v>
      </c>
      <c r="C20" s="2499" t="str">
        <f>C9</f>
        <v>区域自然环境：北京动物园、官园公园；人文环境：北京天文馆、北京建筑大学；综合评价环境状况邮编</v>
      </c>
      <c r="D20" s="2469"/>
      <c r="E20" s="2445"/>
      <c r="F20" s="323" t="s">
        <v>2256</v>
      </c>
      <c r="G20" s="2501" t="str">
        <f>G6</f>
        <v>估价对象所在区域基础设施水平</v>
      </c>
    </row>
    <row r="21" spans="1:18" ht="25.5">
      <c r="A21" s="2444"/>
      <c r="B21" s="323" t="s">
        <v>2253</v>
      </c>
      <c r="C21" s="2501" t="str">
        <f>C7</f>
        <v>估价对象所在区域公共配套设施齐备情况较好</v>
      </c>
      <c r="D21" s="2463"/>
      <c r="E21" s="2445"/>
      <c r="F21" s="2500" t="s">
        <v>2270</v>
      </c>
      <c r="G21" s="2503"/>
    </row>
    <row r="22" spans="1:18" ht="13.5" customHeight="1">
      <c r="A22" s="2444"/>
      <c r="B22" s="323" t="s">
        <v>2256</v>
      </c>
      <c r="C22" s="2501" t="str">
        <f>C8</f>
        <v>估价对象所在区域基础设施水平七通</v>
      </c>
      <c r="D22" s="2463"/>
      <c r="E22" s="2445"/>
      <c r="F22" s="2500" t="s">
        <v>2261</v>
      </c>
      <c r="G22" s="2502"/>
    </row>
    <row r="23" spans="1:18" s="798" customFormat="1" ht="15" thickBot="1">
      <c r="A23" s="2444"/>
      <c r="B23" s="2500" t="s">
        <v>2270</v>
      </c>
      <c r="C23" s="2503"/>
      <c r="D23" s="1739"/>
      <c r="E23" s="2446"/>
      <c r="F23" s="2504" t="s">
        <v>2271</v>
      </c>
      <c r="G23" s="2505"/>
      <c r="H23" s="2489"/>
      <c r="I23" s="2490"/>
      <c r="J23" s="2489"/>
      <c r="K23" s="2489"/>
      <c r="L23" s="2490"/>
      <c r="M23" s="2489"/>
      <c r="N23" s="2489"/>
      <c r="O23" s="2490"/>
      <c r="P23" s="2489"/>
      <c r="Q23" s="2489"/>
      <c r="R23" s="2491"/>
    </row>
    <row r="24" spans="1:18" s="798" customFormat="1" ht="15" thickBot="1">
      <c r="A24" s="2447"/>
      <c r="B24" s="2504" t="s">
        <v>2272</v>
      </c>
      <c r="C24" s="2506" t="str">
        <f>C10</f>
        <v>快速路-南三环东路</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L15" sqref="L15"/>
    </sheetView>
  </sheetViews>
  <sheetFormatPr defaultColWidth="9" defaultRowHeight="13.5"/>
  <cols>
    <col min="1" max="1" width="25" style="2511" customWidth="1"/>
    <col min="2" max="9" width="15.75" style="2511" customWidth="1"/>
    <col min="10" max="10" width="9" style="2511"/>
    <col min="11" max="11" width="9.625" style="2511" customWidth="1"/>
    <col min="12" max="16384" width="9" style="2511"/>
  </cols>
  <sheetData>
    <row r="1" spans="1:12" ht="16.5">
      <c r="A1" s="2510" t="s">
        <v>665</v>
      </c>
      <c r="B1" s="2510">
        <f>SUM(B14:B23)</f>
        <v>294.52</v>
      </c>
      <c r="C1" s="2683"/>
      <c r="D1" s="2683"/>
      <c r="E1" s="2683"/>
      <c r="F1" s="2683"/>
      <c r="G1" s="2684"/>
      <c r="H1" s="2685"/>
      <c r="I1" s="2685"/>
      <c r="J1" s="2685"/>
      <c r="K1" s="2685"/>
    </row>
    <row r="2" spans="1:12" ht="16.5">
      <c r="A2" s="2510" t="s">
        <v>653</v>
      </c>
      <c r="B2" s="2510">
        <f>SUM(C14:C23)</f>
        <v>0</v>
      </c>
      <c r="C2" s="2683"/>
      <c r="D2" s="2683"/>
      <c r="E2" s="2683"/>
      <c r="F2" s="2683"/>
      <c r="G2" s="2684"/>
      <c r="H2" s="2685"/>
      <c r="I2" s="2685"/>
      <c r="J2" s="2685"/>
      <c r="K2" s="2685"/>
    </row>
    <row r="3" spans="1:12" ht="16.5">
      <c r="A3" s="2510" t="s">
        <v>662</v>
      </c>
      <c r="B3" s="2512">
        <f>项目基本情况!D3</f>
        <v>45210</v>
      </c>
      <c r="C3" s="2683"/>
      <c r="D3" s="2683"/>
      <c r="E3" s="2683"/>
      <c r="F3" s="2683"/>
      <c r="G3" s="2684"/>
      <c r="H3" s="2685"/>
      <c r="I3" s="2685"/>
      <c r="J3" s="2685"/>
      <c r="K3" s="2685"/>
    </row>
    <row r="4" spans="1:12" ht="33">
      <c r="A4" s="2510" t="s">
        <v>661</v>
      </c>
      <c r="B4" s="2510" t="s">
        <v>660</v>
      </c>
      <c r="C4" s="2510" t="s">
        <v>659</v>
      </c>
      <c r="D4" s="2510" t="s">
        <v>658</v>
      </c>
      <c r="E4" s="2683"/>
      <c r="F4" s="2684"/>
      <c r="G4" s="2684"/>
      <c r="H4" s="2685"/>
      <c r="I4" s="2685"/>
      <c r="J4" s="2685"/>
      <c r="K4" s="2685">
        <v>103175</v>
      </c>
      <c r="L4" s="2511">
        <f ca="1">K4-B5</f>
        <v>102240</v>
      </c>
    </row>
    <row r="5" spans="1:12" ht="16.5">
      <c r="A5" s="2510" t="s">
        <v>657</v>
      </c>
      <c r="B5" s="2510">
        <f ca="1">SUM(D14:D23)</f>
        <v>935</v>
      </c>
      <c r="C5" s="2510">
        <f ca="1">IF(B5=D14,结果表!H102,ROUND(B5*10000/$B$1,0))</f>
        <v>38333</v>
      </c>
      <c r="D5" s="2510" t="e">
        <f ca="1">ROUND(B5*10000/$B$2,0)</f>
        <v>#DIV/0!</v>
      </c>
      <c r="E5" s="2683"/>
      <c r="F5" s="2684"/>
      <c r="G5" s="2684"/>
      <c r="H5" s="2685"/>
      <c r="I5" s="2685"/>
      <c r="J5" s="2685"/>
      <c r="K5" s="2685"/>
    </row>
    <row r="6" spans="1:12" ht="16.5">
      <c r="A6" s="2510" t="s">
        <v>656</v>
      </c>
      <c r="B6" s="2510">
        <f ca="1">SUM(G14:G23)</f>
        <v>935</v>
      </c>
      <c r="C6" s="2510">
        <f ca="1">IF(B6=G14,结果表!H108,ROUND(B6*10000/$B$1,0))</f>
        <v>38333</v>
      </c>
      <c r="D6" s="2510" t="e">
        <f ca="1">ROUND(B6*10000/$B$2,0)</f>
        <v>#DIV/0!</v>
      </c>
      <c r="E6" s="2683"/>
      <c r="F6" s="2684"/>
      <c r="G6" s="2684"/>
      <c r="H6" s="2685"/>
      <c r="I6" s="2685"/>
      <c r="J6" s="2685"/>
      <c r="K6" s="2685"/>
    </row>
    <row r="7" spans="1:12" ht="16.5">
      <c r="A7" s="2510" t="s">
        <v>664</v>
      </c>
      <c r="B7" s="2510">
        <f>SUM(H14:H23)</f>
        <v>0</v>
      </c>
      <c r="C7" s="2510" t="str">
        <f>IF(B7=H14,结果表!H110,ROUND(B7*10000/$B$1,0))</f>
        <v>——</v>
      </c>
      <c r="D7" s="2510" t="e">
        <f>ROUND(B7*10000/$B$2,0)</f>
        <v>#DIV/0!</v>
      </c>
      <c r="E7" s="2683"/>
      <c r="F7" s="2684"/>
      <c r="G7" s="2684"/>
      <c r="H7" s="2685"/>
      <c r="I7" s="2685"/>
      <c r="J7" s="2685"/>
      <c r="K7" s="2685"/>
    </row>
    <row r="8" spans="1:12" ht="16.5">
      <c r="A8" s="2510" t="s">
        <v>587</v>
      </c>
      <c r="B8" s="2510">
        <f>SUM(I14:I23)</f>
        <v>0</v>
      </c>
      <c r="C8" s="2510" t="str">
        <f>IF(B8=I14,结果表!H112,ROUND(B8*10000/$B$1,0))</f>
        <v>——</v>
      </c>
      <c r="D8" s="2510" t="e">
        <f>ROUND(B8*10000/$B$2,0)</f>
        <v>#DIV/0!</v>
      </c>
      <c r="E8" s="2683"/>
      <c r="F8" s="2684"/>
      <c r="G8" s="2684"/>
      <c r="H8" s="2685"/>
      <c r="I8" s="2685"/>
      <c r="J8" s="2685"/>
      <c r="K8" s="2685"/>
    </row>
    <row r="9" spans="1:12" ht="16.5">
      <c r="A9" s="2510" t="s">
        <v>655</v>
      </c>
      <c r="B9" s="2518"/>
      <c r="C9" s="2683"/>
      <c r="D9" s="2683"/>
      <c r="E9" s="2683"/>
      <c r="F9" s="2684"/>
      <c r="G9" s="2684"/>
      <c r="H9" s="2685"/>
      <c r="I9" s="2685"/>
      <c r="J9" s="2685"/>
      <c r="K9" s="2685"/>
    </row>
    <row r="10" spans="1:12" ht="16.5">
      <c r="A10" s="2510" t="s">
        <v>654</v>
      </c>
      <c r="B10" s="2510">
        <f>IF(E10="",0,ROUND(B1*(E10*365/G10)/10000,0))</f>
        <v>0</v>
      </c>
      <c r="C10" s="2510" t="s">
        <v>3352</v>
      </c>
      <c r="D10" s="2510" t="s">
        <v>3353</v>
      </c>
      <c r="E10" s="3438"/>
      <c r="F10" s="3442" t="s">
        <v>3354</v>
      </c>
      <c r="G10" s="3439"/>
      <c r="H10" s="2685"/>
      <c r="I10" s="2685"/>
      <c r="J10" s="2685"/>
      <c r="K10" s="2685"/>
    </row>
    <row r="11" spans="1:12" ht="16.5">
      <c r="A11" s="2510" t="s">
        <v>670</v>
      </c>
      <c r="B11" s="2518"/>
      <c r="C11" s="2683"/>
      <c r="D11" s="2683"/>
      <c r="E11" s="2683"/>
      <c r="F11" s="2684"/>
      <c r="G11" s="2684"/>
      <c r="H11" s="2685"/>
      <c r="I11" s="2685"/>
      <c r="J11" s="2685"/>
      <c r="K11" s="2685"/>
    </row>
    <row r="12" spans="1:12" ht="16.5">
      <c r="A12" s="2683"/>
      <c r="B12" s="2683"/>
      <c r="C12" s="2683"/>
      <c r="D12" s="2683"/>
      <c r="E12" s="2683"/>
      <c r="F12" s="2684"/>
      <c r="G12" s="2684"/>
      <c r="H12" s="2685"/>
      <c r="I12" s="2685"/>
      <c r="J12" s="2685"/>
      <c r="K12" s="2685"/>
    </row>
    <row r="13" spans="1:12" ht="33">
      <c r="A13" s="2513" t="s">
        <v>669</v>
      </c>
      <c r="B13" s="2514" t="s">
        <v>666</v>
      </c>
      <c r="C13" s="2514" t="s">
        <v>668</v>
      </c>
      <c r="D13" s="2514" t="s">
        <v>667</v>
      </c>
      <c r="E13" s="2510" t="s">
        <v>659</v>
      </c>
      <c r="F13" s="2510" t="s">
        <v>658</v>
      </c>
      <c r="G13" s="2514" t="s">
        <v>652</v>
      </c>
      <c r="H13" s="2514" t="s">
        <v>663</v>
      </c>
      <c r="I13" s="2514" t="s">
        <v>651</v>
      </c>
      <c r="J13" s="2684"/>
      <c r="K13" s="2685"/>
    </row>
    <row r="14" spans="1:12" ht="16.5">
      <c r="A14" s="2515" t="s">
        <v>650</v>
      </c>
      <c r="B14" s="2516">
        <f>'数据-基础表'!I5</f>
        <v>294.52</v>
      </c>
      <c r="C14" s="2516"/>
      <c r="D14" s="2516">
        <f ca="1">典型户型修正!S22</f>
        <v>935</v>
      </c>
      <c r="E14" s="2516">
        <f ca="1">ROUND(D14*10000/B14,0)</f>
        <v>31747</v>
      </c>
      <c r="F14" s="2516" t="e">
        <f ca="1">ROUND(D14*10000/C14,0)</f>
        <v>#DIV/0!</v>
      </c>
      <c r="G14" s="2516">
        <f ca="1">D14</f>
        <v>935</v>
      </c>
      <c r="H14" s="2516"/>
      <c r="I14" s="2516"/>
      <c r="J14" s="2684"/>
      <c r="K14" s="2685"/>
    </row>
    <row r="15" spans="1:12" ht="16.5">
      <c r="A15" s="2515" t="s">
        <v>649</v>
      </c>
      <c r="B15" s="2516"/>
      <c r="C15" s="2516"/>
      <c r="D15" s="2516"/>
      <c r="E15" s="2516" t="e">
        <f t="shared" ref="E15:E23" si="0">ROUND(D15*10000/B15,0)</f>
        <v>#DIV/0!</v>
      </c>
      <c r="F15" s="2516" t="e">
        <f t="shared" ref="F15:F23" si="1">ROUND(D15*10000/C15,0)</f>
        <v>#DIV/0!</v>
      </c>
      <c r="G15" s="1330"/>
      <c r="H15" s="1330"/>
      <c r="I15" s="2517"/>
      <c r="J15" s="2684"/>
      <c r="K15" s="2685"/>
    </row>
    <row r="16" spans="1:12"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85" zoomScaleNormal="100" zoomScaleSheetLayoutView="85" zoomScalePageLayoutView="80" workbookViewId="0">
      <selection activeCell="K24" sqref="K24"/>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t="s">
        <v>673</v>
      </c>
      <c r="D1" s="1745"/>
      <c r="E1" s="1745"/>
      <c r="F1" s="1747" t="s">
        <v>1262</v>
      </c>
      <c r="G1" s="1559" t="s">
        <v>3583</v>
      </c>
      <c r="H1" s="1748" t="str">
        <f>IF(G1="现房","——","估价对象范围")</f>
        <v>——</v>
      </c>
      <c r="I1" s="1749" t="s">
        <v>3584</v>
      </c>
    </row>
    <row r="2" spans="1:12" ht="21.75" customHeight="1" thickBot="1">
      <c r="A2" s="3628" t="str">
        <f>项目基本情况!S2</f>
        <v>北京市房地产</v>
      </c>
      <c r="B2" s="3629"/>
      <c r="C2" s="3629"/>
      <c r="D2" s="3629"/>
      <c r="E2" s="3629"/>
      <c r="F2" s="3629"/>
      <c r="G2" s="3629"/>
      <c r="H2" s="3629"/>
      <c r="I2" s="3630"/>
    </row>
    <row r="3" spans="1:12" ht="12.75">
      <c r="A3" s="3632" t="s">
        <v>1263</v>
      </c>
      <c r="B3" s="3633"/>
      <c r="C3" s="3633"/>
      <c r="D3" s="3633"/>
      <c r="E3" s="3633"/>
      <c r="F3" s="3633"/>
      <c r="G3" s="3633"/>
      <c r="H3" s="3633"/>
      <c r="I3" s="3633"/>
    </row>
    <row r="4" spans="1:12" ht="14.25">
      <c r="A4" s="1752" t="s">
        <v>1264</v>
      </c>
      <c r="B4" s="1753" t="s">
        <v>1265</v>
      </c>
      <c r="C4" s="1754" t="s">
        <v>3613</v>
      </c>
      <c r="D4" s="1754" t="s">
        <v>3577</v>
      </c>
      <c r="E4" s="3634" t="s">
        <v>1266</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8" t="s">
        <v>1267</v>
      </c>
      <c r="B5" s="3595">
        <v>25</v>
      </c>
      <c r="C5" s="3611"/>
      <c r="D5" s="3631"/>
      <c r="E5" s="131" t="s">
        <v>1268</v>
      </c>
      <c r="F5" s="1755"/>
      <c r="G5" s="1755"/>
      <c r="H5" s="1755"/>
      <c r="I5" s="1371"/>
    </row>
    <row r="6" spans="1:12" ht="12.75">
      <c r="A6" s="3608"/>
      <c r="B6" s="3595"/>
      <c r="C6" s="3612"/>
      <c r="D6" s="3631"/>
      <c r="E6" s="131" t="s">
        <v>1269</v>
      </c>
      <c r="F6" s="1755"/>
      <c r="G6" s="1755"/>
      <c r="H6" s="1755"/>
      <c r="I6" s="1371"/>
    </row>
    <row r="7" spans="1:12" ht="12.75">
      <c r="A7" s="3608"/>
      <c r="B7" s="3595"/>
      <c r="C7" s="3613"/>
      <c r="D7" s="3631"/>
      <c r="E7" s="131" t="s">
        <v>1270</v>
      </c>
      <c r="F7" s="1755"/>
      <c r="G7" s="1755"/>
      <c r="H7" s="1755"/>
      <c r="I7" s="1371"/>
    </row>
    <row r="8" spans="1:12" ht="12.75">
      <c r="A8" s="3608" t="s">
        <v>1271</v>
      </c>
      <c r="B8" s="3595">
        <v>15</v>
      </c>
      <c r="C8" s="3611"/>
      <c r="D8" s="3631"/>
      <c r="E8" s="131" t="s">
        <v>1272</v>
      </c>
      <c r="F8" s="1755"/>
      <c r="G8" s="1755"/>
      <c r="H8" s="1755"/>
      <c r="I8" s="1371"/>
    </row>
    <row r="9" spans="1:12" ht="12.75">
      <c r="A9" s="3608"/>
      <c r="B9" s="3595"/>
      <c r="C9" s="3613"/>
      <c r="D9" s="3631"/>
      <c r="E9" s="131" t="s">
        <v>1273</v>
      </c>
      <c r="F9" s="1755"/>
      <c r="G9" s="1755"/>
      <c r="H9" s="1755"/>
      <c r="I9" s="1371"/>
    </row>
    <row r="10" spans="1:12" ht="12.75">
      <c r="A10" s="3608" t="s">
        <v>1274</v>
      </c>
      <c r="B10" s="3595">
        <v>15</v>
      </c>
      <c r="C10" s="3611"/>
      <c r="D10" s="3631"/>
      <c r="E10" s="131" t="s">
        <v>1275</v>
      </c>
      <c r="F10" s="1755"/>
      <c r="G10" s="1755"/>
      <c r="H10" s="1755"/>
      <c r="I10" s="1371"/>
    </row>
    <row r="11" spans="1:12" ht="12.75">
      <c r="A11" s="3608"/>
      <c r="B11" s="3595"/>
      <c r="C11" s="3613"/>
      <c r="D11" s="3631"/>
      <c r="E11" s="131" t="s">
        <v>1276</v>
      </c>
      <c r="F11" s="1755"/>
      <c r="G11" s="1755"/>
      <c r="H11" s="1755"/>
      <c r="I11" s="1371"/>
    </row>
    <row r="12" spans="1:12" ht="12.75">
      <c r="A12" s="3608" t="s">
        <v>1277</v>
      </c>
      <c r="B12" s="3595">
        <v>15</v>
      </c>
      <c r="C12" s="3611"/>
      <c r="D12" s="3631"/>
      <c r="E12" s="131" t="s">
        <v>1278</v>
      </c>
      <c r="F12" s="1755"/>
      <c r="G12" s="1755"/>
      <c r="H12" s="1755"/>
      <c r="I12" s="1371"/>
    </row>
    <row r="13" spans="1:12" ht="12.75">
      <c r="A13" s="3608"/>
      <c r="B13" s="3595"/>
      <c r="C13" s="3613"/>
      <c r="D13" s="3631"/>
      <c r="E13" s="131" t="s">
        <v>1279</v>
      </c>
      <c r="F13" s="1755"/>
      <c r="G13" s="1755"/>
      <c r="H13" s="1755"/>
      <c r="I13" s="1371"/>
    </row>
    <row r="14" spans="1:12" ht="12.75">
      <c r="A14" s="3608" t="s">
        <v>1280</v>
      </c>
      <c r="B14" s="3595">
        <v>30</v>
      </c>
      <c r="C14" s="3611">
        <v>6</v>
      </c>
      <c r="D14" s="3631">
        <v>4</v>
      </c>
      <c r="E14" s="131" t="s">
        <v>1281</v>
      </c>
      <c r="F14" s="1755"/>
      <c r="G14" s="1755"/>
      <c r="H14" s="1755"/>
      <c r="I14" s="1371"/>
    </row>
    <row r="15" spans="1:12" ht="12.75">
      <c r="A15" s="3608"/>
      <c r="B15" s="3595"/>
      <c r="C15" s="3612"/>
      <c r="D15" s="3631"/>
      <c r="E15" s="131" t="s">
        <v>1282</v>
      </c>
      <c r="F15" s="1755"/>
      <c r="G15" s="1755"/>
      <c r="H15" s="1755"/>
      <c r="I15" s="1371"/>
    </row>
    <row r="16" spans="1:12" ht="12.75">
      <c r="A16" s="3608"/>
      <c r="B16" s="3595"/>
      <c r="C16" s="3613"/>
      <c r="D16" s="3631"/>
      <c r="E16" s="131" t="s">
        <v>1283</v>
      </c>
      <c r="F16" s="1755"/>
      <c r="G16" s="1755"/>
      <c r="H16" s="1755"/>
      <c r="I16" s="1371"/>
    </row>
    <row r="17" spans="1:36" ht="18" customHeight="1">
      <c r="A17" s="1756" t="s">
        <v>1284</v>
      </c>
      <c r="B17" s="56"/>
      <c r="C17" s="132">
        <f>SUM(C5:C16)</f>
        <v>6</v>
      </c>
      <c r="D17" s="132">
        <f>SUM(D5:D16)</f>
        <v>4</v>
      </c>
      <c r="E17" s="129"/>
      <c r="F17" s="129"/>
      <c r="G17" s="129"/>
      <c r="H17" s="129"/>
      <c r="I17" s="129"/>
      <c r="K17" s="302"/>
      <c r="L17" s="302" t="s">
        <v>1285</v>
      </c>
      <c r="M17" s="302" t="s">
        <v>1286</v>
      </c>
    </row>
    <row r="18" spans="1:36" ht="21.75" customHeight="1" thickBot="1">
      <c r="A18" s="1757" t="s">
        <v>1287</v>
      </c>
      <c r="B18" s="1758"/>
      <c r="C18" s="133">
        <f>ROUND(C17/SUM(C17:D17),2)</f>
        <v>0.6</v>
      </c>
      <c r="D18" s="133">
        <f>1-C18</f>
        <v>0.4</v>
      </c>
      <c r="E18" s="3618" t="s">
        <v>2126</v>
      </c>
      <c r="F18" s="3619"/>
      <c r="G18" s="3619"/>
      <c r="H18" s="3619"/>
      <c r="I18" s="3619"/>
      <c r="K18" s="302" t="s">
        <v>1288</v>
      </c>
      <c r="L18" s="302">
        <f>IF(C1="",'数据-汇总表'!E3,SUMIF(项目类型,C1,'数据-汇总表'!E17:E26)+SUMIF(项目类型,C1,'数据-汇总表'!I17:I26))</f>
        <v>125.74</v>
      </c>
      <c r="M18" s="302">
        <f>IF(C1="",'数据-汇总表'!E3,SUMIF(项目类型,C1,'数据-汇总表'!E17:E26))</f>
        <v>125.74</v>
      </c>
    </row>
    <row r="19" spans="1:36" ht="15">
      <c r="A19" s="1759" t="s">
        <v>1289</v>
      </c>
      <c r="B19" s="1760" t="s">
        <v>1290</v>
      </c>
      <c r="C19" s="134">
        <f ca="1">SUMIF(INDIRECT("'"&amp;C4&amp;"'"&amp;"!A:A"),结果表!B19,INDIRECT("'"&amp;C4&amp;"'"&amp;"!B:B"))</f>
        <v>579.13329999999996</v>
      </c>
      <c r="D19" s="135">
        <f ca="1">SUMIF(INDIRECT("'"&amp;D4&amp;"'"&amp;"!A:A"),结果表!B19,INDIRECT("'"&amp;D4&amp;"'"&amp;"!B:B"))</f>
        <v>336.86810000000003</v>
      </c>
      <c r="E19" s="1759" t="s">
        <v>1291</v>
      </c>
      <c r="F19" s="1760" t="s">
        <v>1290</v>
      </c>
      <c r="G19" s="136">
        <f ca="1">ROUND(C19*$C$18+D19*$D$18,0)</f>
        <v>482</v>
      </c>
      <c r="H19" s="1761"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2"/>
      <c r="B20" s="1025" t="s">
        <v>1294</v>
      </c>
      <c r="C20" s="137">
        <f ca="1">SUMIF(INDIRECT("'"&amp;C4&amp;"'"&amp;"!A:A"),结果表!B20,INDIRECT("'"&amp;C4&amp;"'"&amp;"!B:B"))</f>
        <v>46058</v>
      </c>
      <c r="D20" s="138">
        <f ca="1">SUMIF(INDIRECT("'"&amp;D4&amp;"'"&amp;"!A:A"),结果表!B20,INDIRECT("'"&amp;D4&amp;"'"&amp;"!B:B"))</f>
        <v>26791</v>
      </c>
      <c r="E20" s="1762"/>
      <c r="F20" s="1025" t="s">
        <v>1294</v>
      </c>
      <c r="G20" s="139">
        <f ca="1">ROUND(C20*$C$18+D20*$D$18,0)</f>
        <v>38351</v>
      </c>
      <c r="H20" s="807" t="s">
        <v>1295</v>
      </c>
      <c r="I20" s="129"/>
    </row>
    <row r="21" spans="1:36" ht="15" customHeight="1" thickBot="1">
      <c r="A21" s="827"/>
      <c r="B21" s="1763" t="s">
        <v>1296</v>
      </c>
      <c r="C21" s="718" t="e">
        <f ca="1">ROUND(C19*10000/L19,0)</f>
        <v>#DIV/0!</v>
      </c>
      <c r="D21" s="719" t="e">
        <f ca="1">ROUND(D19*10000/L19,0)</f>
        <v>#DIV/0!</v>
      </c>
      <c r="E21" s="827"/>
      <c r="F21" s="1763" t="s">
        <v>1296</v>
      </c>
      <c r="G21" s="140" t="e">
        <f ca="1">ROUND(G19*10000/L19,0)</f>
        <v>#DIV/0!</v>
      </c>
      <c r="H21" s="1764" t="s">
        <v>1295</v>
      </c>
      <c r="I21" s="129"/>
    </row>
    <row r="22" spans="1:36" ht="15.75" thickBot="1">
      <c r="A22" s="1686" t="s">
        <v>1297</v>
      </c>
      <c r="B22" s="1765"/>
      <c r="C22" s="1766"/>
      <c r="D22" s="720">
        <f ca="1">IF(C19&lt;D19,D19/C19-1,C19/D19-1)</f>
        <v>0.7191693128556842</v>
      </c>
      <c r="E22" s="129"/>
      <c r="F22" s="129"/>
      <c r="G22" s="129"/>
      <c r="H22" s="129"/>
      <c r="I22" s="129"/>
      <c r="K22" s="3464">
        <v>103175</v>
      </c>
    </row>
    <row r="23" spans="1:36" ht="13.5" thickBot="1">
      <c r="A23" s="1745"/>
      <c r="B23" s="1745"/>
      <c r="C23" s="1745"/>
      <c r="D23" s="1745"/>
      <c r="E23" s="129"/>
      <c r="F23" s="129"/>
      <c r="G23" s="129"/>
      <c r="H23" s="129"/>
      <c r="I23" s="129"/>
    </row>
    <row r="24" spans="1:36" ht="14.25">
      <c r="A24" s="3602" t="s">
        <v>1298</v>
      </c>
      <c r="B24" s="1760" t="s">
        <v>1290</v>
      </c>
      <c r="C24" s="136">
        <f>IF(B30=0,0,D30)</f>
        <v>0</v>
      </c>
      <c r="D24" s="1767"/>
      <c r="E24" s="129"/>
      <c r="F24" s="129"/>
      <c r="G24" s="129"/>
      <c r="H24" s="129"/>
      <c r="I24" s="129"/>
    </row>
    <row r="25" spans="1:36" ht="14.25">
      <c r="A25" s="3603"/>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c r="K27" s="724">
        <v>48662</v>
      </c>
    </row>
    <row r="28" spans="1:36" ht="14.25">
      <c r="A28" s="1769"/>
      <c r="B28" s="142"/>
      <c r="C28" s="142"/>
      <c r="D28" s="143"/>
      <c r="E28" s="129"/>
      <c r="F28" s="129"/>
      <c r="G28" s="129"/>
      <c r="H28" s="129"/>
      <c r="I28" s="129"/>
      <c r="K28" s="724">
        <v>53742</v>
      </c>
      <c r="L28" s="724">
        <f>(K27-K28)/K28</f>
        <v>-9.4525696847902949E-2</v>
      </c>
    </row>
    <row r="29" spans="1:36" ht="14.25">
      <c r="A29" s="1769"/>
      <c r="B29" s="142"/>
      <c r="C29" s="142"/>
      <c r="D29" s="143"/>
      <c r="E29" s="129"/>
      <c r="F29" s="129"/>
      <c r="G29" s="129"/>
      <c r="H29" s="129"/>
      <c r="I29" s="129"/>
    </row>
    <row r="30" spans="1:36" ht="15" thickBot="1">
      <c r="A30" s="142" t="s">
        <v>1303</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482</v>
      </c>
      <c r="D32" s="1773" t="s">
        <v>3640</v>
      </c>
      <c r="E32" s="129"/>
      <c r="F32" s="129"/>
      <c r="G32" s="129"/>
      <c r="H32" s="129"/>
      <c r="I32" s="129"/>
    </row>
    <row r="33" spans="1:15" ht="15">
      <c r="A33" s="785" t="s">
        <v>1305</v>
      </c>
      <c r="B33" s="1774"/>
      <c r="C33" s="1775" t="s">
        <v>3598</v>
      </c>
      <c r="D33" s="1776" t="s">
        <v>3577</v>
      </c>
      <c r="E33" s="1777" t="s">
        <v>1306</v>
      </c>
      <c r="F33" s="1778" t="str">
        <f>IF(D32="楼面单价","取值（单价）","取值（总价）")</f>
        <v>取值（总价）</v>
      </c>
      <c r="G33" s="129"/>
      <c r="H33" s="129"/>
      <c r="I33" s="129"/>
      <c r="K33" s="724">
        <f>14000000/'数据-基础表'!I5</f>
        <v>47534.972158087738</v>
      </c>
    </row>
    <row r="34" spans="1:15" ht="15">
      <c r="A34" s="1779"/>
      <c r="B34" s="1780" t="s">
        <v>1307</v>
      </c>
      <c r="C34" s="148">
        <f ca="1">IF(C33="自定义",F34,C32-C35)</f>
        <v>350</v>
      </c>
      <c r="D34" s="860">
        <f ca="1">IF(C33="自定义",ROUND(C34/C32,3),IF(C33="收益比率",SUMIF(INDIRECT("'"&amp;D33&amp;"'"&amp;"!b:b"),"土地收益比率",INDIRECT("'"&amp;D33&amp;"'"&amp;"!c:c")),SUMIF(INDIRECT("'"&amp;D33&amp;"'"&amp;"!b:b"),"土地成本比率",INDIRECT("'"&amp;D33&amp;"'"&amp;"!c:c"))))</f>
        <v>0.72599999999999998</v>
      </c>
      <c r="E34" s="1781" t="s">
        <v>1308</v>
      </c>
      <c r="F34" s="1329"/>
      <c r="G34" s="129"/>
      <c r="H34" s="129"/>
      <c r="I34" s="129"/>
    </row>
    <row r="35" spans="1:15" ht="15.75" thickBot="1">
      <c r="A35" s="1782"/>
      <c r="B35" s="1783" t="s">
        <v>1309</v>
      </c>
      <c r="C35" s="1169">
        <f ca="1">IF(C33="自定义",F35,ROUND(C32*D35,0))</f>
        <v>132</v>
      </c>
      <c r="D35" s="1170">
        <f ca="1">IF(C33="自定义",ROUND(C35/C32,3),IF(C33="收益比率",SUMIF(INDIRECT("'"&amp;D33&amp;"'"&amp;"!b:b"),"建筑物收益比率",INDIRECT("'"&amp;D33&amp;"'"&amp;"!c:c")),SUMIF(INDIRECT("'"&amp;D33&amp;"'"&amp;"!b:b"),"建筑物成本比率",INDIRECT("'"&amp;D33&amp;"'"&amp;"!c:c"))))</f>
        <v>0.27400000000000002</v>
      </c>
      <c r="E35" s="1784" t="s">
        <v>1310</v>
      </c>
      <c r="F35" s="154"/>
      <c r="G35" s="129"/>
      <c r="H35" s="129"/>
      <c r="I35" s="129"/>
    </row>
    <row r="36" spans="1:15" ht="15.75" thickBot="1">
      <c r="A36" s="3622" t="s">
        <v>1311</v>
      </c>
      <c r="B36" s="1785" t="s">
        <v>1312</v>
      </c>
      <c r="C36" s="145"/>
      <c r="D36" s="1786"/>
      <c r="E36" s="1787"/>
      <c r="F36" s="1788"/>
      <c r="G36" s="129"/>
      <c r="H36" s="129"/>
      <c r="I36" s="129"/>
    </row>
    <row r="37" spans="1:15" ht="15.75" thickBot="1">
      <c r="A37" s="3623"/>
      <c r="B37" s="1672" t="s">
        <v>1313</v>
      </c>
      <c r="C37" s="147"/>
      <c r="D37" s="1138"/>
      <c r="E37" s="1138"/>
      <c r="F37" s="1788"/>
      <c r="G37" s="129"/>
      <c r="H37" s="129"/>
      <c r="I37" s="129"/>
    </row>
    <row r="38" spans="1:15" ht="15.75" thickBot="1">
      <c r="A38" s="3624"/>
      <c r="B38" s="1789" t="s">
        <v>1314</v>
      </c>
      <c r="C38" s="673"/>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599" t="s">
        <v>1325</v>
      </c>
      <c r="B45" s="3600"/>
      <c r="C45" s="3601"/>
      <c r="D45" s="155">
        <f ca="1">ROUND(典型户型修正!S22*F45,0)</f>
        <v>935</v>
      </c>
      <c r="E45" s="156" t="s">
        <v>1326</v>
      </c>
      <c r="F45" s="157">
        <v>1</v>
      </c>
      <c r="G45" s="158" t="s">
        <v>1327</v>
      </c>
      <c r="H45" s="129"/>
      <c r="I45" s="129"/>
      <c r="J45" s="3677" t="s">
        <v>1328</v>
      </c>
      <c r="K45" s="3677"/>
      <c r="L45" s="3677"/>
      <c r="M45" s="3677"/>
      <c r="N45" s="3677"/>
      <c r="O45" s="3677"/>
    </row>
    <row r="46" spans="1:15" ht="14.25" customHeight="1">
      <c r="A46" s="3596" t="s">
        <v>1329</v>
      </c>
      <c r="B46" s="3597"/>
      <c r="C46" s="3597"/>
      <c r="D46" s="3597"/>
      <c r="E46" s="3597"/>
      <c r="F46" s="3597"/>
      <c r="G46" s="3598"/>
      <c r="H46" s="1804"/>
      <c r="I46" s="159"/>
      <c r="J46" s="2521">
        <v>1</v>
      </c>
      <c r="K46" s="3658" t="s">
        <v>1330</v>
      </c>
      <c r="L46" s="3658"/>
      <c r="M46" s="3678"/>
      <c r="N46" s="3678"/>
      <c r="O46" s="3678"/>
    </row>
    <row r="47" spans="1:15" ht="12" customHeight="1">
      <c r="A47" s="160" t="s">
        <v>1331</v>
      </c>
      <c r="B47" s="161"/>
      <c r="C47" s="162"/>
      <c r="D47" s="1086" t="s">
        <v>1332</v>
      </c>
      <c r="E47" s="302" t="s">
        <v>1333</v>
      </c>
      <c r="F47" s="163" t="s">
        <v>1334</v>
      </c>
      <c r="G47" s="2544" t="s">
        <v>1335</v>
      </c>
      <c r="H47" s="2545"/>
      <c r="I47" s="159"/>
      <c r="J47" s="2521">
        <v>2</v>
      </c>
      <c r="K47" s="3658" t="s">
        <v>1336</v>
      </c>
      <c r="L47" s="3658"/>
      <c r="M47" s="3679">
        <f>'数据-取费表'!B2</f>
        <v>45210</v>
      </c>
      <c r="N47" s="3679"/>
      <c r="O47" s="3679"/>
    </row>
    <row r="48" spans="1:15" ht="25.5">
      <c r="A48" s="3627" t="s">
        <v>1337</v>
      </c>
      <c r="B48" s="3610"/>
      <c r="C48" s="3610"/>
      <c r="D48" s="2322">
        <f ca="1">IF(H48="情况1",0,IF(H48="情况2",D52,IF(H48="情况3",D53,IF(H48="情况4",D54))))</f>
        <v>0</v>
      </c>
      <c r="E48" s="2332" t="str">
        <f>IF(H48="情况4","(销售额-原购置价)×税（费）率","销售额×税（费）率")</f>
        <v>(销售额-原购置价)×税（费）率</v>
      </c>
      <c r="F48" s="2546">
        <f>IF(H48="情况1","免征",'数据-取费表'!B41)</f>
        <v>5.6000000000000001E-2</v>
      </c>
      <c r="G48" s="2547" t="s">
        <v>1338</v>
      </c>
      <c r="H48" s="2548" t="s">
        <v>3641</v>
      </c>
      <c r="I48" s="1804"/>
      <c r="J48" s="2521">
        <v>3</v>
      </c>
      <c r="K48" s="3658" t="s">
        <v>1339</v>
      </c>
      <c r="L48" s="3658"/>
      <c r="M48" s="3680">
        <f ca="1">典型户型修正!S22</f>
        <v>935</v>
      </c>
      <c r="N48" s="3680"/>
      <c r="O48" s="3680"/>
    </row>
    <row r="49" spans="1:35" ht="25.5" customHeight="1">
      <c r="A49" s="2331" t="s">
        <v>1340</v>
      </c>
      <c r="B49" s="3594" t="s">
        <v>1341</v>
      </c>
      <c r="C49" s="3594"/>
      <c r="D49" s="1588">
        <v>0</v>
      </c>
      <c r="E49" s="324" t="s">
        <v>1342</v>
      </c>
      <c r="F49" s="2422" t="s">
        <v>28</v>
      </c>
      <c r="G49" s="3664"/>
      <c r="H49" s="2308" t="s">
        <v>2129</v>
      </c>
      <c r="I49" s="2309"/>
      <c r="J49" s="2521">
        <v>4</v>
      </c>
      <c r="K49" s="3658" t="str">
        <f>IF(项目基本情况!E8="房地产抵押价值","房地产抵押价值","抵押担保权已注销时的房地产抵押价值")</f>
        <v>抵押担保权已注销时的房地产抵押价值</v>
      </c>
      <c r="L49" s="3658"/>
      <c r="M49" s="3680">
        <f ca="1">M48</f>
        <v>935</v>
      </c>
      <c r="N49" s="3680"/>
      <c r="O49" s="3680"/>
    </row>
    <row r="50" spans="1:35" ht="25.5" customHeight="1">
      <c r="A50" s="2549"/>
      <c r="B50" s="3594" t="s">
        <v>1343</v>
      </c>
      <c r="C50" s="3594"/>
      <c r="D50" s="2550"/>
      <c r="E50" s="332"/>
      <c r="F50" s="2422"/>
      <c r="G50" s="3665"/>
      <c r="H50" s="2310" t="s">
        <v>2130</v>
      </c>
      <c r="I50" s="2309"/>
      <c r="J50" s="3677" t="s">
        <v>1344</v>
      </c>
      <c r="K50" s="3677"/>
      <c r="L50" s="3677"/>
      <c r="M50" s="3677"/>
      <c r="N50" s="3677"/>
      <c r="O50" s="3677"/>
    </row>
    <row r="51" spans="1:35" ht="20.45" customHeight="1">
      <c r="A51" s="2551"/>
      <c r="B51" s="3594" t="s">
        <v>1345</v>
      </c>
      <c r="C51" s="3594"/>
      <c r="D51" s="1086"/>
      <c r="E51" s="327"/>
      <c r="F51" s="2422"/>
      <c r="G51" s="3666"/>
      <c r="H51" s="2310" t="s">
        <v>2131</v>
      </c>
      <c r="I51" s="2309"/>
      <c r="J51" s="2522" t="s">
        <v>1346</v>
      </c>
      <c r="K51" s="3658" t="s">
        <v>1347</v>
      </c>
      <c r="L51" s="3658"/>
      <c r="M51" s="2522" t="s">
        <v>1348</v>
      </c>
      <c r="N51" s="2522" t="s">
        <v>1349</v>
      </c>
      <c r="O51" s="2522" t="s">
        <v>1350</v>
      </c>
    </row>
    <row r="52" spans="1:35" ht="24" customHeight="1">
      <c r="A52" s="2333" t="s">
        <v>1351</v>
      </c>
      <c r="B52" s="3594" t="s">
        <v>1352</v>
      </c>
      <c r="C52" s="3594"/>
      <c r="D52" s="1086">
        <f ca="1">ROUND(D45*'数据-取费表'!B41/(1+'数据-取费表'!C42),0)</f>
        <v>50</v>
      </c>
      <c r="E52" s="2332" t="s">
        <v>1353</v>
      </c>
      <c r="F52" s="2552">
        <f>'数据-取费表'!B41</f>
        <v>5.6000000000000001E-2</v>
      </c>
      <c r="G52" s="2553"/>
      <c r="H52" s="2542"/>
      <c r="I52" s="1805"/>
      <c r="J52" s="2521">
        <v>1</v>
      </c>
      <c r="K52" s="3659" t="s">
        <v>1354</v>
      </c>
      <c r="L52" s="3659"/>
      <c r="M52" s="2523">
        <f ca="1">D48</f>
        <v>0</v>
      </c>
      <c r="N52" s="2521" t="str">
        <f>E48</f>
        <v>(销售额-原购置价)×税（费）率</v>
      </c>
      <c r="O52" s="2524">
        <f>F48</f>
        <v>5.6000000000000001E-2</v>
      </c>
    </row>
    <row r="53" spans="1:35" ht="12" customHeight="1">
      <c r="A53" s="2333" t="s">
        <v>1355</v>
      </c>
      <c r="B53" s="3620" t="s">
        <v>2282</v>
      </c>
      <c r="C53" s="3621"/>
      <c r="D53" s="1086">
        <f ca="1">ROUND(D45*'数据-取费表'!B41/(1+'数据-取费表'!C42),0)</f>
        <v>50</v>
      </c>
      <c r="E53" s="2332" t="s">
        <v>1353</v>
      </c>
      <c r="F53" s="2552">
        <f>'数据-取费表'!B41</f>
        <v>5.6000000000000001E-2</v>
      </c>
      <c r="G53" s="2553"/>
      <c r="H53" s="2542"/>
      <c r="I53" s="1805"/>
      <c r="J53" s="2521">
        <v>2</v>
      </c>
      <c r="K53" s="3659" t="s">
        <v>1356</v>
      </c>
      <c r="L53" s="3659"/>
      <c r="M53" s="2523">
        <f t="shared" ref="M53:O54" ca="1" si="0">D55</f>
        <v>0</v>
      </c>
      <c r="N53" s="2521" t="str">
        <f t="shared" si="0"/>
        <v>销售额×税（费）率</v>
      </c>
      <c r="O53" s="2524">
        <f t="shared" si="0"/>
        <v>5.0000000000000001E-4</v>
      </c>
    </row>
    <row r="54" spans="1:35" ht="12" customHeight="1">
      <c r="A54" s="2333" t="s">
        <v>1357</v>
      </c>
      <c r="B54" s="3620" t="s">
        <v>2283</v>
      </c>
      <c r="C54" s="3621"/>
      <c r="D54" s="1086">
        <f ca="1">C68</f>
        <v>0</v>
      </c>
      <c r="E54" s="327" t="s">
        <v>1358</v>
      </c>
      <c r="F54" s="2552">
        <f>'数据-取费表'!B41</f>
        <v>5.6000000000000001E-2</v>
      </c>
      <c r="G54" s="2553"/>
      <c r="H54" s="2554"/>
      <c r="I54" s="1805"/>
      <c r="J54" s="2521">
        <v>3</v>
      </c>
      <c r="K54" s="3659" t="s">
        <v>1359</v>
      </c>
      <c r="L54" s="3659"/>
      <c r="M54" s="2523">
        <f t="shared" ca="1" si="0"/>
        <v>0</v>
      </c>
      <c r="N54" s="2521" t="str">
        <f t="shared" si="0"/>
        <v>增值额×税（费）率</v>
      </c>
      <c r="O54" s="2525" t="str">
        <f t="shared" si="0"/>
        <v>——</v>
      </c>
    </row>
    <row r="55" spans="1:35" ht="24" customHeight="1">
      <c r="A55" s="3609" t="s">
        <v>1360</v>
      </c>
      <c r="B55" s="3610"/>
      <c r="C55" s="3610"/>
      <c r="D55" s="2322">
        <f ca="1">IF(H55="个人住宅",0,ROUND(D45*I55,0))</f>
        <v>0</v>
      </c>
      <c r="E55" s="2332" t="s">
        <v>1361</v>
      </c>
      <c r="F55" s="2552">
        <f>IF(H55="正常",I55,"免征")</f>
        <v>5.0000000000000001E-4</v>
      </c>
      <c r="G55" s="2553"/>
      <c r="H55" s="2548" t="s">
        <v>3508</v>
      </c>
      <c r="I55" s="165">
        <f>'数据-取费表'!B49</f>
        <v>5.0000000000000001E-4</v>
      </c>
      <c r="J55" s="2521">
        <f>IF(H59="非个人房产","",4)</f>
        <v>4</v>
      </c>
      <c r="K55" s="3659" t="str">
        <f>IF(H59="非个人房产","——","个人所得税")</f>
        <v>个人所得税</v>
      </c>
      <c r="L55" s="3659"/>
      <c r="M55" s="2526">
        <f ca="1">D59</f>
        <v>-51</v>
      </c>
      <c r="N55" s="2038" t="str">
        <f>E59</f>
        <v>差额计税</v>
      </c>
      <c r="O55" s="2527">
        <f>F59</f>
        <v>0.2</v>
      </c>
    </row>
    <row r="56" spans="1:35" ht="24.75">
      <c r="A56" s="3609" t="s">
        <v>1362</v>
      </c>
      <c r="B56" s="3610"/>
      <c r="C56" s="3610"/>
      <c r="D56" s="2322">
        <f ca="1">IF(H56="个人住宅",D57,D58)</f>
        <v>0</v>
      </c>
      <c r="E56" s="2332" t="s">
        <v>1363</v>
      </c>
      <c r="F56" s="2552" t="str">
        <f>IF(H56="正常",F58,"免征")</f>
        <v>——</v>
      </c>
      <c r="G56" s="2555" t="s">
        <v>1364</v>
      </c>
      <c r="H56" s="2556" t="s">
        <v>3508</v>
      </c>
      <c r="I56" s="1806"/>
      <c r="J56" s="2521" t="str">
        <f>IF(项目基本情况!K6="上海银行",IF(J55="",4,J55+1),"")</f>
        <v/>
      </c>
      <c r="K56" s="3682" t="str">
        <f>IF(项目基本情况!K6="上海银行","其他处置费用","")</f>
        <v/>
      </c>
      <c r="L56" s="3683"/>
      <c r="M56" s="2523" t="str">
        <f>IF(项目基本情况!K6="上海银行",M69,"")</f>
        <v/>
      </c>
      <c r="N56" s="3682" t="str">
        <f>IF(项目基本情况!K6="上海银行","包含处置中涉及的律师、诉讼、拍卖、评估等费用","")</f>
        <v/>
      </c>
      <c r="O56" s="3685"/>
    </row>
    <row r="57" spans="1:35" ht="12.75">
      <c r="A57" s="2333" t="s">
        <v>1340</v>
      </c>
      <c r="B57" s="3620" t="s">
        <v>1365</v>
      </c>
      <c r="C57" s="3621"/>
      <c r="D57" s="1588">
        <v>0</v>
      </c>
      <c r="E57" s="324" t="s">
        <v>1342</v>
      </c>
      <c r="F57" s="302"/>
      <c r="G57" s="2553"/>
      <c r="H57" s="2557"/>
      <c r="I57" s="1806"/>
      <c r="J57" s="3659">
        <f>IF(AND(J55="",J56=""),4,IF(项目基本情况!K6="上海银行",结果表!J56+1,结果表!J55+1))</f>
        <v>5</v>
      </c>
      <c r="K57" s="3659" t="s">
        <v>1366</v>
      </c>
      <c r="L57" s="2528" t="s">
        <v>1367</v>
      </c>
      <c r="M57" s="2529"/>
      <c r="N57" s="2530">
        <f ca="1">SUMIF(M52:M56,"&lt;9e307")</f>
        <v>-51</v>
      </c>
      <c r="O57" s="2531"/>
      <c r="P57" s="2687">
        <f ca="1">N57/M49</f>
        <v>-5.4545454545454543E-2</v>
      </c>
    </row>
    <row r="58" spans="1:35" ht="24.75">
      <c r="A58" s="2333" t="s">
        <v>1351</v>
      </c>
      <c r="B58" s="3620" t="s">
        <v>1368</v>
      </c>
      <c r="C58" s="3594"/>
      <c r="D58" s="2322">
        <f ca="1">IF(H58="转让取得",C81,C97)</f>
        <v>0</v>
      </c>
      <c r="E58" s="2332" t="s">
        <v>1363</v>
      </c>
      <c r="F58" s="302" t="s">
        <v>28</v>
      </c>
      <c r="G58" s="2553"/>
      <c r="H58" s="2556" t="s">
        <v>3642</v>
      </c>
      <c r="I58" s="1806"/>
      <c r="J58" s="3659"/>
      <c r="K58" s="3659"/>
      <c r="L58" s="2528" t="s">
        <v>1369</v>
      </c>
      <c r="M58" s="2532"/>
      <c r="N58" s="2533" t="e">
        <f ca="1">NUMBERSTRING(INT(N57*10000),2)&amp;"元整"</f>
        <v>#NUM!</v>
      </c>
      <c r="O58" s="2534"/>
    </row>
    <row r="59" spans="1:35" ht="24.75" thickBot="1">
      <c r="A59" s="3662" t="s">
        <v>1370</v>
      </c>
      <c r="B59" s="3663"/>
      <c r="C59" s="3663"/>
      <c r="D59" s="2558">
        <f ca="1">IF(H59="非个人房产","——",IF(H59="个人住宅（满五唯一有凭证）",0,IF(H59="个人其他（无凭证）",ROUND(D45*F59,0),ROUND(C67*F59,0))))</f>
        <v>-51</v>
      </c>
      <c r="E59" s="2559" t="str">
        <f>IF(H59="非个人房产","——",IF(H59="个人其他（无凭证）","销售额×税（费）率",IF(H59="个人住宅（满五唯一有凭证）","免征","差额计税")))</f>
        <v>差额计税</v>
      </c>
      <c r="F59" s="2560">
        <f>IF(OR(H59="非个人房产",H59="个人住宅（满五唯一有凭证）"),"——",IF(H59="个人其他（有凭证）",20%,1%))</f>
        <v>0.2</v>
      </c>
      <c r="G59" s="2561" t="s">
        <v>1364</v>
      </c>
      <c r="H59" s="2312" t="s">
        <v>3643</v>
      </c>
      <c r="I59" s="2311" t="s">
        <v>2132</v>
      </c>
      <c r="J59" s="3660">
        <f>J57+1</f>
        <v>6</v>
      </c>
      <c r="K59" s="3659" t="s">
        <v>1371</v>
      </c>
      <c r="L59" s="2521" t="s">
        <v>1367</v>
      </c>
      <c r="M59" s="2535"/>
      <c r="N59" s="2536">
        <f ca="1">M49-N57</f>
        <v>986</v>
      </c>
      <c r="O59" s="2537"/>
    </row>
    <row r="60" spans="1:35" ht="12" customHeight="1">
      <c r="A60" s="1807"/>
      <c r="B60" s="1745"/>
      <c r="C60" s="1745"/>
      <c r="D60" s="1745"/>
      <c r="E60" s="1576"/>
      <c r="F60" s="1806"/>
      <c r="G60" s="1806"/>
      <c r="H60" s="1808"/>
      <c r="I60" s="129"/>
      <c r="J60" s="3661"/>
      <c r="K60" s="3659"/>
      <c r="L60" s="2528" t="s">
        <v>1369</v>
      </c>
      <c r="M60" s="2532"/>
      <c r="N60" s="2533" t="str">
        <f ca="1">NUMBERSTRING(INT(N59*10000),2)&amp;"元整"</f>
        <v>玖佰捌拾陆万元整</v>
      </c>
      <c r="O60" s="2534"/>
    </row>
    <row r="61" spans="1:35" ht="13.5" thickBot="1">
      <c r="A61" s="3607" t="s">
        <v>1372</v>
      </c>
      <c r="B61" s="3607"/>
      <c r="C61" s="3607"/>
      <c r="D61" s="3607"/>
      <c r="E61" s="3607"/>
      <c r="F61" s="1806"/>
      <c r="G61" s="1806"/>
      <c r="H61" s="1808"/>
      <c r="I61" s="129"/>
      <c r="J61" s="2521">
        <f>J59+1</f>
        <v>7</v>
      </c>
      <c r="K61" s="3659" t="s">
        <v>1373</v>
      </c>
      <c r="L61" s="3659"/>
      <c r="M61" s="2538"/>
      <c r="N61" s="2539">
        <f ca="1">ROUND(N59*10000/'数据-汇总表'!E3,0)</f>
        <v>78416</v>
      </c>
      <c r="O61" s="2540"/>
    </row>
    <row r="62" spans="1:35" ht="12.75">
      <c r="A62" s="3625" t="s">
        <v>1374</v>
      </c>
      <c r="B62" s="3626"/>
      <c r="C62" s="2019"/>
      <c r="D62" s="2019" t="s">
        <v>1375</v>
      </c>
      <c r="E62" s="166" t="s">
        <v>1376</v>
      </c>
      <c r="F62" s="1806"/>
      <c r="G62" s="1806"/>
      <c r="H62" s="1808"/>
      <c r="I62" s="129"/>
    </row>
    <row r="63" spans="1:35" ht="12.75">
      <c r="A63" s="173" t="s">
        <v>330</v>
      </c>
      <c r="B63" s="167" t="s">
        <v>1377</v>
      </c>
      <c r="C63" s="2562">
        <f ca="1">ROUND((C64+C65)/(1+'数据-取费表'!C42),0)</f>
        <v>890</v>
      </c>
      <c r="D63" s="167"/>
      <c r="E63" s="168"/>
      <c r="F63" s="1806"/>
      <c r="G63" s="1806"/>
      <c r="H63" s="1808"/>
      <c r="I63" s="129"/>
      <c r="J63" s="3684" t="s">
        <v>1378</v>
      </c>
      <c r="K63" s="1331" t="s">
        <v>1379</v>
      </c>
      <c r="L63" s="1331">
        <f ca="1">IF(M49&gt;10000,M49*0.5%,IF(AND(M49&gt;1000,M49&lt;=10000),M49*1%,IF(AND(M49&gt;100,M49&lt;=1000),M49*3%,IF(AND(M49&gt;10,M49&lt;=100),M49*5%,M49*8%))))</f>
        <v>28.05</v>
      </c>
      <c r="M63" s="302">
        <f ca="1">ROUND(L63,1)</f>
        <v>28.1</v>
      </c>
      <c r="N63" s="2541"/>
      <c r="Z63" s="1750"/>
      <c r="AI63" s="1751"/>
    </row>
    <row r="64" spans="1:35" ht="14.25" customHeight="1">
      <c r="A64" s="169" t="s">
        <v>325</v>
      </c>
      <c r="B64" s="170" t="s">
        <v>1380</v>
      </c>
      <c r="C64" s="2563">
        <f ca="1">D45</f>
        <v>935</v>
      </c>
      <c r="D64" s="170" t="s">
        <v>26</v>
      </c>
      <c r="E64" s="172"/>
      <c r="F64" s="1806"/>
      <c r="G64" s="1806"/>
      <c r="H64" s="1808"/>
      <c r="I64" s="129"/>
      <c r="J64" s="3684"/>
      <c r="K64" s="1331" t="s">
        <v>1381</v>
      </c>
      <c r="L64" s="1331">
        <f ca="1">IF(M49&gt;2000,M49*0.5%,IF(AND(M49&gt;1000,M49&lt;=2000),M49*0.6%,IF(AND(M49&gt;500,M49&lt;=1000),M49*0.7%,IF(AND(M49&gt;200,M49&lt;=500),M49*0.8%,IF(AND(M49&gt;100,M49&lt;=200),M49*0.9%,IF(AND(M49&gt;50,M49&lt;=100),M49*1%,IF(AND(M49&gt;20,M49&lt;=50),M49*1.5%,IF(AND(M49&gt;10,M49&lt;=20),M49*2%,IF(AND(M49&gt;1,M49&lt;=10),M49*2.5%)))))))))</f>
        <v>6.544999999999999</v>
      </c>
      <c r="M64" s="302">
        <f t="shared" ref="M64:M65" ca="1" si="1">ROUND(L64,1)</f>
        <v>6.5</v>
      </c>
      <c r="N64" s="2542" t="s">
        <v>1382</v>
      </c>
      <c r="Z64" s="1750"/>
      <c r="AI64" s="1751"/>
    </row>
    <row r="65" spans="1:35" ht="14.25" customHeight="1">
      <c r="A65" s="169" t="s">
        <v>326</v>
      </c>
      <c r="B65" s="170" t="s">
        <v>1383</v>
      </c>
      <c r="C65" s="2564"/>
      <c r="D65" s="170"/>
      <c r="E65" s="172"/>
      <c r="F65" s="1806"/>
      <c r="G65" s="1806"/>
      <c r="H65" s="1808"/>
      <c r="I65" s="129"/>
      <c r="J65" s="3684"/>
      <c r="K65" s="1331" t="s">
        <v>1384</v>
      </c>
      <c r="L65" s="1331">
        <f ca="1">IF(M49&gt;1000,M49*0.1%,IF(AND(M49&gt;500,M49&lt;=1000),M49*0.5%,IF(AND(M49&gt;50,M49&lt;=500),M49*1%,IF(AND(M49&gt;1,M49&lt;=50),M49*1.5%))))</f>
        <v>4.6749999999999998</v>
      </c>
      <c r="M65" s="302">
        <f t="shared" ca="1" si="1"/>
        <v>4.7</v>
      </c>
      <c r="N65" s="2542" t="s">
        <v>1382</v>
      </c>
      <c r="Z65" s="1750"/>
      <c r="AI65" s="1751"/>
    </row>
    <row r="66" spans="1:35" ht="14.25" customHeight="1">
      <c r="A66" s="173" t="s">
        <v>327</v>
      </c>
      <c r="B66" s="174" t="s">
        <v>1385</v>
      </c>
      <c r="C66" s="2565">
        <f>1200/1.05</f>
        <v>1142.8571428571429</v>
      </c>
      <c r="D66" s="174" t="s">
        <v>26</v>
      </c>
      <c r="E66" s="1336" t="s">
        <v>671</v>
      </c>
      <c r="F66" s="1806"/>
      <c r="G66" s="1806"/>
      <c r="H66" s="1808"/>
      <c r="I66" s="129"/>
      <c r="J66" s="3684"/>
      <c r="K66" s="1331" t="s">
        <v>1386</v>
      </c>
      <c r="L66" s="1331">
        <f ca="1">M49*0.5%</f>
        <v>4.6749999999999998</v>
      </c>
      <c r="M66" s="302">
        <f ca="1">IF(L66&gt;0.5,0.5,ROUND(L66,0))</f>
        <v>0.5</v>
      </c>
      <c r="N66" s="2542" t="s">
        <v>1387</v>
      </c>
      <c r="Z66" s="1750"/>
      <c r="AI66" s="1751"/>
    </row>
    <row r="67" spans="1:35" ht="14.25" customHeight="1">
      <c r="A67" s="173" t="s">
        <v>328</v>
      </c>
      <c r="B67" s="174" t="s">
        <v>1388</v>
      </c>
      <c r="C67" s="2566">
        <f ca="1">C63-C66</f>
        <v>-252.85714285714289</v>
      </c>
      <c r="D67" s="170" t="s">
        <v>26</v>
      </c>
      <c r="E67" s="172"/>
      <c r="F67" s="1806"/>
      <c r="G67" s="1806"/>
      <c r="H67" s="1808"/>
      <c r="I67" s="129"/>
      <c r="J67" s="3684"/>
      <c r="K67" s="1331" t="s">
        <v>1389</v>
      </c>
      <c r="L67" s="1331">
        <f ca="1">IF(M49&gt;=10000,(8.25+(M49-10000)*0.01%),IF(AND(M49&gt;=8000,M49&lt;10000),(7.85+(M49-8000)*0.02%),IF(AND(M49&gt;=5000,M49&lt;8000),(6.65+(M49-5000)*0.04%),IF(AND(M49&gt;=2000,M49&lt;5000),(4.25+(PM49-2000)*0.08%),IF(AND(M49&gt;=1000,M49&lt;2000),(2.75+(M49-1000)*0.15%),IF(AND(M49&gt;=100,M49&lt;1000),(0.5+(M49-100)*0.25%),IF(AND(M49&gt;0,M49&lt;100),M49*0.5%)))))))</f>
        <v>2.5874999999999999</v>
      </c>
      <c r="M67" s="302">
        <f ca="1">ROUND(L67*0.9,1)</f>
        <v>2.2999999999999998</v>
      </c>
      <c r="N67" s="2541"/>
      <c r="Z67" s="1750"/>
      <c r="AI67" s="1751"/>
    </row>
    <row r="68" spans="1:35" ht="14.25" customHeight="1" thickBot="1">
      <c r="A68" s="176" t="s">
        <v>329</v>
      </c>
      <c r="B68" s="177" t="s">
        <v>1390</v>
      </c>
      <c r="C68" s="2567">
        <f ca="1">IF(C67&lt;=0,0,ROUND(C67*D68,0))</f>
        <v>0</v>
      </c>
      <c r="D68" s="2568">
        <f>'数据-取费表'!B41</f>
        <v>5.6000000000000001E-2</v>
      </c>
      <c r="E68" s="178"/>
      <c r="F68" s="1806"/>
      <c r="G68" s="1806"/>
      <c r="H68" s="1808"/>
      <c r="I68" s="129"/>
      <c r="J68" s="3684"/>
      <c r="K68" s="1331" t="s">
        <v>1391</v>
      </c>
      <c r="L68" s="1331">
        <f ca="1">IF(M49&gt;10000,M49*0.5%,IF(AND(M49&gt;5000,M49&lt;=10000),M49*1%,IF(AND(M49&gt;1000,M49&lt;=5000),M49*2%,IF(AND(M49&gt;200,M49&lt;=1000),M49*3%,M49*5%))))</f>
        <v>28.05</v>
      </c>
      <c r="M68" s="302">
        <f ca="1">ROUND(L68,1)</f>
        <v>28.1</v>
      </c>
      <c r="N68" s="2541"/>
      <c r="Z68" s="1750"/>
      <c r="AI68" s="1751"/>
    </row>
    <row r="69" spans="1:35" s="1770" customFormat="1" ht="16.5" customHeight="1">
      <c r="A69" s="1809"/>
      <c r="B69" s="1810"/>
      <c r="C69" s="1811"/>
      <c r="D69" s="1812"/>
      <c r="E69" s="1813"/>
      <c r="F69" s="1576"/>
      <c r="G69" s="1576"/>
      <c r="H69" s="1575"/>
      <c r="I69" s="1745"/>
      <c r="J69" s="3684"/>
      <c r="K69" s="1331" t="s">
        <v>1392</v>
      </c>
      <c r="L69" s="1331"/>
      <c r="M69" s="302">
        <f ca="1">ROUND(SUM(M63:M68),0)</f>
        <v>70</v>
      </c>
      <c r="N69" s="2543">
        <f ca="1">M69/M49</f>
        <v>7.4866310160427801E-2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46" t="s">
        <v>1393</v>
      </c>
      <c r="B70" s="3647"/>
      <c r="C70" s="3647"/>
      <c r="D70" s="3647"/>
      <c r="E70" s="3647"/>
      <c r="F70" s="3647"/>
      <c r="G70" s="3647"/>
      <c r="H70" s="3647"/>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5" t="s">
        <v>1374</v>
      </c>
      <c r="B71" s="3626"/>
      <c r="C71" s="2019"/>
      <c r="D71" s="2019" t="s">
        <v>1375</v>
      </c>
      <c r="E71" s="179" t="s">
        <v>1376</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f ca="1">ROUND(D45/(1+'数据-取费表'!C42),0)</f>
        <v>890</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f ca="1">C74+C78</f>
        <v>1297</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1292</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f>C66</f>
        <v>1142.8571428571429</v>
      </c>
      <c r="D75" s="170" t="s">
        <v>26</v>
      </c>
      <c r="E75" s="184" t="s">
        <v>1398</v>
      </c>
      <c r="F75" s="2570" t="s">
        <v>3644</v>
      </c>
      <c r="G75" s="184" t="s">
        <v>1399</v>
      </c>
      <c r="H75" s="2571">
        <v>3</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171</v>
      </c>
      <c r="D76" s="2572">
        <v>0.05</v>
      </c>
      <c r="E76" s="3620" t="s">
        <v>1401</v>
      </c>
      <c r="F76" s="3594"/>
      <c r="G76" s="3594"/>
      <c r="H76" s="364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33</v>
      </c>
      <c r="D77" s="2573">
        <f>'数据-取费表'!B48+'数据-取费表'!B49</f>
        <v>3.0499999999999999E-2</v>
      </c>
      <c r="E77" s="2322" t="s">
        <v>1403</v>
      </c>
      <c r="F77" s="186"/>
      <c r="G77" s="1820" t="s">
        <v>3645</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f ca="1">ROUND(D45*D78/(1+'数据-取费表'!C42),0)</f>
        <v>5</v>
      </c>
      <c r="D78" s="2575">
        <f>'数据-取费表'!B43</f>
        <v>6.000000000000001E-3</v>
      </c>
      <c r="E78" s="3604" t="s">
        <v>1405</v>
      </c>
      <c r="F78" s="3605"/>
      <c r="G78" s="3605"/>
      <c r="H78" s="361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f ca="1">C72-C73</f>
        <v>-407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f ca="1">IF(C79&lt;=0,0,C79/C73)</f>
        <v>0</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f ca="1">ROUND(IF(C79&lt;=0,0,IF(C80&gt;=200%,C79*60%-C73*35%,IF(C80&gt;=100%,C79*50%-C73*15%,IF(C80&gt;=50%,C79*40%-C73*5%,IF(C80&lt;50%,C79*30%,0))))),0)</f>
        <v>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6" t="s">
        <v>1409</v>
      </c>
      <c r="B83" s="3647"/>
      <c r="C83" s="3647"/>
      <c r="D83" s="3647"/>
      <c r="E83" s="3647"/>
      <c r="F83" s="3647"/>
      <c r="G83" s="3647"/>
      <c r="H83" s="364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5" t="s">
        <v>1374</v>
      </c>
      <c r="B84" s="3626"/>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f ca="1">ROUND(D45/(1+'数据-取费表'!C42),0)</f>
        <v>890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f ca="1">IF(H88="仅含出让金",C87+C90+C91+C92+C93+C94,C87+C91+C92+C93+C94)</f>
        <v>5</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2325"/>
      <c r="G88" s="194" t="s">
        <v>1413</v>
      </c>
      <c r="H88" s="1822"/>
      <c r="I88" s="1819"/>
      <c r="J88" s="2519"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2325"/>
      <c r="G90" s="3686" t="s">
        <v>2124</v>
      </c>
      <c r="H90" s="3687"/>
      <c r="I90" s="1819"/>
      <c r="J90" s="2519"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604" t="s">
        <v>1418</v>
      </c>
      <c r="F91" s="3605"/>
      <c r="G91" s="360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604" t="s">
        <v>1421</v>
      </c>
      <c r="F92" s="3605"/>
      <c r="G92" s="3605"/>
      <c r="H92" s="3614"/>
      <c r="I92" s="1819"/>
      <c r="J92" s="2520"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f ca="1">ROUND(D45*D93/(1+'数据-取费表'!C42),0)</f>
        <v>5</v>
      </c>
      <c r="D93" s="2575">
        <f>'数据-取费表'!B43</f>
        <v>6.000000000000001E-3</v>
      </c>
      <c r="E93" s="3604" t="s">
        <v>1405</v>
      </c>
      <c r="F93" s="3605"/>
      <c r="G93" s="3605"/>
      <c r="H93" s="361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615" t="s">
        <v>1425</v>
      </c>
      <c r="F94" s="3616"/>
      <c r="G94" s="3616"/>
      <c r="H94" s="361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f ca="1">ROUND(C85-C86,0)</f>
        <v>885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f ca="1">IF(C95&lt;=0,0,C95/C86)</f>
        <v>177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f ca="1">ROUND(IF(C95&lt;=0,0,IF(C96&gt;=200%,C95*60%-C86*35%,IF(C96&gt;=100%,C95*50%-C86*15%,IF(C96&gt;=50%,C95*40%-C86*5%,IF(C96&lt;50%,C95*30%,0))))),0)</f>
        <v>529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88" t="s">
        <v>1427</v>
      </c>
      <c r="B100" s="3589"/>
      <c r="C100" s="3589"/>
      <c r="D100" s="3606"/>
      <c r="E100" s="3589" t="s">
        <v>1428</v>
      </c>
      <c r="F100" s="3589"/>
      <c r="G100" s="3589"/>
      <c r="H100" s="3606"/>
      <c r="I100" s="129"/>
    </row>
    <row r="101" spans="1:35" ht="18.75" customHeight="1">
      <c r="A101" s="3667" t="s">
        <v>1429</v>
      </c>
      <c r="B101" s="3668"/>
      <c r="C101" s="2583" t="str">
        <f>C4</f>
        <v>比较法-商业</v>
      </c>
      <c r="D101" s="2584" t="str">
        <f>D4</f>
        <v>收益法 (元)</v>
      </c>
      <c r="E101" s="3681" t="s">
        <v>1430</v>
      </c>
      <c r="F101" s="3638"/>
      <c r="G101" s="1825" t="s">
        <v>1431</v>
      </c>
      <c r="H101" s="2593">
        <f ca="1">H118</f>
        <v>482</v>
      </c>
      <c r="I101" s="129"/>
    </row>
    <row r="102" spans="1:35" ht="18.75" customHeight="1">
      <c r="A102" s="3640" t="s">
        <v>1432</v>
      </c>
      <c r="B102" s="2582" t="s">
        <v>1431</v>
      </c>
      <c r="C102" s="2583">
        <f ca="1">IF(D32="楼面单价",ROUND(C19,0),C19)</f>
        <v>579.13329999999996</v>
      </c>
      <c r="D102" s="2584">
        <f ca="1">IF(D32="楼面单价",ROUND(D19,0),D19)</f>
        <v>336.86810000000003</v>
      </c>
      <c r="E102" s="3681"/>
      <c r="F102" s="3638"/>
      <c r="G102" s="1825" t="s">
        <v>1433</v>
      </c>
      <c r="H102" s="2553">
        <f ca="1">I118</f>
        <v>38333</v>
      </c>
      <c r="I102" s="129"/>
    </row>
    <row r="103" spans="1:35" ht="42.75" customHeight="1">
      <c r="A103" s="3640"/>
      <c r="B103" s="2582" t="s">
        <v>1433</v>
      </c>
      <c r="C103" s="2585">
        <f ca="1">C20</f>
        <v>46058</v>
      </c>
      <c r="D103" s="2586">
        <f ca="1">D20</f>
        <v>26791</v>
      </c>
      <c r="E103" s="3675" t="s">
        <v>1434</v>
      </c>
      <c r="F103" s="3676"/>
      <c r="G103" s="1826" t="s">
        <v>1435</v>
      </c>
      <c r="H103" s="2593">
        <f>IF(D36="正常操作",H104+H105+H106,H105+H106)</f>
        <v>0</v>
      </c>
      <c r="I103" s="129"/>
    </row>
    <row r="104" spans="1:35" ht="18.75" customHeight="1">
      <c r="A104" s="3640" t="s">
        <v>1436</v>
      </c>
      <c r="B104" s="2587" t="s">
        <v>1431</v>
      </c>
      <c r="C104" s="2588">
        <f ca="1">H118</f>
        <v>482</v>
      </c>
      <c r="D104" s="2589"/>
      <c r="E104" s="1672" t="s">
        <v>1437</v>
      </c>
      <c r="F104" s="1664"/>
      <c r="G104" s="1826" t="s">
        <v>1435</v>
      </c>
      <c r="H104" s="2594">
        <f>IF(D36="同一抵押权人同一抵押物续贷",C36&amp;"（续贷，未扣减，详见特别提示）",C36)</f>
        <v>0</v>
      </c>
      <c r="I104" s="129"/>
    </row>
    <row r="105" spans="1:35" ht="18.75" customHeight="1" thickBot="1">
      <c r="A105" s="3641"/>
      <c r="B105" s="2590" t="s">
        <v>1433</v>
      </c>
      <c r="C105" s="2591">
        <f ca="1">I118</f>
        <v>38333</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637" t="str">
        <f>IF(项目基本情况!E8="已注销","——","3.房地产抵押价值")</f>
        <v>3.房地产抵押价值</v>
      </c>
      <c r="F107" s="3638"/>
      <c r="G107" s="1825" t="s">
        <v>1431</v>
      </c>
      <c r="H107" s="2593">
        <f ca="1">IF(E107="——","——",H101-H103)</f>
        <v>482</v>
      </c>
      <c r="I107" s="129"/>
    </row>
    <row r="108" spans="1:35" ht="18.75" customHeight="1">
      <c r="A108" s="129"/>
      <c r="B108" s="129"/>
      <c r="C108" s="129"/>
      <c r="D108" s="129"/>
      <c r="E108" s="3637"/>
      <c r="F108" s="3638"/>
      <c r="G108" s="1825" t="s">
        <v>1433</v>
      </c>
      <c r="H108" s="2553">
        <f ca="1">IF(H107=H101,H102,ROUND(H107*10000/'数据-汇总表'!E3,0))</f>
        <v>38333</v>
      </c>
      <c r="I108" s="129"/>
    </row>
    <row r="109" spans="1:35" ht="18.75" customHeight="1">
      <c r="A109" s="129"/>
      <c r="B109" s="129"/>
      <c r="C109" s="129"/>
      <c r="D109" s="129"/>
      <c r="E109" s="3637" t="str">
        <f>IF(项目基本情况!E8="已注销及未注销","4.抵押担保权已注销时的房地产抵押价值",IF(项目基本情况!E8="已注销","3.抵押担保权已注销时的房地产抵押价值","——"))</f>
        <v>——</v>
      </c>
      <c r="F109" s="3638"/>
      <c r="G109" s="1825" t="s">
        <v>1431</v>
      </c>
      <c r="H109" s="2596" t="str">
        <f>IF(E109="——","——",H101-H105-H106)</f>
        <v>——</v>
      </c>
      <c r="I109" s="129"/>
    </row>
    <row r="110" spans="1:35" ht="18.75" customHeight="1">
      <c r="A110" s="129"/>
      <c r="B110" s="129"/>
      <c r="C110" s="129"/>
      <c r="D110" s="129"/>
      <c r="E110" s="3637"/>
      <c r="F110" s="3638"/>
      <c r="G110" s="1825" t="s">
        <v>1433</v>
      </c>
      <c r="H110" s="2553" t="str">
        <f>IF(H109="——","——",ROUND(H109*10000/'数据-汇总表'!E3,0))</f>
        <v>——</v>
      </c>
      <c r="I110" s="129"/>
    </row>
    <row r="111" spans="1:35" ht="18.75" customHeight="1">
      <c r="A111" s="129"/>
      <c r="B111" s="129"/>
      <c r="C111" s="129"/>
      <c r="D111" s="129"/>
      <c r="E111" s="3669" t="str">
        <f>IF(项目基本情况!E9="抵押净值",IF(OR(项目基本情况!E8="已注销",项目基本情况!E8="房地产抵押价值"),"4.抵押净值","5.抵押净值"),"——")</f>
        <v>——</v>
      </c>
      <c r="F111" s="3639"/>
      <c r="G111" s="1825" t="s">
        <v>1431</v>
      </c>
      <c r="H111" s="2593" t="str">
        <f>IF(E111="——","——",N59)</f>
        <v>——</v>
      </c>
      <c r="I111" s="129"/>
    </row>
    <row r="112" spans="1:35" ht="18.75" customHeight="1" thickBot="1">
      <c r="A112" s="129"/>
      <c r="B112" s="129"/>
      <c r="C112" s="129"/>
      <c r="D112" s="129"/>
      <c r="E112" s="3670"/>
      <c r="F112" s="3671"/>
      <c r="G112" s="1828" t="s">
        <v>1433</v>
      </c>
      <c r="H112" s="2597" t="str">
        <f>IF(E111="——","——",N61)</f>
        <v>——</v>
      </c>
      <c r="I112" s="129"/>
    </row>
    <row r="113" spans="1:27" ht="18.75" customHeight="1">
      <c r="A113" s="129"/>
      <c r="B113" s="129"/>
      <c r="C113" s="129"/>
      <c r="D113" s="129"/>
      <c r="E113" s="3642" t="s">
        <v>1439</v>
      </c>
      <c r="F113" s="3642"/>
      <c r="G113" s="3642"/>
      <c r="H113" s="3642"/>
      <c r="I113" s="129"/>
    </row>
    <row r="114" spans="1:27" ht="3.75" customHeight="1">
      <c r="A114" s="1745"/>
      <c r="B114" s="1745"/>
      <c r="C114" s="1745"/>
      <c r="D114" s="1745"/>
      <c r="E114" s="1807"/>
      <c r="F114" s="1807"/>
      <c r="G114" s="1807"/>
      <c r="H114" s="1807"/>
      <c r="I114" s="1745"/>
    </row>
    <row r="115" spans="1:27" ht="18.75" customHeight="1">
      <c r="A115" s="3652" t="s">
        <v>1441</v>
      </c>
      <c r="B115" s="3653"/>
      <c r="C115" s="3653"/>
      <c r="D115" s="3653"/>
      <c r="E115" s="3653"/>
      <c r="F115" s="3653"/>
      <c r="G115" s="3653"/>
      <c r="H115" s="3653"/>
      <c r="I115" s="3654"/>
    </row>
    <row r="116" spans="1:27" ht="27" customHeight="1">
      <c r="A116" s="3608" t="s">
        <v>1442</v>
      </c>
      <c r="B116" s="3643" t="s">
        <v>1443</v>
      </c>
      <c r="C116" s="3643" t="s">
        <v>1444</v>
      </c>
      <c r="D116" s="3656" t="s">
        <v>1445</v>
      </c>
      <c r="E116" s="3657"/>
      <c r="F116" s="3651" t="s">
        <v>1446</v>
      </c>
      <c r="G116" s="3651"/>
      <c r="H116" s="3608" t="s">
        <v>1447</v>
      </c>
      <c r="I116" s="3608"/>
    </row>
    <row r="117" spans="1:27" ht="18.75" customHeight="1">
      <c r="A117" s="3608"/>
      <c r="B117" s="3644"/>
      <c r="C117" s="3644"/>
      <c r="D117" s="2327" t="s">
        <v>1448</v>
      </c>
      <c r="E117" s="2327" t="s">
        <v>1449</v>
      </c>
      <c r="F117" s="2327" t="s">
        <v>1448</v>
      </c>
      <c r="G117" s="2327" t="s">
        <v>1450</v>
      </c>
      <c r="H117" s="2327" t="s">
        <v>1448</v>
      </c>
      <c r="I117" s="2327" t="s">
        <v>1450</v>
      </c>
    </row>
    <row r="118" spans="1:27" ht="24.75" customHeight="1">
      <c r="A118" s="2598" t="str">
        <f>项目基本情况!S2</f>
        <v>北京市房地产</v>
      </c>
      <c r="B118" s="2327">
        <f>M18</f>
        <v>125.74</v>
      </c>
      <c r="C118" s="2327">
        <f>M19</f>
        <v>0</v>
      </c>
      <c r="D118" s="2327">
        <f ca="1">ROUND(IF(D32="总价",C34,E118*B118/10000),0)</f>
        <v>350</v>
      </c>
      <c r="E118" s="2327">
        <f ca="1">ROUND(IF(C33="自定义",IF(D32="楼面单价",C34,D118*10000/B118),I118-G118),0)</f>
        <v>27835</v>
      </c>
      <c r="F118" s="2327">
        <f ca="1">ROUND(IF(D32="总价",C35,G118*B118/10000),0)</f>
        <v>132</v>
      </c>
      <c r="G118" s="2327">
        <f ca="1">ROUND(IF(D32="楼面单价",C35,F118*10000/B118),0)</f>
        <v>10498</v>
      </c>
      <c r="H118" s="2327">
        <f ca="1">ROUND(IF(D32="总价",C32,I118*B118/10000),0)</f>
        <v>482</v>
      </c>
      <c r="I118" s="2327">
        <f ca="1">ROUND(IF(D32="楼面单价",C32,H118*10000/B118),0)</f>
        <v>38333</v>
      </c>
    </row>
    <row r="119" spans="1:27" ht="18.75" customHeight="1">
      <c r="A119" s="3608" t="s">
        <v>1451</v>
      </c>
      <c r="B119" s="3608"/>
      <c r="C119" s="3608"/>
      <c r="D119" s="3648" t="str">
        <f ca="1">NUMBERSTRING(INT(D118*10000),2)&amp;"元整"</f>
        <v>叁佰伍拾万元整</v>
      </c>
      <c r="E119" s="3650"/>
      <c r="F119" s="3648" t="str">
        <f ca="1">NUMBERSTRING(INT(F118*10000),2)&amp;"元整"</f>
        <v>壹佰叁拾贰万元整</v>
      </c>
      <c r="G119" s="3650"/>
      <c r="H119" s="3648" t="str">
        <f ca="1">NUMBERSTRING(INT(H118*10000),2)&amp;"元整"</f>
        <v>肆佰捌拾贰万元整</v>
      </c>
      <c r="I119" s="3650"/>
    </row>
    <row r="120" spans="1:27" ht="18.75" customHeight="1">
      <c r="A120" s="3672" t="str">
        <f>IF(项目基本情况!B9="房地产市场价值","",MID(E103,3,LEN(E103)-2))</f>
        <v>估价师知悉的法定优先受偿款</v>
      </c>
      <c r="B120" s="3673"/>
      <c r="C120" s="3674"/>
      <c r="D120" s="3672">
        <f>H103</f>
        <v>0</v>
      </c>
      <c r="E120" s="3673"/>
      <c r="F120" s="3673"/>
      <c r="G120" s="3673"/>
      <c r="H120" s="3673"/>
      <c r="I120" s="367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48" t="s">
        <v>1451</v>
      </c>
      <c r="B121" s="3649"/>
      <c r="C121" s="3650"/>
      <c r="D121" s="3648" t="str">
        <f>IF(D120=0,"零元整",NUMBERSTRING(INT(D120*10000),2)&amp;"元整")</f>
        <v>零元整</v>
      </c>
      <c r="E121" s="3649"/>
      <c r="F121" s="3649"/>
      <c r="G121" s="3649"/>
      <c r="H121" s="3649"/>
      <c r="I121" s="3650"/>
      <c r="AA121" s="724"/>
    </row>
    <row r="122" spans="1:27" ht="18.75" customHeight="1">
      <c r="A122" s="3639" t="str">
        <f>IF(项目基本情况!B9="房地产市场价值","",MID(E107,3,LEN(E107)-2))</f>
        <v>房地产抵押价值</v>
      </c>
      <c r="B122" s="3639"/>
      <c r="C122" s="3639"/>
      <c r="D122" s="3672">
        <f ca="1">H107</f>
        <v>482</v>
      </c>
      <c r="E122" s="3673"/>
      <c r="F122" s="3673"/>
      <c r="G122" s="3673"/>
      <c r="H122" s="3673"/>
      <c r="I122" s="3674"/>
      <c r="AA122" s="724"/>
    </row>
    <row r="123" spans="1:27" ht="18.75" customHeight="1">
      <c r="A123" s="3608" t="s">
        <v>1451</v>
      </c>
      <c r="B123" s="3608"/>
      <c r="C123" s="3608"/>
      <c r="D123" s="3648" t="str">
        <f ca="1">NUMBERSTRING(INT(D122*10000),2)&amp;"元整"</f>
        <v>肆佰捌拾贰万元整</v>
      </c>
      <c r="E123" s="3649"/>
      <c r="F123" s="3649"/>
      <c r="G123" s="3649"/>
      <c r="H123" s="3649"/>
      <c r="I123" s="3650"/>
      <c r="AA123" s="724"/>
    </row>
    <row r="124" spans="1:27" ht="18.75" customHeight="1">
      <c r="A124" s="3639" t="str">
        <f>IF(项目基本情况!B9="房地产市场价值","",MID(E109,3,LEN(E109)-2))</f>
        <v/>
      </c>
      <c r="B124" s="3639"/>
      <c r="C124" s="3639"/>
      <c r="D124" s="3672" t="str">
        <f>H109</f>
        <v>——</v>
      </c>
      <c r="E124" s="3673"/>
      <c r="F124" s="3673"/>
      <c r="G124" s="3673"/>
      <c r="H124" s="3673"/>
      <c r="I124" s="3674"/>
      <c r="AA124" s="724"/>
    </row>
    <row r="125" spans="1:27" ht="18.75" customHeight="1">
      <c r="A125" s="3608" t="s">
        <v>1451</v>
      </c>
      <c r="B125" s="3608"/>
      <c r="C125" s="3608"/>
      <c r="D125" s="3648" t="e">
        <f>NUMBERSTRING(INT(D124*10000),2)&amp;"元整"</f>
        <v>#VALUE!</v>
      </c>
      <c r="E125" s="3649"/>
      <c r="F125" s="3649"/>
      <c r="G125" s="3649"/>
      <c r="H125" s="3649"/>
      <c r="I125" s="3650"/>
      <c r="AA125" s="724"/>
    </row>
    <row r="126" spans="1:27" ht="18.75" customHeight="1">
      <c r="A126" s="3639" t="str">
        <f>IF(项目基本情况!B9="房地产市场价值","",MID(E111,3,LEN(E111)-2))</f>
        <v/>
      </c>
      <c r="B126" s="3639"/>
      <c r="C126" s="3639"/>
      <c r="D126" s="3672" t="str">
        <f>H111</f>
        <v>——</v>
      </c>
      <c r="E126" s="3673"/>
      <c r="F126" s="3673"/>
      <c r="G126" s="3673"/>
      <c r="H126" s="3673"/>
      <c r="I126" s="3674"/>
      <c r="AA126" s="724"/>
    </row>
    <row r="127" spans="1:27" ht="18.75" customHeight="1">
      <c r="A127" s="3608" t="s">
        <v>1451</v>
      </c>
      <c r="B127" s="3608"/>
      <c r="C127" s="3608"/>
      <c r="D127" s="3648" t="e">
        <f>NUMBERSTRING(INT(D126*10000),2)&amp;"元整"</f>
        <v>#VALUE!</v>
      </c>
      <c r="E127" s="3649"/>
      <c r="F127" s="3649"/>
      <c r="G127" s="3649"/>
      <c r="H127" s="3649"/>
      <c r="I127" s="3650"/>
      <c r="AA127" s="724"/>
    </row>
    <row r="128" spans="1:27" ht="21.75" customHeight="1">
      <c r="A128" s="3655" t="s">
        <v>1452</v>
      </c>
      <c r="B128" s="3655"/>
      <c r="C128" s="3655"/>
      <c r="D128" s="3655"/>
      <c r="E128" s="3655"/>
      <c r="F128" s="3655"/>
      <c r="G128" s="3655"/>
      <c r="H128" s="3655"/>
      <c r="I128" s="3655"/>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2" t="str">
        <f>项目基本情况!B1</f>
        <v>北京市房地产抵押价值预评估</v>
      </c>
      <c r="C37" s="3502"/>
      <c r="D37" s="3502"/>
      <c r="E37" s="3502"/>
      <c r="F37" s="3502"/>
      <c r="G37" s="3502"/>
      <c r="H37" s="3502"/>
      <c r="I37" s="3502"/>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5">
        <f>MATCH(B1,'数据-取费表'!A6:A16,0)+5</f>
        <v>7</v>
      </c>
    </row>
    <row r="2" spans="1:9" s="200" customFormat="1" ht="18" customHeight="1">
      <c r="A2" s="201" t="s">
        <v>1461</v>
      </c>
      <c r="B2" s="202">
        <f ca="1">IF(D2="——",C52,C52-E2)</f>
        <v>72</v>
      </c>
      <c r="C2" s="199" t="s">
        <v>1462</v>
      </c>
      <c r="D2" s="1851" t="s">
        <v>43</v>
      </c>
      <c r="E2" s="1168"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5726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7" t="s">
        <v>1471</v>
      </c>
      <c r="B6" s="215" t="s">
        <v>1472</v>
      </c>
      <c r="C6" s="216"/>
      <c r="D6" s="217"/>
      <c r="E6" s="218"/>
      <c r="F6" s="218"/>
      <c r="G6" s="219"/>
    </row>
    <row r="7" spans="1:9" s="214" customFormat="1" ht="13.5" customHeight="1">
      <c r="A7" s="777" t="s">
        <v>1473</v>
      </c>
      <c r="B7" s="215" t="s">
        <v>1474</v>
      </c>
      <c r="C7" s="220">
        <f>ROUND(C6*F7,0)</f>
        <v>0</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0</v>
      </c>
      <c r="D8" s="222"/>
      <c r="E8" s="220"/>
      <c r="F8" s="221"/>
      <c r="G8" s="1854"/>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5"/>
      <c r="H9" s="1136"/>
      <c r="I9" s="1856" t="s">
        <v>1478</v>
      </c>
    </row>
    <row r="10" spans="1:9" s="214" customFormat="1" ht="13.5" customHeight="1">
      <c r="A10" s="778" t="s">
        <v>356</v>
      </c>
      <c r="B10" s="224" t="s">
        <v>1479</v>
      </c>
      <c r="C10" s="225">
        <f ca="1">ROUND(D10*E10/10000,0)</f>
        <v>0</v>
      </c>
      <c r="D10" s="844">
        <f ca="1">IF(B1="",'数据-汇总表'!E6,IF(INDIRECT("'数据-取费表'!c"&amp;$G$1)="住宅",INDIRECT("'数据-取费表'!s"&amp;$G$1),INDIRECT("'数据-取费表'!k"&amp;$G$1)+INDIRECT("'数据-取费表'!s"&amp;$G$1)))</f>
        <v>125.74</v>
      </c>
      <c r="E10" s="225">
        <f>'数据-取费表'!B28</f>
        <v>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f ca="1">IF(G19="已包含在土地取得成本中","0",ROUND(D19*E19/10000,0))</f>
        <v>3</v>
      </c>
      <c r="D19" s="848">
        <f ca="1">D9+D10</f>
        <v>125.74</v>
      </c>
      <c r="E19" s="211">
        <f>'数据-取费表'!B31</f>
        <v>200</v>
      </c>
      <c r="F19" s="231"/>
      <c r="G19" s="1854"/>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0</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79" t="s">
        <v>1501</v>
      </c>
      <c r="B23" s="215" t="s">
        <v>1502</v>
      </c>
      <c r="C23" s="1104">
        <f ca="1">ROUND(IF('数据-取费表'!B22&lt;=1,C5*F22*'数据-取费表'!B23,C5*(POWER((1+F22),'数据-取费表'!B23)-1)),0)</f>
        <v>0</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0</v>
      </c>
      <c r="D25" s="238"/>
      <c r="E25" s="241"/>
      <c r="F25" s="239"/>
      <c r="G25" s="242" t="s">
        <v>1509</v>
      </c>
    </row>
    <row r="26" spans="1:7" s="214" customFormat="1">
      <c r="A26" s="779"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1</v>
      </c>
      <c r="D27" s="235">
        <f ca="1">C29</f>
        <v>4.0000000000000001E-3</v>
      </c>
      <c r="E27" s="236" t="s">
        <v>1513</v>
      </c>
      <c r="F27" s="246">
        <f ca="1">IF(B1="",'数据-取费表'!Q16,INDIRECT("'数据-取费表'!q"&amp;$G$1))</f>
        <v>0.2</v>
      </c>
      <c r="G27" s="247" t="s">
        <v>1514</v>
      </c>
    </row>
    <row r="28" spans="1:7" s="214" customFormat="1" ht="13.5" customHeight="1">
      <c r="A28" s="779" t="s">
        <v>346</v>
      </c>
      <c r="B28" s="248" t="s">
        <v>1515</v>
      </c>
      <c r="C28" s="249">
        <f ca="1">ROUND((C5+C19+C20)*F27*'数据-取费表'!B21/'数据-取费表'!B20,0)</f>
        <v>1</v>
      </c>
      <c r="D28" s="235"/>
      <c r="E28" s="236"/>
      <c r="F28" s="246"/>
      <c r="G28" s="247"/>
    </row>
    <row r="29" spans="1:7" s="214" customFormat="1" ht="13.5" customHeight="1">
      <c r="A29" s="779"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56</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50</v>
      </c>
      <c r="D34" s="217"/>
      <c r="E34" s="220"/>
      <c r="F34" s="257">
        <f ca="1">IF('数据-取费表'!B24=0,1,IF(B1="",'数据-取费表'!N16,INDIRECT("'数据-取费表'!n"&amp;$G$1)))</f>
        <v>1</v>
      </c>
      <c r="G34" s="219" t="s">
        <v>1525</v>
      </c>
    </row>
    <row r="35" spans="1:7" ht="13.5" customHeight="1">
      <c r="A35" s="779" t="s">
        <v>351</v>
      </c>
      <c r="B35" s="215" t="s">
        <v>1526</v>
      </c>
      <c r="C35" s="220">
        <f ca="1">ROUND(C34*F35,0)</f>
        <v>2</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3</v>
      </c>
      <c r="D37" s="217">
        <f ca="1">D19</f>
        <v>125.74</v>
      </c>
      <c r="E37" s="249">
        <f>'数据-取费表'!B35</f>
        <v>200</v>
      </c>
      <c r="F37" s="259"/>
      <c r="G37" s="261" t="s">
        <v>1531</v>
      </c>
    </row>
    <row r="38" spans="1:7" ht="13.5" customHeight="1">
      <c r="A38" s="779"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v>
      </c>
      <c r="D41" s="235">
        <f ca="1">C44</f>
        <v>4.0000000000000002E-4</v>
      </c>
      <c r="E41" s="236" t="s">
        <v>1538</v>
      </c>
      <c r="F41" s="237">
        <f ca="1">F22</f>
        <v>4.1499999999999995E-2</v>
      </c>
      <c r="G41" s="234" t="str">
        <f>IF('数据-取费表'!B22&lt;=1,"单利计息","复利计息")</f>
        <v>单利计息</v>
      </c>
    </row>
    <row r="42" spans="1:7" ht="13.5" customHeight="1">
      <c r="A42" s="779" t="s">
        <v>346</v>
      </c>
      <c r="B42" s="215" t="s">
        <v>1542</v>
      </c>
      <c r="C42" s="238">
        <f ca="1">ROUND(IF('数据-取费表'!B22&lt;=1,C33*F22*'数据-取费表'!B21/2,C33*(POWER((1+F22),'数据-取费表'!B21/2)-1)),0)</f>
        <v>1</v>
      </c>
      <c r="D42" s="238"/>
      <c r="E42" s="238"/>
      <c r="F42" s="239"/>
      <c r="G42" s="3688" t="s">
        <v>1543</v>
      </c>
    </row>
    <row r="43" spans="1:7" ht="13.5" customHeight="1">
      <c r="A43" s="779" t="s">
        <v>347</v>
      </c>
      <c r="B43" s="215" t="s">
        <v>1544</v>
      </c>
      <c r="C43" s="238">
        <f ca="1">ROUND(IF('数据-取费表'!B22&lt;=1,C39*F22*'数据-取费表'!B21/2,C39*(POWER((1+F22),'数据-取费表'!B21/2)-1)),0)</f>
        <v>0</v>
      </c>
      <c r="D43" s="238"/>
      <c r="E43" s="238"/>
      <c r="F43" s="239"/>
      <c r="G43" s="3689"/>
    </row>
    <row r="44" spans="1:7" ht="13.5" customHeight="1">
      <c r="A44" s="779" t="s">
        <v>348</v>
      </c>
      <c r="B44" s="215" t="s">
        <v>1545</v>
      </c>
      <c r="C44" s="238">
        <f ca="1">ROUND(IF('数据-取费表'!B22&lt;=1,C40*F22*'数据-取费表'!B21/2,C40*(POWER((1+F22),'数据-取费表'!B21/2)-1)),4)</f>
        <v>4.0000000000000002E-4</v>
      </c>
      <c r="D44" s="238"/>
      <c r="E44" s="238"/>
      <c r="F44" s="239"/>
      <c r="G44" s="3690"/>
    </row>
    <row r="45" spans="1:7" s="214" customFormat="1" ht="13.5" customHeight="1">
      <c r="A45" s="255" t="s">
        <v>1546</v>
      </c>
      <c r="B45" s="244" t="s">
        <v>1512</v>
      </c>
      <c r="C45" s="245">
        <f ca="1">C46</f>
        <v>11</v>
      </c>
      <c r="D45" s="235">
        <f ca="1">C47</f>
        <v>4.0000000000000001E-3</v>
      </c>
      <c r="E45" s="236" t="s">
        <v>1538</v>
      </c>
      <c r="F45" s="246">
        <f ca="1">F27</f>
        <v>0.2</v>
      </c>
      <c r="G45" s="247" t="s">
        <v>1547</v>
      </c>
    </row>
    <row r="46" spans="1:7" s="214" customFormat="1" ht="13.5" customHeight="1">
      <c r="A46" s="779" t="s">
        <v>346</v>
      </c>
      <c r="B46" s="248" t="s">
        <v>1548</v>
      </c>
      <c r="C46" s="249">
        <f ca="1">ROUND((C33+C39)*F27,0)</f>
        <v>11</v>
      </c>
      <c r="D46" s="263"/>
      <c r="E46" s="236"/>
      <c r="F46" s="246"/>
      <c r="G46" s="247"/>
    </row>
    <row r="47" spans="1:7" s="214" customFormat="1" ht="13.5" customHeight="1">
      <c r="A47" s="779" t="s">
        <v>347</v>
      </c>
      <c r="B47" s="248" t="s">
        <v>1549</v>
      </c>
      <c r="C47" s="238">
        <f ca="1">ROUND(C40*F27,4)</f>
        <v>4.0000000000000001E-3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75</v>
      </c>
      <c r="D49" s="232"/>
      <c r="E49" s="232"/>
      <c r="F49" s="264"/>
      <c r="G49" s="234" t="s">
        <v>1553</v>
      </c>
    </row>
    <row r="50" spans="1:7" s="258" customFormat="1" ht="24">
      <c r="A50" s="255" t="s">
        <v>1554</v>
      </c>
      <c r="B50" s="210" t="s">
        <v>1555</v>
      </c>
      <c r="C50" s="232"/>
      <c r="D50" s="232"/>
      <c r="E50" s="232"/>
      <c r="F50" s="264">
        <f>IF('数据-取费表'!B24=0,'数据-取费表'!N16,1)</f>
        <v>0.9</v>
      </c>
      <c r="G50" s="247" t="s">
        <v>1556</v>
      </c>
    </row>
    <row r="51" spans="1:7" ht="16.5" customHeight="1">
      <c r="A51" s="255" t="s">
        <v>1557</v>
      </c>
      <c r="B51" s="210" t="s">
        <v>1558</v>
      </c>
      <c r="C51" s="232">
        <f ca="1">ROUND(C49*F50,0)</f>
        <v>68</v>
      </c>
      <c r="D51" s="232"/>
      <c r="E51" s="232"/>
      <c r="F51" s="264"/>
      <c r="G51" s="234" t="s">
        <v>1559</v>
      </c>
    </row>
    <row r="52" spans="1:7" s="208" customFormat="1" ht="16.5" thickBot="1">
      <c r="A52" s="265" t="s">
        <v>1560</v>
      </c>
      <c r="B52" s="266"/>
      <c r="C52" s="267">
        <f ca="1">C31+C51</f>
        <v>72</v>
      </c>
      <c r="D52" s="266"/>
      <c r="E52" s="266"/>
      <c r="F52" s="266"/>
      <c r="G52" s="268"/>
    </row>
    <row r="55" spans="1:7" ht="15">
      <c r="B55" s="270" t="s">
        <v>1561</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5">
        <f>MATCH(B1,'数据-取费表'!A6:A16,0)+5</f>
        <v>7</v>
      </c>
      <c r="H1" s="1060" t="str">
        <f>IF(ISERROR(FIND("住宅",B1)),"非住宅","住宅")</f>
        <v>非住宅</v>
      </c>
    </row>
    <row r="2" spans="1:8" s="200" customFormat="1" ht="18" customHeight="1">
      <c r="A2" s="201" t="s">
        <v>1461</v>
      </c>
      <c r="B2" s="3421">
        <f ca="1">ROUND(IF(D2="——",C52/10000,C52/10000-E2),4)</f>
        <v>70.37</v>
      </c>
      <c r="C2" s="199" t="s">
        <v>1462</v>
      </c>
      <c r="D2" s="1851" t="s">
        <v>43</v>
      </c>
      <c r="E2" s="1168"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5596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0</v>
      </c>
      <c r="D8" s="222"/>
      <c r="E8" s="220"/>
      <c r="F8" s="221"/>
      <c r="G8" s="1854"/>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0</v>
      </c>
      <c r="D10" s="844">
        <f ca="1">IF(B1="",'数据-汇总表'!E6,IF(INDIRECT("'数据-取费表'!c"&amp;$G$1)="住宅",INDIRECT("'数据-取费表'!s"&amp;$G$1),INDIRECT("'数据-取费表'!k"&amp;$G$1)+INDIRECT("'数据-取费表'!s"&amp;$G$1)))</f>
        <v>125.74</v>
      </c>
      <c r="E10" s="225">
        <f>'数据-取费表'!B28</f>
        <v>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25148</v>
      </c>
      <c r="D19" s="848">
        <f ca="1">D9+D10</f>
        <v>125.74</v>
      </c>
      <c r="E19" s="211">
        <f>'数据-取费表'!B31</f>
        <v>200</v>
      </c>
      <c r="F19" s="231"/>
      <c r="G19" s="1854"/>
    </row>
    <row r="20" spans="1:7" s="214" customFormat="1" ht="13.5" customHeight="1">
      <c r="A20" s="255" t="s">
        <v>1573</v>
      </c>
      <c r="B20" s="210" t="s">
        <v>1574</v>
      </c>
      <c r="C20" s="232">
        <f ca="1">ROUND((C5+C19)*F20,0)</f>
        <v>503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1054</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79" t="s">
        <v>1471</v>
      </c>
      <c r="B23" s="215" t="s">
        <v>1582</v>
      </c>
      <c r="C23" s="1127">
        <f ca="1">ROUND(IF('数据-取费表'!B22&lt;=1,C5*F22*'数据-取费表'!B22,C5*(POWER((1+F22),'数据-取费表'!B22)-1)),0)</f>
        <v>0</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1044</v>
      </c>
      <c r="D24" s="238"/>
      <c r="E24" s="238"/>
      <c r="F24" s="239"/>
      <c r="G24" s="240" t="s">
        <v>1585</v>
      </c>
    </row>
    <row r="25" spans="1:7" s="214" customFormat="1" ht="24">
      <c r="A25" s="779" t="s">
        <v>1475</v>
      </c>
      <c r="B25" s="215" t="s">
        <v>1586</v>
      </c>
      <c r="C25" s="1127">
        <f ca="1">ROUND(IF('数据-取费表'!B22&lt;=1,C20*F22*'数据-取费表'!B22/2,C20*(POWER((1+F22),'数据-取费表'!B22/2)-1)),0)</f>
        <v>10</v>
      </c>
      <c r="D25" s="238"/>
      <c r="E25" s="241"/>
      <c r="F25" s="239"/>
      <c r="G25" s="242" t="s">
        <v>1587</v>
      </c>
    </row>
    <row r="26" spans="1:7" s="214" customFormat="1">
      <c r="A26" s="779"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5130</v>
      </c>
      <c r="D27" s="235">
        <f ca="1">C29</f>
        <v>4.0000000000000001E-3</v>
      </c>
      <c r="E27" s="236" t="s">
        <v>1513</v>
      </c>
      <c r="F27" s="246">
        <f ca="1">IF(B1="",'数据-取费表'!Q16,INDIRECT("'数据-取费表'!q"&amp;$G$1))</f>
        <v>0.2</v>
      </c>
      <c r="G27" s="247" t="s">
        <v>1514</v>
      </c>
    </row>
    <row r="28" spans="1:7" s="214" customFormat="1" ht="13.5" customHeight="1">
      <c r="A28" s="779" t="s">
        <v>346</v>
      </c>
      <c r="B28" s="248" t="s">
        <v>1515</v>
      </c>
      <c r="C28" s="249">
        <f ca="1">ROUND((C5+C19+C20)*F27,0)</f>
        <v>5130</v>
      </c>
      <c r="D28" s="235"/>
      <c r="E28" s="236"/>
      <c r="F28" s="246"/>
      <c r="G28" s="247"/>
    </row>
    <row r="29" spans="1:7" s="214" customFormat="1" ht="13.5" customHeight="1">
      <c r="A29" s="779"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34517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550741</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502960</v>
      </c>
      <c r="D34" s="217"/>
      <c r="E34" s="220"/>
      <c r="F34" s="257"/>
      <c r="G34" s="219"/>
    </row>
    <row r="35" spans="1:7" ht="13.5" customHeight="1">
      <c r="A35" s="779" t="s">
        <v>351</v>
      </c>
      <c r="B35" s="215" t="s">
        <v>1526</v>
      </c>
      <c r="C35" s="220">
        <f ca="1">ROUND(C34*F35,0)</f>
        <v>15089</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25148</v>
      </c>
      <c r="D37" s="217">
        <f ca="1">D19</f>
        <v>125.74</v>
      </c>
      <c r="E37" s="249">
        <f>'数据-取费表'!B35</f>
        <v>200</v>
      </c>
      <c r="F37" s="259"/>
      <c r="G37" s="261"/>
    </row>
    <row r="38" spans="1:7" ht="13.5" customHeight="1">
      <c r="A38" s="779" t="s">
        <v>354</v>
      </c>
      <c r="B38" s="215" t="s">
        <v>1532</v>
      </c>
      <c r="C38" s="220">
        <f ca="1">ROUND(C34*F38,0)</f>
        <v>7544</v>
      </c>
      <c r="D38" s="220"/>
      <c r="E38" s="220"/>
      <c r="F38" s="259">
        <f>'数据-取费表'!B36</f>
        <v>1.4999999999999999E-2</v>
      </c>
      <c r="G38" s="219" t="s">
        <v>1527</v>
      </c>
    </row>
    <row r="39" spans="1:7" s="214" customFormat="1" ht="13.5" customHeight="1">
      <c r="A39" s="255" t="s">
        <v>1533</v>
      </c>
      <c r="B39" s="210" t="s">
        <v>1534</v>
      </c>
      <c r="C39" s="232">
        <f ca="1">ROUND(C33*F20,0)</f>
        <v>11015</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11657</v>
      </c>
      <c r="D41" s="235">
        <f ca="1">C44</f>
        <v>4.0000000000000002E-4</v>
      </c>
      <c r="E41" s="236" t="s">
        <v>1538</v>
      </c>
      <c r="F41" s="237">
        <f ca="1">F22</f>
        <v>4.1499999999999995E-2</v>
      </c>
      <c r="G41" s="234" t="str">
        <f>IF('数据-取费表'!B22&lt;=1,"单利计息","复利计息")</f>
        <v>单利计息</v>
      </c>
    </row>
    <row r="42" spans="1:7" ht="13.5" customHeight="1">
      <c r="A42" s="779" t="s">
        <v>346</v>
      </c>
      <c r="B42" s="215" t="s">
        <v>1542</v>
      </c>
      <c r="C42" s="238">
        <f ca="1">ROUND(IF('数据-取费表'!B22&lt;=1,C33*F22*'数据-取费表'!B20/2,C33*(POWER((1+F22),'数据-取费表'!B20/2)-1)),0)</f>
        <v>11428</v>
      </c>
      <c r="D42" s="238"/>
      <c r="E42" s="238"/>
      <c r="F42" s="239"/>
      <c r="G42" s="3688" t="s">
        <v>1590</v>
      </c>
    </row>
    <row r="43" spans="1:7" ht="13.5" customHeight="1">
      <c r="A43" s="779" t="s">
        <v>347</v>
      </c>
      <c r="B43" s="215" t="s">
        <v>1544</v>
      </c>
      <c r="C43" s="238">
        <f ca="1">ROUND(IF('数据-取费表'!B22&lt;=1,C39*F22*'数据-取费表'!B20/2,C39*(POWER((1+F22),'数据-取费表'!B20/2)-1)),0)</f>
        <v>229</v>
      </c>
      <c r="D43" s="238"/>
      <c r="E43" s="238"/>
      <c r="F43" s="239"/>
      <c r="G43" s="3689"/>
    </row>
    <row r="44" spans="1:7" ht="13.5" customHeight="1">
      <c r="A44" s="779" t="s">
        <v>348</v>
      </c>
      <c r="B44" s="215" t="s">
        <v>1545</v>
      </c>
      <c r="C44" s="238">
        <f ca="1">ROUND(IF('数据-取费表'!B22&lt;=1,C40*F22*'数据-取费表'!B20/2,C40*(POWER((1+F22),'数据-取费表'!B20/2)-1)),4)</f>
        <v>4.0000000000000002E-4</v>
      </c>
      <c r="D44" s="238"/>
      <c r="E44" s="238"/>
      <c r="F44" s="239"/>
      <c r="G44" s="3690"/>
    </row>
    <row r="45" spans="1:7" s="214" customFormat="1" ht="13.5" customHeight="1">
      <c r="A45" s="255" t="s">
        <v>1546</v>
      </c>
      <c r="B45" s="244" t="s">
        <v>1512</v>
      </c>
      <c r="C45" s="245">
        <f ca="1">C46</f>
        <v>112351</v>
      </c>
      <c r="D45" s="235">
        <f ca="1">C47</f>
        <v>4.0000000000000001E-3</v>
      </c>
      <c r="E45" s="236" t="s">
        <v>1538</v>
      </c>
      <c r="F45" s="246">
        <f ca="1">F27</f>
        <v>0.2</v>
      </c>
      <c r="G45" s="247" t="s">
        <v>1547</v>
      </c>
    </row>
    <row r="46" spans="1:7" s="214" customFormat="1" ht="13.5" customHeight="1">
      <c r="A46" s="779" t="s">
        <v>346</v>
      </c>
      <c r="B46" s="248" t="s">
        <v>1548</v>
      </c>
      <c r="C46" s="249">
        <f ca="1">ROUND((C33+C39)*F27,0)</f>
        <v>112351</v>
      </c>
      <c r="D46" s="263"/>
      <c r="E46" s="236"/>
      <c r="F46" s="246"/>
      <c r="G46" s="247"/>
    </row>
    <row r="47" spans="1:7" s="214" customFormat="1" ht="13.5" customHeight="1">
      <c r="A47" s="779"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743537</v>
      </c>
      <c r="D49" s="232"/>
      <c r="E49" s="232"/>
      <c r="F49" s="264"/>
      <c r="G49" s="234" t="s">
        <v>1553</v>
      </c>
    </row>
    <row r="50" spans="1:7" s="258" customFormat="1">
      <c r="A50" s="255" t="s">
        <v>1554</v>
      </c>
      <c r="B50" s="210" t="s">
        <v>1555</v>
      </c>
      <c r="C50" s="232"/>
      <c r="D50" s="232"/>
      <c r="E50" s="232"/>
      <c r="F50" s="264">
        <f>IF('数据-取费表'!B24=0,'数据-取费表'!N16,1)</f>
        <v>0.9</v>
      </c>
      <c r="G50" s="247"/>
    </row>
    <row r="51" spans="1:7" ht="16.5" customHeight="1">
      <c r="A51" s="255" t="s">
        <v>1557</v>
      </c>
      <c r="B51" s="210" t="s">
        <v>1592</v>
      </c>
      <c r="C51" s="232">
        <f ca="1">ROUND(C49*F50,0)</f>
        <v>669183</v>
      </c>
      <c r="D51" s="232"/>
      <c r="E51" s="232"/>
      <c r="F51" s="264"/>
      <c r="G51" s="234" t="s">
        <v>1559</v>
      </c>
    </row>
    <row r="52" spans="1:7" s="208" customFormat="1" ht="16.5" thickBot="1">
      <c r="A52" s="265" t="s">
        <v>1560</v>
      </c>
      <c r="B52" s="266"/>
      <c r="C52" s="267">
        <f ca="1">C31+C51</f>
        <v>703700</v>
      </c>
      <c r="D52" s="266"/>
      <c r="E52" s="266"/>
      <c r="F52" s="266"/>
      <c r="G52" s="268"/>
    </row>
    <row r="55" spans="1:7" ht="15">
      <c r="B55" s="270" t="s">
        <v>1561</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125.74</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125.74</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0"/>
      <c r="H18" s="1186"/>
      <c r="I18" s="1861"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1626</v>
      </c>
      <c r="C20" s="21">
        <f ca="1">ROUND(D20*E20/10000,0)</f>
        <v>0</v>
      </c>
      <c r="D20" s="845">
        <f ca="1">IF(C1="",'数据-汇总表'!E6,IF(INDIRECT("'数据-取费表'!c"&amp;$K$1)="住宅",INDIRECT("'数据-取费表'!s"&amp;$K$1),INDIRECT("'数据-取费表'!k"&amp;$K$1)+INDIRECT("'数据-取费表'!s"&amp;$K$1)))</f>
        <v>125.74</v>
      </c>
      <c r="E20" s="21">
        <f>'数据-取费表'!B28</f>
        <v>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6"/>
      <c r="I27" s="806"/>
      <c r="J27" s="806"/>
      <c r="K27" s="807"/>
    </row>
    <row r="28" spans="1:33" s="289" customFormat="1" ht="13.5" customHeight="1">
      <c r="A28" s="789" t="s">
        <v>1640</v>
      </c>
      <c r="B28" s="1863" t="s">
        <v>1641</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4"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93" t="s">
        <v>694</v>
      </c>
      <c r="C6" s="1073">
        <f ca="1">ROUND(F6*F8*F7*(1-F9)/10000,0)</f>
        <v>0</v>
      </c>
      <c r="D6" s="155" t="s">
        <v>2104</v>
      </c>
      <c r="E6" s="302" t="s">
        <v>696</v>
      </c>
      <c r="F6" s="303">
        <f ca="1">INDIRECT("'数据-取费表'!u"&amp;$G$1)</f>
        <v>0</v>
      </c>
      <c r="G6" s="1382"/>
      <c r="H6" s="1068" t="s">
        <v>398</v>
      </c>
      <c r="I6" s="3693" t="s">
        <v>694</v>
      </c>
      <c r="J6" s="301">
        <f ca="1">ROUND(M6*M8*M7*(1-M9)/10000,0)</f>
        <v>0</v>
      </c>
      <c r="K6" s="155" t="s">
        <v>2103</v>
      </c>
      <c r="L6" s="302" t="s">
        <v>696</v>
      </c>
      <c r="M6" s="303">
        <f ca="1">INDIRECT("'数据-取费表'!z"&amp;$G$1)</f>
        <v>0</v>
      </c>
    </row>
    <row r="7" spans="1:37" ht="18" customHeight="1">
      <c r="A7" s="1072"/>
      <c r="B7" s="3694"/>
      <c r="C7" s="1074"/>
      <c r="D7" s="307"/>
      <c r="E7" s="1075" t="s">
        <v>697</v>
      </c>
      <c r="F7" s="303">
        <f ca="1">IF(INDIRECT("'数据-取费表'!ah"&amp;$G$1)="",INDIRECT("'数据-取费表'!k"&amp;$G$1),INDIRECT("'数据-取费表'!ah"&amp;$G$1))</f>
        <v>0</v>
      </c>
      <c r="G7" s="1382"/>
      <c r="H7" s="304"/>
      <c r="I7" s="3694"/>
      <c r="J7" s="306"/>
      <c r="K7" s="307"/>
      <c r="L7" s="302" t="s">
        <v>697</v>
      </c>
      <c r="M7" s="303">
        <f ca="1">F7</f>
        <v>0</v>
      </c>
    </row>
    <row r="8" spans="1:37" ht="18" customHeight="1">
      <c r="A8" s="304"/>
      <c r="B8" s="3694"/>
      <c r="C8" s="306"/>
      <c r="D8" s="307"/>
      <c r="E8" s="302" t="s">
        <v>698</v>
      </c>
      <c r="F8" s="303">
        <f ca="1">INDIRECT("'数据-取费表'!ai"&amp;$G$1)</f>
        <v>0</v>
      </c>
      <c r="G8" s="1382"/>
      <c r="H8" s="304"/>
      <c r="I8" s="3694"/>
      <c r="J8" s="306"/>
      <c r="K8" s="307"/>
      <c r="L8" s="302" t="s">
        <v>698</v>
      </c>
      <c r="M8" s="303">
        <f ca="1">INDIRECT("'数据-取费表'!ai"&amp;$G$1)</f>
        <v>0</v>
      </c>
    </row>
    <row r="9" spans="1:37" ht="18" customHeight="1">
      <c r="A9" s="304"/>
      <c r="B9" s="3695"/>
      <c r="C9" s="306"/>
      <c r="D9" s="307"/>
      <c r="E9" s="302" t="s">
        <v>699</v>
      </c>
      <c r="F9" s="312">
        <f ca="1">INDIRECT("'数据-取费表'!w"&amp;$G$1)</f>
        <v>0</v>
      </c>
      <c r="G9" s="1382"/>
      <c r="H9" s="304"/>
      <c r="I9" s="369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3332</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4"/>
      <c r="I30" s="1396"/>
      <c r="J30" s="1397"/>
      <c r="K30" s="2473"/>
      <c r="L30" s="2695"/>
      <c r="M30" s="2696"/>
    </row>
    <row r="31" spans="1:37" ht="18" customHeight="1">
      <c r="A31" s="981"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2301</v>
      </c>
      <c r="I31" s="1396"/>
      <c r="J31" s="1397"/>
      <c r="K31" s="2473"/>
      <c r="L31" s="2695"/>
      <c r="M31" s="2696"/>
    </row>
    <row r="32" spans="1:37" ht="18" customHeight="1">
      <c r="A32" s="981" t="s">
        <v>397</v>
      </c>
      <c r="B32" s="302" t="s">
        <v>723</v>
      </c>
      <c r="C32" s="21" t="str">
        <f>IF(项目基本情况!B11="自然人","——",ROUND(C6*F32/(1+'数据-取费表'!C42),2))</f>
        <v>——</v>
      </c>
      <c r="D32" s="1342" t="s">
        <v>724</v>
      </c>
      <c r="E32" s="302" t="s">
        <v>712</v>
      </c>
      <c r="F32" s="331">
        <f>'数据-取费表'!B41</f>
        <v>5.6000000000000001E-2</v>
      </c>
      <c r="G32" s="1382"/>
      <c r="H32" s="2694"/>
      <c r="I32" s="1396"/>
      <c r="J32" s="1397"/>
      <c r="K32" s="2473"/>
      <c r="L32" s="2695"/>
      <c r="M32" s="2696"/>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8" t="s">
        <v>3332</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str">
        <f>IF(项目基本情况!B11="自然人","——",ROUND(F34*F35/10000,2))</f>
        <v>——</v>
      </c>
      <c r="D34" s="324" t="s">
        <v>731</v>
      </c>
      <c r="E34" s="302" t="s">
        <v>732</v>
      </c>
      <c r="F34" s="325">
        <f>'数据-取费表'!B52</f>
        <v>0</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1"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ROUND(F49*F51*F50*(1-F52)/10000,0)</f>
        <v>0</v>
      </c>
      <c r="D49" s="1054" t="s">
        <v>2105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7"/>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91" t="s">
        <v>837</v>
      </c>
      <c r="L53" s="3692"/>
      <c r="O53" s="1416" t="s">
        <v>409</v>
      </c>
      <c r="P53" s="1417" t="s">
        <v>838</v>
      </c>
      <c r="Q53" s="1418" t="e">
        <f ca="1">Q47+Q48</f>
        <v>#DIV/0!</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t="str">
        <f ca="1">IF(项目基本情况!B11="自然人","——",IF(D61="按租金收入计税",ROUND(C49*F61/(1+'数据-取费表'!C42),2),IF(D61="按房产原值计税",ROUND(C57*F61*0.7,2),INDIRECT("'数据-取费表'!Aj"&amp;$G$1))))</f>
        <v>——</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t="str">
        <f>IF(项目基本情况!B11="自然人","——",ROUND(F62*F63/10000,2))</f>
        <v>——</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F62" sqref="F62"/>
    </sheetView>
  </sheetViews>
  <sheetFormatPr defaultColWidth="9" defaultRowHeight="14.25"/>
  <cols>
    <col min="1" max="1" width="10.5" style="357" customWidth="1"/>
    <col min="2" max="2" width="15.75" style="357" customWidth="1"/>
    <col min="3" max="3" width="21.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1809</v>
      </c>
      <c r="C1" s="1223" t="s">
        <v>1661</v>
      </c>
      <c r="D1" s="1224" t="s">
        <v>21</v>
      </c>
      <c r="E1" s="3430" t="s">
        <v>3511</v>
      </c>
      <c r="F1" s="1877" t="s">
        <v>3512</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e">
        <f>IF(E1="项目模式",IF(C2="——",ROUND(C50*D3/10000,0),ROUND(C50*D3/10000,0)-D2),IF(E1="单套模式",IF(C2="——",ROUND(C50*D3/10000,4),ROUND(C50*D3/10000,4)-D2)))</f>
        <v>#DIV/0!</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t="e">
        <f>IF(C2="——",C50,ROUND(B2*10000/D3,0))</f>
        <v>#DIV/0!</v>
      </c>
      <c r="C3" s="354" t="s">
        <v>1767</v>
      </c>
      <c r="D3" s="353">
        <f>IF(D1="",'数据-汇总表'!E3,SUMIF('数据-汇总表'!$C19:$C33,D1,'数据-汇总表'!$E19:$E33))</f>
        <v>0</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1768</v>
      </c>
      <c r="B4" s="356"/>
      <c r="C4" s="3714" t="s">
        <v>1769</v>
      </c>
      <c r="D4" s="3715"/>
      <c r="E4" s="3716" t="s">
        <v>1770</v>
      </c>
      <c r="F4" s="3717"/>
      <c r="G4" s="3714" t="s">
        <v>1771</v>
      </c>
      <c r="H4" s="3715"/>
      <c r="I4" s="3714" t="s">
        <v>1772</v>
      </c>
      <c r="J4" s="3715"/>
      <c r="K4" s="559" t="s">
        <v>1773</v>
      </c>
      <c r="L4" s="2712"/>
      <c r="M4" s="2713"/>
      <c r="N4" s="2713"/>
      <c r="O4" s="2713"/>
      <c r="P4" s="3718" t="s">
        <v>1774</v>
      </c>
      <c r="Q4" s="3719"/>
      <c r="R4" s="3724" t="s">
        <v>1770</v>
      </c>
      <c r="S4" s="3725"/>
      <c r="T4" s="3724" t="s">
        <v>1771</v>
      </c>
      <c r="U4" s="3725"/>
      <c r="V4" s="3730" t="s">
        <v>1772</v>
      </c>
      <c r="W4" s="3730"/>
      <c r="X4" s="1956"/>
      <c r="Y4" s="3724" t="s">
        <v>1774</v>
      </c>
      <c r="Z4" s="3725"/>
      <c r="AA4" s="3744" t="s">
        <v>1770</v>
      </c>
      <c r="AB4" s="3744" t="s">
        <v>1771</v>
      </c>
      <c r="AC4" s="3711" t="s">
        <v>1772</v>
      </c>
    </row>
    <row r="5" spans="1:29" ht="15">
      <c r="A5" s="358"/>
      <c r="B5" s="359"/>
      <c r="C5" s="3740" t="s">
        <v>1672</v>
      </c>
      <c r="D5" s="3741"/>
      <c r="E5" s="3734" t="s">
        <v>3507</v>
      </c>
      <c r="F5" s="3735"/>
      <c r="G5" s="3734" t="s">
        <v>3507</v>
      </c>
      <c r="H5" s="3735"/>
      <c r="I5" s="3734" t="s">
        <v>3507</v>
      </c>
      <c r="J5" s="3735"/>
      <c r="K5" s="559"/>
      <c r="L5" s="2712"/>
      <c r="M5" s="2713"/>
      <c r="N5" s="2713"/>
      <c r="O5" s="2713"/>
      <c r="P5" s="3720"/>
      <c r="Q5" s="3721"/>
      <c r="R5" s="3726"/>
      <c r="S5" s="3727"/>
      <c r="T5" s="3726"/>
      <c r="U5" s="3727"/>
      <c r="V5" s="3731"/>
      <c r="W5" s="3731"/>
      <c r="X5" s="1353"/>
      <c r="Y5" s="3726"/>
      <c r="Z5" s="3727"/>
      <c r="AA5" s="3745"/>
      <c r="AB5" s="3745"/>
      <c r="AC5" s="3712"/>
    </row>
    <row r="6" spans="1:29" ht="15.75" thickBot="1">
      <c r="A6" s="360"/>
      <c r="B6" s="361"/>
      <c r="C6" s="3732" t="s">
        <v>1676</v>
      </c>
      <c r="D6" s="3733"/>
      <c r="E6" s="3742" t="s">
        <v>1676</v>
      </c>
      <c r="F6" s="3743"/>
      <c r="G6" s="3732" t="s">
        <v>1676</v>
      </c>
      <c r="H6" s="3733"/>
      <c r="I6" s="3732" t="s">
        <v>1676</v>
      </c>
      <c r="J6" s="3733"/>
      <c r="K6" s="559" t="s">
        <v>1677</v>
      </c>
      <c r="L6" s="2712"/>
      <c r="M6" s="2713"/>
      <c r="N6" s="2713"/>
      <c r="O6" s="2713"/>
      <c r="P6" s="3722"/>
      <c r="Q6" s="3723"/>
      <c r="R6" s="3726"/>
      <c r="S6" s="3727"/>
      <c r="T6" s="3728"/>
      <c r="U6" s="3729"/>
      <c r="V6" s="3731"/>
      <c r="W6" s="3731"/>
      <c r="X6" s="1353"/>
      <c r="Y6" s="3728"/>
      <c r="Z6" s="3729"/>
      <c r="AA6" s="3746"/>
      <c r="AB6" s="3746"/>
      <c r="AC6" s="3713"/>
    </row>
    <row r="7" spans="1:29" s="108" customFormat="1" ht="15.75" thickBot="1">
      <c r="A7" s="362" t="s">
        <v>1678</v>
      </c>
      <c r="B7" s="363"/>
      <c r="C7" s="364">
        <f>'数据-取费表'!B2</f>
        <v>45210</v>
      </c>
      <c r="D7" s="365">
        <v>100</v>
      </c>
      <c r="E7" s="366">
        <v>45047</v>
      </c>
      <c r="F7" s="367">
        <f>SUMIF(59:59,YEAR(E7)&amp;"-"&amp;MONTH(E7),60:60)</f>
        <v>0</v>
      </c>
      <c r="G7" s="366">
        <v>45047</v>
      </c>
      <c r="H7" s="365">
        <f>SUMIF(59:59,YEAR(G7)&amp;"-"&amp;MONTH(G7),60:60)</f>
        <v>0</v>
      </c>
      <c r="I7" s="366">
        <v>45047</v>
      </c>
      <c r="J7" s="365">
        <f>SUMIF(59:59,YEAR(I7)&amp;"-"&amp;MONTH(I7),60:60)</f>
        <v>0</v>
      </c>
      <c r="K7" s="560"/>
      <c r="L7" s="2714"/>
      <c r="M7" s="2715"/>
      <c r="N7" s="2715"/>
      <c r="O7" s="2715"/>
      <c r="P7" s="3736" t="s">
        <v>1679</v>
      </c>
      <c r="Q7" s="3739"/>
      <c r="R7" s="700" t="s">
        <v>14</v>
      </c>
      <c r="S7" s="701">
        <f t="shared" ref="S7:S15" si="0">F7</f>
        <v>0</v>
      </c>
      <c r="T7" s="700" t="s">
        <v>14</v>
      </c>
      <c r="U7" s="701">
        <f t="shared" ref="U7:U15" si="1">H7</f>
        <v>0</v>
      </c>
      <c r="V7" s="700" t="s">
        <v>14</v>
      </c>
      <c r="W7" s="701">
        <f t="shared" ref="W7:W15" si="2">J7</f>
        <v>0</v>
      </c>
      <c r="X7" s="702"/>
      <c r="Y7" s="3738" t="s">
        <v>1679</v>
      </c>
      <c r="Z7" s="3737"/>
      <c r="AA7" s="703" t="e">
        <f>D7/F7</f>
        <v>#DIV/0!</v>
      </c>
      <c r="AB7" s="703" t="e">
        <f>D7/H7</f>
        <v>#DIV/0!</v>
      </c>
      <c r="AC7" s="1957" t="e">
        <f>D7/J7</f>
        <v>#DIV/0!</v>
      </c>
    </row>
    <row r="8" spans="1:29" s="108" customFormat="1" ht="15.75" thickBot="1">
      <c r="A8" s="362" t="s">
        <v>1680</v>
      </c>
      <c r="B8" s="363"/>
      <c r="C8" s="368" t="s">
        <v>3508</v>
      </c>
      <c r="D8" s="365">
        <v>100</v>
      </c>
      <c r="E8" s="368" t="s">
        <v>3509</v>
      </c>
      <c r="F8" s="367">
        <f>SUMIF(62:62,E8,63:63)-SUMIF(62:62,C8,63:63)+100</f>
        <v>102</v>
      </c>
      <c r="G8" s="368" t="s">
        <v>3509</v>
      </c>
      <c r="H8" s="365">
        <f>SUMIF(62:62,G8,63:63)-SUMIF(62:62,C8,63:63)+100</f>
        <v>102</v>
      </c>
      <c r="I8" s="368" t="s">
        <v>3509</v>
      </c>
      <c r="J8" s="365">
        <f>SUMIF(62:62,I8,63:63)-SUMIF(62:62,C8,63:63)+100</f>
        <v>102</v>
      </c>
      <c r="K8" s="560"/>
      <c r="L8" s="2714"/>
      <c r="M8" s="2715"/>
      <c r="N8" s="2715"/>
      <c r="O8" s="2715"/>
      <c r="P8" s="3736" t="s">
        <v>1682</v>
      </c>
      <c r="Q8" s="3737"/>
      <c r="R8" s="700" t="s">
        <v>14</v>
      </c>
      <c r="S8" s="701">
        <f t="shared" si="0"/>
        <v>102</v>
      </c>
      <c r="T8" s="700" t="s">
        <v>14</v>
      </c>
      <c r="U8" s="701">
        <f t="shared" si="1"/>
        <v>102</v>
      </c>
      <c r="V8" s="700" t="s">
        <v>14</v>
      </c>
      <c r="W8" s="701">
        <f t="shared" si="2"/>
        <v>102</v>
      </c>
      <c r="X8" s="702"/>
      <c r="Y8" s="3738" t="s">
        <v>1682</v>
      </c>
      <c r="Z8" s="3737"/>
      <c r="AA8" s="703">
        <f t="shared" ref="AA8:AA47" si="3">D8/F8</f>
        <v>0.98039215686274506</v>
      </c>
      <c r="AB8" s="703">
        <f t="shared" ref="AB8:AB47" si="4">D8/H8</f>
        <v>0.98039215686274506</v>
      </c>
      <c r="AC8" s="1957">
        <f t="shared" ref="AC8:AC47" si="5">D8/J8</f>
        <v>0.98039215686274506</v>
      </c>
    </row>
    <row r="9" spans="1:29" s="108" customFormat="1">
      <c r="A9" s="369" t="s">
        <v>1683</v>
      </c>
      <c r="B9" s="63" t="s">
        <v>1684</v>
      </c>
      <c r="C9" s="3467" t="s">
        <v>3513</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96" t="s">
        <v>1685</v>
      </c>
      <c r="Q9" s="1341" t="str">
        <f t="shared" ref="Q9:Q15" si="6">B9</f>
        <v>用途</v>
      </c>
      <c r="R9" s="700" t="s">
        <v>14</v>
      </c>
      <c r="S9" s="701">
        <f t="shared" si="0"/>
        <v>100</v>
      </c>
      <c r="T9" s="700" t="s">
        <v>14</v>
      </c>
      <c r="U9" s="701">
        <f t="shared" si="1"/>
        <v>100</v>
      </c>
      <c r="V9" s="700" t="s">
        <v>14</v>
      </c>
      <c r="W9" s="701">
        <f t="shared" si="2"/>
        <v>100</v>
      </c>
      <c r="X9" s="702"/>
      <c r="Y9" s="3595" t="s">
        <v>1686</v>
      </c>
      <c r="Z9" s="52" t="str">
        <f t="shared" ref="Z9:Z15" si="7">Q9</f>
        <v>用途</v>
      </c>
      <c r="AA9" s="703">
        <f t="shared" si="3"/>
        <v>1</v>
      </c>
      <c r="AB9" s="703">
        <f t="shared" si="4"/>
        <v>1</v>
      </c>
      <c r="AC9" s="1957">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6"/>
      <c r="Q10" s="1341"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6"/>
      <c r="Q11" s="1341" t="str">
        <f t="shared" si="6"/>
        <v>容积率</v>
      </c>
      <c r="R11" s="700" t="s">
        <v>14</v>
      </c>
      <c r="S11" s="701">
        <f t="shared" si="0"/>
        <v>100</v>
      </c>
      <c r="T11" s="700" t="s">
        <v>14</v>
      </c>
      <c r="U11" s="701">
        <f t="shared" si="1"/>
        <v>100</v>
      </c>
      <c r="V11" s="700" t="s">
        <v>14</v>
      </c>
      <c r="W11" s="701">
        <f t="shared" si="2"/>
        <v>100</v>
      </c>
      <c r="X11" s="702"/>
      <c r="Y11" s="3595"/>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96"/>
      <c r="Q12" s="1341">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96"/>
      <c r="Q13" s="1341">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696"/>
      <c r="Q14" s="1341">
        <f t="shared" si="6"/>
        <v>111</v>
      </c>
      <c r="R14" s="700" t="s">
        <v>14</v>
      </c>
      <c r="S14" s="701">
        <f t="shared" si="0"/>
        <v>100</v>
      </c>
      <c r="T14" s="700" t="s">
        <v>14</v>
      </c>
      <c r="U14" s="701">
        <f t="shared" si="1"/>
        <v>100</v>
      </c>
      <c r="V14" s="700" t="s">
        <v>14</v>
      </c>
      <c r="W14" s="701">
        <f t="shared" si="2"/>
        <v>100</v>
      </c>
      <c r="X14" s="702"/>
      <c r="Y14" s="3595"/>
      <c r="Z14" s="52">
        <f t="shared" si="7"/>
        <v>111</v>
      </c>
      <c r="AA14" s="703">
        <f t="shared" si="3"/>
        <v>1</v>
      </c>
      <c r="AB14" s="703">
        <f t="shared" si="4"/>
        <v>1</v>
      </c>
      <c r="AC14" s="1957">
        <f t="shared" si="5"/>
        <v>1</v>
      </c>
    </row>
    <row r="15" spans="1:29" ht="71.25" customHeight="1">
      <c r="A15" s="391" t="s">
        <v>1689</v>
      </c>
      <c r="B15" s="576" t="s">
        <v>1810</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702" t="s">
        <v>1690</v>
      </c>
      <c r="Q15" s="1350" t="str">
        <f t="shared" si="6"/>
        <v>办公集聚程度</v>
      </c>
      <c r="R15" s="704" t="s">
        <v>14</v>
      </c>
      <c r="S15" s="705">
        <f t="shared" si="0"/>
        <v>100</v>
      </c>
      <c r="T15" s="704" t="s">
        <v>14</v>
      </c>
      <c r="U15" s="705">
        <f t="shared" si="1"/>
        <v>100</v>
      </c>
      <c r="V15" s="704" t="s">
        <v>14</v>
      </c>
      <c r="W15" s="705">
        <f t="shared" si="2"/>
        <v>100</v>
      </c>
      <c r="X15" s="1353"/>
      <c r="Y15" s="3704" t="s">
        <v>1690</v>
      </c>
      <c r="Z15" s="1354" t="str">
        <f t="shared" si="7"/>
        <v>办公集聚程度</v>
      </c>
      <c r="AA15" s="1351">
        <f t="shared" si="3"/>
        <v>1</v>
      </c>
      <c r="AB15" s="1351">
        <f t="shared" si="4"/>
        <v>1</v>
      </c>
      <c r="AC15" s="1960">
        <f t="shared" si="5"/>
        <v>1</v>
      </c>
    </row>
    <row r="16" spans="1:29" ht="15">
      <c r="A16" s="379"/>
      <c r="B16" s="577"/>
      <c r="C16" s="1902" t="s">
        <v>3514</v>
      </c>
      <c r="D16" s="399"/>
      <c r="E16" s="1902" t="s">
        <v>3514</v>
      </c>
      <c r="F16" s="399"/>
      <c r="G16" s="1902" t="s">
        <v>3514</v>
      </c>
      <c r="H16" s="401"/>
      <c r="I16" s="1902" t="s">
        <v>3514</v>
      </c>
      <c r="J16" s="399"/>
      <c r="K16" s="564"/>
      <c r="L16" s="2719"/>
      <c r="M16" s="2713"/>
      <c r="N16" s="2713"/>
      <c r="O16" s="2713"/>
      <c r="P16" s="3703"/>
      <c r="Q16" s="1350"/>
      <c r="R16" s="704"/>
      <c r="S16" s="705"/>
      <c r="T16" s="704"/>
      <c r="U16" s="705"/>
      <c r="V16" s="704"/>
      <c r="W16" s="705"/>
      <c r="X16" s="1353"/>
      <c r="Y16" s="3705"/>
      <c r="Z16" s="1354"/>
      <c r="AA16" s="1351">
        <v>1</v>
      </c>
      <c r="AB16" s="1351">
        <v>1</v>
      </c>
      <c r="AC16" s="1960">
        <v>1</v>
      </c>
    </row>
    <row r="17" spans="1:29" ht="92.25" customHeight="1">
      <c r="A17" s="379"/>
      <c r="B17" s="578" t="s">
        <v>1258</v>
      </c>
      <c r="C17" s="1961" t="str">
        <f>估价对象房地状况!C6</f>
        <v>估价对象周边道路状况较好、有300、368、652路等公交线路及地铁10号线经过，公共交通通达情况较好、停车便捷程度一般，综合评价交通便捷度较好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03"/>
      <c r="Q17" s="1350" t="str">
        <f>B17</f>
        <v>交通便捷度</v>
      </c>
      <c r="R17" s="704" t="s">
        <v>14</v>
      </c>
      <c r="S17" s="705">
        <f>F17</f>
        <v>100</v>
      </c>
      <c r="T17" s="704" t="s">
        <v>14</v>
      </c>
      <c r="U17" s="705">
        <f>H17</f>
        <v>100</v>
      </c>
      <c r="V17" s="704" t="s">
        <v>14</v>
      </c>
      <c r="W17" s="705">
        <f>J17</f>
        <v>100</v>
      </c>
      <c r="X17" s="1353"/>
      <c r="Y17" s="3705"/>
      <c r="Z17" s="1354" t="str">
        <f>Q17</f>
        <v>交通便捷度</v>
      </c>
      <c r="AA17" s="1351">
        <f t="shared" si="3"/>
        <v>1</v>
      </c>
      <c r="AB17" s="1351">
        <f t="shared" si="4"/>
        <v>1</v>
      </c>
      <c r="AC17" s="1960">
        <f t="shared" si="5"/>
        <v>1</v>
      </c>
    </row>
    <row r="18" spans="1:29" ht="15">
      <c r="A18" s="379"/>
      <c r="B18" s="579"/>
      <c r="C18" s="1962" t="s">
        <v>3514</v>
      </c>
      <c r="D18" s="401"/>
      <c r="E18" s="1962" t="s">
        <v>3514</v>
      </c>
      <c r="F18" s="401"/>
      <c r="G18" s="1962" t="s">
        <v>3514</v>
      </c>
      <c r="H18" s="399"/>
      <c r="I18" s="1962" t="s">
        <v>3514</v>
      </c>
      <c r="J18" s="399"/>
      <c r="K18" s="564"/>
      <c r="L18" s="2719"/>
      <c r="M18" s="2713"/>
      <c r="N18" s="2713"/>
      <c r="O18" s="2713"/>
      <c r="P18" s="3703"/>
      <c r="Q18" s="1350"/>
      <c r="R18" s="704"/>
      <c r="S18" s="705"/>
      <c r="T18" s="704"/>
      <c r="U18" s="705"/>
      <c r="V18" s="704"/>
      <c r="W18" s="705"/>
      <c r="X18" s="1353"/>
      <c r="Y18" s="3705"/>
      <c r="Z18" s="1354"/>
      <c r="AA18" s="1351">
        <v>1</v>
      </c>
      <c r="AB18" s="1351">
        <v>1</v>
      </c>
      <c r="AC18" s="1960">
        <v>1</v>
      </c>
    </row>
    <row r="19" spans="1:29" ht="28.5">
      <c r="A19" s="379"/>
      <c r="B19" s="578" t="s">
        <v>1811</v>
      </c>
      <c r="C19" s="1961"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03"/>
      <c r="Q19" s="1350" t="str">
        <f>B19</f>
        <v>公共配套设施</v>
      </c>
      <c r="R19" s="704" t="s">
        <v>14</v>
      </c>
      <c r="S19" s="705">
        <f>F19</f>
        <v>100</v>
      </c>
      <c r="T19" s="704" t="s">
        <v>14</v>
      </c>
      <c r="U19" s="705">
        <f>H19</f>
        <v>100</v>
      </c>
      <c r="V19" s="704" t="s">
        <v>14</v>
      </c>
      <c r="W19" s="705">
        <f>J19</f>
        <v>100</v>
      </c>
      <c r="X19" s="1353"/>
      <c r="Y19" s="3705"/>
      <c r="Z19" s="1354" t="str">
        <f>Q19</f>
        <v>公共配套设施</v>
      </c>
      <c r="AA19" s="1351">
        <f t="shared" si="3"/>
        <v>1</v>
      </c>
      <c r="AB19" s="1351">
        <f t="shared" si="4"/>
        <v>1</v>
      </c>
      <c r="AC19" s="1960">
        <f t="shared" si="5"/>
        <v>1</v>
      </c>
    </row>
    <row r="20" spans="1:29" ht="15">
      <c r="A20" s="379"/>
      <c r="B20" s="579"/>
      <c r="C20" s="1902" t="s">
        <v>3514</v>
      </c>
      <c r="D20" s="399"/>
      <c r="E20" s="1902" t="s">
        <v>3514</v>
      </c>
      <c r="F20" s="399"/>
      <c r="G20" s="1902" t="s">
        <v>3514</v>
      </c>
      <c r="H20" s="399"/>
      <c r="I20" s="1902" t="s">
        <v>3514</v>
      </c>
      <c r="J20" s="399"/>
      <c r="K20" s="564"/>
      <c r="L20" s="2719"/>
      <c r="M20" s="2713"/>
      <c r="N20" s="2713"/>
      <c r="O20" s="2713"/>
      <c r="P20" s="3703"/>
      <c r="Q20" s="1350"/>
      <c r="R20" s="704"/>
      <c r="S20" s="705"/>
      <c r="T20" s="704"/>
      <c r="U20" s="705"/>
      <c r="V20" s="704"/>
      <c r="W20" s="705"/>
      <c r="X20" s="1353"/>
      <c r="Y20" s="3705"/>
      <c r="Z20" s="1354"/>
      <c r="AA20" s="1351">
        <v>1</v>
      </c>
      <c r="AB20" s="1351">
        <v>1</v>
      </c>
      <c r="AC20" s="1960">
        <v>1</v>
      </c>
    </row>
    <row r="21" spans="1:29" ht="28.5">
      <c r="A21" s="379"/>
      <c r="B21" s="580" t="s">
        <v>1812</v>
      </c>
      <c r="C21" s="1961"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03"/>
      <c r="Q21" s="1350" t="str">
        <f>B21</f>
        <v>基础设施水平</v>
      </c>
      <c r="R21" s="704" t="s">
        <v>14</v>
      </c>
      <c r="S21" s="705">
        <f>F21</f>
        <v>100</v>
      </c>
      <c r="T21" s="704" t="s">
        <v>14</v>
      </c>
      <c r="U21" s="705">
        <f>H21</f>
        <v>100</v>
      </c>
      <c r="V21" s="704" t="s">
        <v>14</v>
      </c>
      <c r="W21" s="705">
        <f>J21</f>
        <v>100</v>
      </c>
      <c r="X21" s="1353"/>
      <c r="Y21" s="3705"/>
      <c r="Z21" s="1354" t="str">
        <f>Q21</f>
        <v>基础设施水平</v>
      </c>
      <c r="AA21" s="1351">
        <f t="shared" ref="AA21" si="8">D21/F21</f>
        <v>1</v>
      </c>
      <c r="AB21" s="1351">
        <f t="shared" ref="AB21" si="9">D21/H21</f>
        <v>1</v>
      </c>
      <c r="AC21" s="1960">
        <f t="shared" ref="AC21" si="10">D21/J21</f>
        <v>1</v>
      </c>
    </row>
    <row r="22" spans="1:29" ht="15">
      <c r="A22" s="379"/>
      <c r="B22" s="580"/>
      <c r="C22" s="1962" t="s">
        <v>3515</v>
      </c>
      <c r="D22" s="399"/>
      <c r="E22" s="1962" t="s">
        <v>3515</v>
      </c>
      <c r="F22" s="399"/>
      <c r="G22" s="1962" t="s">
        <v>3515</v>
      </c>
      <c r="H22" s="399"/>
      <c r="I22" s="1962" t="s">
        <v>3515</v>
      </c>
      <c r="J22" s="399"/>
      <c r="K22" s="1129"/>
      <c r="L22" s="2719"/>
      <c r="M22" s="2713"/>
      <c r="N22" s="2713"/>
      <c r="O22" s="2713"/>
      <c r="P22" s="3703"/>
      <c r="Q22" s="1350"/>
      <c r="R22" s="704"/>
      <c r="S22" s="705"/>
      <c r="T22" s="704"/>
      <c r="U22" s="705"/>
      <c r="V22" s="704"/>
      <c r="W22" s="705"/>
      <c r="X22" s="1353"/>
      <c r="Y22" s="3705"/>
      <c r="Z22" s="1354"/>
      <c r="AA22" s="1351">
        <v>1</v>
      </c>
      <c r="AB22" s="1351">
        <v>1</v>
      </c>
      <c r="AC22" s="1960">
        <v>1</v>
      </c>
    </row>
    <row r="23" spans="1:29" ht="75.75" customHeight="1">
      <c r="A23" s="379"/>
      <c r="B23" s="578" t="s">
        <v>1813</v>
      </c>
      <c r="C23" s="1961" t="str">
        <f>估价对象房地状况!C9</f>
        <v>区域自然环境：北京动物园、官园公园；人文环境：北京天文馆、北京建筑大学；综合评价环境状况邮编</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703"/>
      <c r="Q23" s="1350" t="str">
        <f>B23</f>
        <v>环境质量</v>
      </c>
      <c r="R23" s="704" t="s">
        <v>14</v>
      </c>
      <c r="S23" s="705">
        <f>F23</f>
        <v>100</v>
      </c>
      <c r="T23" s="704" t="s">
        <v>14</v>
      </c>
      <c r="U23" s="705">
        <f>H23</f>
        <v>100</v>
      </c>
      <c r="V23" s="704" t="s">
        <v>14</v>
      </c>
      <c r="W23" s="705">
        <f>J23</f>
        <v>100</v>
      </c>
      <c r="X23" s="1353"/>
      <c r="Y23" s="3705"/>
      <c r="Z23" s="1354" t="str">
        <f>Q23</f>
        <v>环境质量</v>
      </c>
      <c r="AA23" s="1351">
        <f t="shared" si="3"/>
        <v>1</v>
      </c>
      <c r="AB23" s="1351">
        <f t="shared" si="4"/>
        <v>1</v>
      </c>
      <c r="AC23" s="1960">
        <f t="shared" si="5"/>
        <v>1</v>
      </c>
    </row>
    <row r="24" spans="1:29" ht="15">
      <c r="A24" s="379"/>
      <c r="B24" s="580"/>
      <c r="C24" s="1902" t="s">
        <v>3514</v>
      </c>
      <c r="D24" s="399"/>
      <c r="E24" s="1902" t="s">
        <v>3514</v>
      </c>
      <c r="F24" s="399"/>
      <c r="G24" s="1902" t="s">
        <v>3514</v>
      </c>
      <c r="H24" s="399"/>
      <c r="I24" s="1902" t="s">
        <v>3514</v>
      </c>
      <c r="J24" s="399"/>
      <c r="K24" s="564"/>
      <c r="L24" s="2719"/>
      <c r="M24" s="2713"/>
      <c r="N24" s="2713"/>
      <c r="O24" s="2713"/>
      <c r="P24" s="3703"/>
      <c r="Q24" s="1350"/>
      <c r="R24" s="704"/>
      <c r="S24" s="705"/>
      <c r="T24" s="704"/>
      <c r="U24" s="705"/>
      <c r="V24" s="704"/>
      <c r="W24" s="705"/>
      <c r="X24" s="1353"/>
      <c r="Y24" s="3705"/>
      <c r="Z24" s="1354"/>
      <c r="AA24" s="1351">
        <v>1</v>
      </c>
      <c r="AB24" s="1351">
        <v>1</v>
      </c>
      <c r="AC24" s="1960">
        <v>1</v>
      </c>
    </row>
    <row r="25" spans="1:29" ht="27">
      <c r="A25" s="358"/>
      <c r="B25" s="578" t="s">
        <v>1814</v>
      </c>
      <c r="C25" s="3468" t="s">
        <v>3516</v>
      </c>
      <c r="D25" s="386">
        <v>100</v>
      </c>
      <c r="E25" s="3468" t="s">
        <v>3517</v>
      </c>
      <c r="F25" s="386">
        <f>SUMIF(87:87,E26,88:88)-SUMIF(87:87,C26,88:88)+100</f>
        <v>100</v>
      </c>
      <c r="G25" s="3468" t="s">
        <v>3518</v>
      </c>
      <c r="H25" s="386">
        <f>SUMIF(87:87,G26,88:88)-SUMIF(87:87,C26,88:88)+100</f>
        <v>100</v>
      </c>
      <c r="I25" s="3468" t="s">
        <v>3517</v>
      </c>
      <c r="J25" s="386">
        <f>SUMIF(87:87,I26,88:88)-SUMIF(87:87,C26,88:88)+100</f>
        <v>100</v>
      </c>
      <c r="K25" s="563">
        <v>2</v>
      </c>
      <c r="L25" s="2719"/>
      <c r="M25" s="2713"/>
      <c r="N25" s="2713"/>
      <c r="O25" s="2713"/>
      <c r="P25" s="3703"/>
      <c r="Q25" s="1350" t="str">
        <f>B25</f>
        <v>毗邻道路的类型与等级</v>
      </c>
      <c r="R25" s="704" t="s">
        <v>14</v>
      </c>
      <c r="S25" s="705">
        <f>F25</f>
        <v>100</v>
      </c>
      <c r="T25" s="704" t="s">
        <v>14</v>
      </c>
      <c r="U25" s="705">
        <f>H25</f>
        <v>100</v>
      </c>
      <c r="V25" s="704" t="s">
        <v>14</v>
      </c>
      <c r="W25" s="705">
        <f>J25</f>
        <v>100</v>
      </c>
      <c r="X25" s="1353"/>
      <c r="Y25" s="3705"/>
      <c r="Z25" s="1354" t="str">
        <f>Q25</f>
        <v>毗邻道路的类型与等级</v>
      </c>
      <c r="AA25" s="1351">
        <f t="shared" si="3"/>
        <v>1</v>
      </c>
      <c r="AB25" s="1351">
        <f t="shared" si="4"/>
        <v>1</v>
      </c>
      <c r="AC25" s="1960">
        <f t="shared" si="5"/>
        <v>1</v>
      </c>
    </row>
    <row r="26" spans="1:29" ht="15">
      <c r="A26" s="358"/>
      <c r="B26" s="579"/>
      <c r="C26" s="581" t="s">
        <v>3527</v>
      </c>
      <c r="D26" s="386"/>
      <c r="E26" s="581" t="s">
        <v>3527</v>
      </c>
      <c r="F26" s="386"/>
      <c r="G26" s="581" t="s">
        <v>3527</v>
      </c>
      <c r="H26" s="386"/>
      <c r="I26" s="581" t="s">
        <v>3527</v>
      </c>
      <c r="J26" s="386"/>
      <c r="K26" s="564"/>
      <c r="L26" s="2719"/>
      <c r="M26" s="2713"/>
      <c r="N26" s="2713"/>
      <c r="O26" s="2713"/>
      <c r="P26" s="3703"/>
      <c r="Q26" s="1350"/>
      <c r="R26" s="704"/>
      <c r="S26" s="705"/>
      <c r="T26" s="704"/>
      <c r="U26" s="705"/>
      <c r="V26" s="704"/>
      <c r="W26" s="705"/>
      <c r="X26" s="1353"/>
      <c r="Y26" s="3705"/>
      <c r="Z26" s="1354"/>
      <c r="AA26" s="1351">
        <v>1</v>
      </c>
      <c r="AB26" s="1351">
        <v>1</v>
      </c>
      <c r="AC26" s="1960">
        <v>1</v>
      </c>
    </row>
    <row r="27" spans="1:29" ht="15">
      <c r="A27" s="379"/>
      <c r="B27" s="579" t="s">
        <v>1782</v>
      </c>
      <c r="C27" s="581" t="s">
        <v>3528</v>
      </c>
      <c r="D27" s="386">
        <v>100</v>
      </c>
      <c r="E27" s="565" t="s">
        <v>3580</v>
      </c>
      <c r="F27" s="386">
        <f>SUMIF(89:89,E27,90:90)-SUMIF(89:89,C27,90:90)+100</f>
        <v>102</v>
      </c>
      <c r="G27" s="581" t="s">
        <v>3528</v>
      </c>
      <c r="H27" s="386">
        <f>SUMIF(89:89,G27,90:90)-SUMIF(89:89,C27,90:90)+100</f>
        <v>100</v>
      </c>
      <c r="I27" s="565" t="s">
        <v>3580</v>
      </c>
      <c r="J27" s="386">
        <f>SUMIF(89:89,I27,90:90)-SUMIF(89:89,C27,90:90)+100</f>
        <v>102</v>
      </c>
      <c r="K27" s="561">
        <v>2</v>
      </c>
      <c r="L27" s="2719"/>
      <c r="M27" s="2713"/>
      <c r="N27" s="2713"/>
      <c r="O27" s="2713"/>
      <c r="P27" s="3703"/>
      <c r="Q27" s="1350" t="str">
        <f t="shared" ref="Q27:Q47" si="11">B27</f>
        <v>楼层</v>
      </c>
      <c r="R27" s="704" t="s">
        <v>14</v>
      </c>
      <c r="S27" s="705">
        <f>F27</f>
        <v>102</v>
      </c>
      <c r="T27" s="704" t="s">
        <v>14</v>
      </c>
      <c r="U27" s="705">
        <f>H27</f>
        <v>100</v>
      </c>
      <c r="V27" s="704" t="s">
        <v>14</v>
      </c>
      <c r="W27" s="705">
        <f>J27</f>
        <v>102</v>
      </c>
      <c r="X27" s="1353"/>
      <c r="Y27" s="3705"/>
      <c r="Z27" s="1354" t="str">
        <f>Q27</f>
        <v>楼层</v>
      </c>
      <c r="AA27" s="1351">
        <f t="shared" si="3"/>
        <v>0.98039215686274506</v>
      </c>
      <c r="AB27" s="1351">
        <f t="shared" si="4"/>
        <v>1</v>
      </c>
      <c r="AC27" s="1960">
        <f t="shared" si="5"/>
        <v>0.98039215686274506</v>
      </c>
    </row>
    <row r="28" spans="1:29" s="108" customFormat="1" ht="15">
      <c r="A28" s="382"/>
      <c r="B28" s="578"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03"/>
      <c r="Q28" s="1341" t="str">
        <f t="shared" si="11"/>
        <v>朝向</v>
      </c>
      <c r="R28" s="700" t="s">
        <v>14</v>
      </c>
      <c r="S28" s="701">
        <f>F28</f>
        <v>100</v>
      </c>
      <c r="T28" s="700" t="s">
        <v>14</v>
      </c>
      <c r="U28" s="701">
        <f>H28</f>
        <v>100</v>
      </c>
      <c r="V28" s="700" t="s">
        <v>14</v>
      </c>
      <c r="W28" s="701">
        <f>J28</f>
        <v>100</v>
      </c>
      <c r="X28" s="702"/>
      <c r="Y28" s="370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03"/>
      <c r="Q29" s="1350">
        <f t="shared" si="11"/>
        <v>111</v>
      </c>
      <c r="R29" s="704" t="s">
        <v>14</v>
      </c>
      <c r="S29" s="705">
        <f t="shared" ref="S29:S47" si="12">F29</f>
        <v>100</v>
      </c>
      <c r="T29" s="704" t="s">
        <v>14</v>
      </c>
      <c r="U29" s="705">
        <f t="shared" ref="U29:U47" si="13">H29</f>
        <v>100</v>
      </c>
      <c r="V29" s="704" t="s">
        <v>14</v>
      </c>
      <c r="W29" s="705">
        <f t="shared" ref="W29:W47" si="14">J29</f>
        <v>100</v>
      </c>
      <c r="X29" s="1353"/>
      <c r="Y29" s="370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03"/>
      <c r="Q30" s="1350">
        <f t="shared" si="11"/>
        <v>111</v>
      </c>
      <c r="R30" s="704" t="s">
        <v>14</v>
      </c>
      <c r="S30" s="705">
        <f t="shared" si="12"/>
        <v>100</v>
      </c>
      <c r="T30" s="704" t="s">
        <v>14</v>
      </c>
      <c r="U30" s="705">
        <f t="shared" si="13"/>
        <v>100</v>
      </c>
      <c r="V30" s="704" t="s">
        <v>14</v>
      </c>
      <c r="W30" s="705">
        <f t="shared" si="14"/>
        <v>100</v>
      </c>
      <c r="X30" s="1353"/>
      <c r="Y30" s="370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03"/>
      <c r="Q31" s="1350">
        <f t="shared" si="11"/>
        <v>111</v>
      </c>
      <c r="R31" s="704" t="s">
        <v>14</v>
      </c>
      <c r="S31" s="705">
        <f t="shared" si="12"/>
        <v>100</v>
      </c>
      <c r="T31" s="704" t="s">
        <v>14</v>
      </c>
      <c r="U31" s="705">
        <f t="shared" si="13"/>
        <v>100</v>
      </c>
      <c r="V31" s="704" t="s">
        <v>14</v>
      </c>
      <c r="W31" s="705">
        <f t="shared" si="14"/>
        <v>100</v>
      </c>
      <c r="X31" s="1353"/>
      <c r="Y31" s="3705"/>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03"/>
      <c r="Q32" s="1350">
        <f t="shared" si="11"/>
        <v>111</v>
      </c>
      <c r="R32" s="704" t="s">
        <v>14</v>
      </c>
      <c r="S32" s="705">
        <f t="shared" si="12"/>
        <v>100</v>
      </c>
      <c r="T32" s="704" t="s">
        <v>14</v>
      </c>
      <c r="U32" s="705">
        <f t="shared" si="13"/>
        <v>100</v>
      </c>
      <c r="V32" s="704" t="s">
        <v>14</v>
      </c>
      <c r="W32" s="705">
        <f t="shared" si="14"/>
        <v>100</v>
      </c>
      <c r="X32" s="1353"/>
      <c r="Y32" s="3705"/>
      <c r="Z32" s="1354">
        <f t="shared" si="15"/>
        <v>111</v>
      </c>
      <c r="AA32" s="1351">
        <f t="shared" si="3"/>
        <v>1</v>
      </c>
      <c r="AB32" s="1351">
        <f t="shared" si="4"/>
        <v>1</v>
      </c>
      <c r="AC32" s="1960">
        <f t="shared" si="5"/>
        <v>1</v>
      </c>
    </row>
    <row r="33" spans="1:29" ht="15">
      <c r="A33" s="391" t="s">
        <v>1693</v>
      </c>
      <c r="B33" s="63" t="s">
        <v>1816</v>
      </c>
      <c r="C33" s="1965" t="s">
        <v>3566</v>
      </c>
      <c r="D33" s="418">
        <v>100</v>
      </c>
      <c r="E33" s="1965" t="s">
        <v>3566</v>
      </c>
      <c r="F33" s="412">
        <f>SUMIF(101:101,E33,102:102)-SUMIF(101:101,C33,102:102)+100</f>
        <v>100</v>
      </c>
      <c r="G33" s="1965" t="s">
        <v>3566</v>
      </c>
      <c r="H33" s="386">
        <f>SUMIF(101:101,G33,102:102)-SUMIF(101:101,C33,102:102)+100</f>
        <v>100</v>
      </c>
      <c r="I33" s="1965" t="s">
        <v>3566</v>
      </c>
      <c r="J33" s="418">
        <f>SUMIF(101:101,I33,102:102)-SUMIF(101:101,C33,102:102)+100</f>
        <v>100</v>
      </c>
      <c r="K33" s="561">
        <v>3</v>
      </c>
      <c r="L33" s="2719"/>
      <c r="M33" s="2713"/>
      <c r="N33" s="2713"/>
      <c r="O33" s="2713"/>
      <c r="P33" s="3706" t="s">
        <v>1695</v>
      </c>
      <c r="Q33" s="1350" t="str">
        <f t="shared" si="11"/>
        <v>建筑类型</v>
      </c>
      <c r="R33" s="704" t="s">
        <v>14</v>
      </c>
      <c r="S33" s="705">
        <f t="shared" si="12"/>
        <v>100</v>
      </c>
      <c r="T33" s="704" t="s">
        <v>14</v>
      </c>
      <c r="U33" s="705">
        <f t="shared" si="13"/>
        <v>100</v>
      </c>
      <c r="V33" s="704" t="s">
        <v>14</v>
      </c>
      <c r="W33" s="705">
        <f t="shared" si="14"/>
        <v>100</v>
      </c>
      <c r="X33" s="1353"/>
      <c r="Y33" s="3709" t="s">
        <v>1695</v>
      </c>
      <c r="Z33" s="1354" t="str">
        <f t="shared" si="15"/>
        <v>建筑类型</v>
      </c>
      <c r="AA33" s="1351">
        <f t="shared" si="3"/>
        <v>1</v>
      </c>
      <c r="AB33" s="1351">
        <f t="shared" si="4"/>
        <v>1</v>
      </c>
      <c r="AC33" s="1960">
        <f t="shared" si="5"/>
        <v>1</v>
      </c>
    </row>
    <row r="34" spans="1:29" s="422" customFormat="1" ht="15">
      <c r="A34" s="419"/>
      <c r="B34" s="375" t="s">
        <v>1696</v>
      </c>
      <c r="C34" s="420">
        <f>'数据-汇总表'!F19</f>
        <v>125.74</v>
      </c>
      <c r="D34" s="127">
        <v>100</v>
      </c>
      <c r="E34" s="381">
        <v>109.06</v>
      </c>
      <c r="F34" s="376">
        <f>LOOKUP(E34,104:104,105:105)-LOOKUP(C34,104:104,105:105)+100</f>
        <v>100</v>
      </c>
      <c r="G34" s="380">
        <v>85</v>
      </c>
      <c r="H34" s="127">
        <f>LOOKUP(G34,104:104,105:105)-LOOKUP(C34,104:104,105:105)+100</f>
        <v>99</v>
      </c>
      <c r="I34" s="380">
        <v>108.47</v>
      </c>
      <c r="J34" s="127">
        <f>LOOKUP(I34,104:104,105:105)-LOOKUP(C34,104:104,105:105)+100</f>
        <v>100</v>
      </c>
      <c r="K34" s="562"/>
      <c r="L34" s="2718"/>
      <c r="M34" s="2720"/>
      <c r="N34" s="2720"/>
      <c r="O34" s="2720"/>
      <c r="P34" s="3707"/>
      <c r="Q34" s="706" t="str">
        <f t="shared" si="11"/>
        <v>项目建筑规模</v>
      </c>
      <c r="R34" s="707" t="s">
        <v>14</v>
      </c>
      <c r="S34" s="708">
        <f t="shared" si="12"/>
        <v>100</v>
      </c>
      <c r="T34" s="707" t="s">
        <v>14</v>
      </c>
      <c r="U34" s="708">
        <f t="shared" si="13"/>
        <v>99</v>
      </c>
      <c r="V34" s="707" t="s">
        <v>14</v>
      </c>
      <c r="W34" s="708">
        <f t="shared" si="14"/>
        <v>100</v>
      </c>
      <c r="X34" s="709"/>
      <c r="Y34" s="3709"/>
      <c r="Z34" s="710" t="str">
        <f t="shared" si="15"/>
        <v>项目建筑规模</v>
      </c>
      <c r="AA34" s="1351">
        <f t="shared" si="3"/>
        <v>1</v>
      </c>
      <c r="AB34" s="1351">
        <f t="shared" si="4"/>
        <v>1.0101010101010102</v>
      </c>
      <c r="AC34" s="1960">
        <f t="shared" si="5"/>
        <v>1</v>
      </c>
    </row>
    <row r="35" spans="1:29" ht="15">
      <c r="A35" s="423"/>
      <c r="B35" s="375" t="s">
        <v>1697</v>
      </c>
      <c r="C35" s="411" t="s">
        <v>3567</v>
      </c>
      <c r="D35" s="386">
        <v>100</v>
      </c>
      <c r="E35" s="411" t="s">
        <v>3567</v>
      </c>
      <c r="F35" s="412">
        <f>SUMIF(106:106,E35,107:107)-SUMIF(106:106,C35,107:107)+100</f>
        <v>100</v>
      </c>
      <c r="G35" s="411" t="s">
        <v>3567</v>
      </c>
      <c r="H35" s="386">
        <f>SUMIF(106:106,G35,107:107)-SUMIF(106:106,C35,107:107)+100</f>
        <v>100</v>
      </c>
      <c r="I35" s="411" t="s">
        <v>3567</v>
      </c>
      <c r="J35" s="386">
        <f>SUMIF(106:106,I35,107:107)-SUMIF(106:106,C35,107:107)+100</f>
        <v>100</v>
      </c>
      <c r="K35" s="561">
        <v>2</v>
      </c>
      <c r="L35" s="2719"/>
      <c r="M35" s="2713"/>
      <c r="N35" s="2713"/>
      <c r="O35" s="2713"/>
      <c r="P35" s="3707"/>
      <c r="Q35" s="1350" t="str">
        <f t="shared" si="11"/>
        <v>建筑结构</v>
      </c>
      <c r="R35" s="704" t="s">
        <v>14</v>
      </c>
      <c r="S35" s="705">
        <f t="shared" si="12"/>
        <v>100</v>
      </c>
      <c r="T35" s="704" t="s">
        <v>14</v>
      </c>
      <c r="U35" s="705">
        <f t="shared" si="13"/>
        <v>100</v>
      </c>
      <c r="V35" s="704" t="s">
        <v>14</v>
      </c>
      <c r="W35" s="705">
        <f t="shared" si="14"/>
        <v>100</v>
      </c>
      <c r="X35" s="1353"/>
      <c r="Y35" s="3709"/>
      <c r="Z35" s="1354" t="str">
        <f t="shared" si="15"/>
        <v>建筑结构</v>
      </c>
      <c r="AA35" s="1351">
        <f t="shared" si="3"/>
        <v>1</v>
      </c>
      <c r="AB35" s="1351">
        <f t="shared" si="4"/>
        <v>1</v>
      </c>
      <c r="AC35" s="1960">
        <f t="shared" si="5"/>
        <v>1</v>
      </c>
    </row>
    <row r="36" spans="1:29" ht="15">
      <c r="A36" s="423"/>
      <c r="B36" s="375" t="s">
        <v>1784</v>
      </c>
      <c r="C36" s="411" t="s">
        <v>3568</v>
      </c>
      <c r="D36" s="386">
        <v>100</v>
      </c>
      <c r="E36" s="411" t="s">
        <v>3568</v>
      </c>
      <c r="F36" s="412">
        <f>SUMIF(108:108,E36,109:109)-SUMIF(108:108,C36,109:109)+100</f>
        <v>100</v>
      </c>
      <c r="G36" s="411" t="s">
        <v>3568</v>
      </c>
      <c r="H36" s="386">
        <f>SUMIF(108:108,G36,109:109)-SUMIF(108:108,C36,109:109)+100</f>
        <v>100</v>
      </c>
      <c r="I36" s="411" t="s">
        <v>3568</v>
      </c>
      <c r="J36" s="386">
        <f>SUMIF(108:108,I36,109:109)-SUMIF(108:108,C36,109:109)+100</f>
        <v>100</v>
      </c>
      <c r="K36" s="561">
        <v>3</v>
      </c>
      <c r="L36" s="2719"/>
      <c r="M36" s="2713"/>
      <c r="N36" s="2713"/>
      <c r="O36" s="2713"/>
      <c r="P36" s="3707"/>
      <c r="Q36" s="1350" t="str">
        <f t="shared" si="11"/>
        <v>公共部分装修</v>
      </c>
      <c r="R36" s="704" t="s">
        <v>14</v>
      </c>
      <c r="S36" s="705">
        <f t="shared" si="12"/>
        <v>100</v>
      </c>
      <c r="T36" s="704" t="s">
        <v>14</v>
      </c>
      <c r="U36" s="705">
        <f t="shared" si="13"/>
        <v>100</v>
      </c>
      <c r="V36" s="704" t="s">
        <v>14</v>
      </c>
      <c r="W36" s="705">
        <f t="shared" si="14"/>
        <v>100</v>
      </c>
      <c r="X36" s="1353"/>
      <c r="Y36" s="3709"/>
      <c r="Z36" s="1354" t="str">
        <f t="shared" si="15"/>
        <v>公共部分装修</v>
      </c>
      <c r="AA36" s="1351">
        <f t="shared" si="3"/>
        <v>1</v>
      </c>
      <c r="AB36" s="1351">
        <f t="shared" si="4"/>
        <v>1</v>
      </c>
      <c r="AC36" s="1960">
        <f t="shared" si="5"/>
        <v>1</v>
      </c>
    </row>
    <row r="37" spans="1:29" ht="15">
      <c r="A37" s="423"/>
      <c r="B37" s="375" t="s">
        <v>1785</v>
      </c>
      <c r="C37" s="3474">
        <f>'数据-取费表'!N6</f>
        <v>0.9</v>
      </c>
      <c r="D37" s="386">
        <v>100</v>
      </c>
      <c r="E37" s="3474">
        <f>C37</f>
        <v>0.9</v>
      </c>
      <c r="F37" s="412">
        <f>LOOKUP(E37,111:111,112:112)-LOOKUP(C37,111:111,112:112)+100</f>
        <v>100</v>
      </c>
      <c r="G37" s="3474">
        <f>E37</f>
        <v>0.9</v>
      </c>
      <c r="H37" s="412">
        <f>LOOKUP(G37,111:111,112:112)-LOOKUP(C37,111:111,112:112)+100</f>
        <v>100</v>
      </c>
      <c r="I37" s="3474">
        <f>G37</f>
        <v>0.9</v>
      </c>
      <c r="J37" s="386">
        <f>LOOKUP(I37,111:111,112:112)-LOOKUP(C37,111:111,112:112)+100</f>
        <v>100</v>
      </c>
      <c r="K37" s="561">
        <v>1</v>
      </c>
      <c r="L37" s="2719"/>
      <c r="M37" s="2713"/>
      <c r="N37" s="2713"/>
      <c r="O37" s="2713"/>
      <c r="P37" s="3707"/>
      <c r="Q37" s="1350" t="str">
        <f t="shared" si="11"/>
        <v>成新度</v>
      </c>
      <c r="R37" s="704" t="s">
        <v>14</v>
      </c>
      <c r="S37" s="705">
        <f t="shared" si="12"/>
        <v>100</v>
      </c>
      <c r="T37" s="704" t="s">
        <v>14</v>
      </c>
      <c r="U37" s="705">
        <f t="shared" si="13"/>
        <v>100</v>
      </c>
      <c r="V37" s="704" t="s">
        <v>14</v>
      </c>
      <c r="W37" s="705">
        <f t="shared" si="14"/>
        <v>100</v>
      </c>
      <c r="X37" s="1353"/>
      <c r="Y37" s="3709"/>
      <c r="Z37" s="1354" t="str">
        <f t="shared" si="15"/>
        <v>成新度</v>
      </c>
      <c r="AA37" s="1351">
        <f t="shared" si="3"/>
        <v>1</v>
      </c>
      <c r="AB37" s="1351">
        <f t="shared" si="4"/>
        <v>1</v>
      </c>
      <c r="AC37" s="1960">
        <f t="shared" si="5"/>
        <v>1</v>
      </c>
    </row>
    <row r="38" spans="1:29" s="108" customFormat="1" ht="15">
      <c r="A38" s="424"/>
      <c r="B38" s="375" t="s">
        <v>1817</v>
      </c>
      <c r="C38" s="411" t="s">
        <v>3569</v>
      </c>
      <c r="D38" s="127">
        <v>100</v>
      </c>
      <c r="E38" s="411" t="s">
        <v>3569</v>
      </c>
      <c r="F38" s="412">
        <f>SUMIF(113:113,E38,114:114)-SUMIF(113:113,C38,114:114)+100</f>
        <v>100</v>
      </c>
      <c r="G38" s="411" t="s">
        <v>3569</v>
      </c>
      <c r="H38" s="386">
        <f>SUMIF(113:113,G38,114:114)-SUMIF(113:113,C38,114:114)+100</f>
        <v>100</v>
      </c>
      <c r="I38" s="411" t="s">
        <v>3569</v>
      </c>
      <c r="J38" s="386">
        <f>SUMIF(113:113,I38,114:114)-SUMIF(113:113,C38,114:114)+100</f>
        <v>100</v>
      </c>
      <c r="K38" s="561">
        <v>2</v>
      </c>
      <c r="L38" s="2714"/>
      <c r="M38" s="2715"/>
      <c r="N38" s="2715"/>
      <c r="O38" s="2715"/>
      <c r="P38" s="3707"/>
      <c r="Q38" s="1341" t="str">
        <f t="shared" si="11"/>
        <v>写字楼等级</v>
      </c>
      <c r="R38" s="700" t="s">
        <v>14</v>
      </c>
      <c r="S38" s="701">
        <f t="shared" si="12"/>
        <v>100</v>
      </c>
      <c r="T38" s="700" t="s">
        <v>14</v>
      </c>
      <c r="U38" s="701">
        <f t="shared" si="13"/>
        <v>100</v>
      </c>
      <c r="V38" s="700" t="s">
        <v>14</v>
      </c>
      <c r="W38" s="701">
        <f t="shared" si="14"/>
        <v>100</v>
      </c>
      <c r="X38" s="702"/>
      <c r="Y38" s="3709"/>
      <c r="Z38" s="52" t="str">
        <f t="shared" si="15"/>
        <v>写字楼等级</v>
      </c>
      <c r="AA38" s="703">
        <f t="shared" si="3"/>
        <v>1</v>
      </c>
      <c r="AB38" s="703">
        <f t="shared" si="4"/>
        <v>1</v>
      </c>
      <c r="AC38" s="1957">
        <f t="shared" si="5"/>
        <v>1</v>
      </c>
    </row>
    <row r="39" spans="1:29" ht="15">
      <c r="A39" s="423"/>
      <c r="B39" s="375" t="s">
        <v>1818</v>
      </c>
      <c r="C39" s="411" t="s">
        <v>3570</v>
      </c>
      <c r="D39" s="386">
        <v>100</v>
      </c>
      <c r="E39" s="411" t="s">
        <v>3570</v>
      </c>
      <c r="F39" s="412">
        <f>SUMIF(115:115,E39,116:116)-SUMIF(115:115,C39,116:116)+100</f>
        <v>100</v>
      </c>
      <c r="G39" s="411" t="s">
        <v>3570</v>
      </c>
      <c r="H39" s="386">
        <f>SUMIF(115:115,G39,116:116)-SUMIF(115:115,C39,116:116)+100</f>
        <v>100</v>
      </c>
      <c r="I39" s="411" t="s">
        <v>3570</v>
      </c>
      <c r="J39" s="386">
        <f>SUMIF(115:115,I39,116:116)-SUMIF(115:115,C39,116:116)+100</f>
        <v>100</v>
      </c>
      <c r="K39" s="561">
        <v>2</v>
      </c>
      <c r="L39" s="2719"/>
      <c r="M39" s="2713"/>
      <c r="N39" s="2713"/>
      <c r="O39" s="2713"/>
      <c r="P39" s="3707" t="s">
        <v>1695</v>
      </c>
      <c r="Q39" s="1350" t="str">
        <f t="shared" si="11"/>
        <v>物业管理</v>
      </c>
      <c r="R39" s="704" t="s">
        <v>14</v>
      </c>
      <c r="S39" s="705">
        <f t="shared" si="12"/>
        <v>100</v>
      </c>
      <c r="T39" s="704" t="s">
        <v>14</v>
      </c>
      <c r="U39" s="705">
        <f t="shared" si="13"/>
        <v>100</v>
      </c>
      <c r="V39" s="704" t="s">
        <v>14</v>
      </c>
      <c r="W39" s="705">
        <f t="shared" si="14"/>
        <v>100</v>
      </c>
      <c r="X39" s="1353"/>
      <c r="Y39" s="3709" t="s">
        <v>1695</v>
      </c>
      <c r="Z39" s="1354" t="str">
        <f t="shared" si="15"/>
        <v>物业管理</v>
      </c>
      <c r="AA39" s="1351">
        <f t="shared" si="3"/>
        <v>1</v>
      </c>
      <c r="AB39" s="1351">
        <f t="shared" si="4"/>
        <v>1</v>
      </c>
      <c r="AC39" s="1960">
        <f t="shared" si="5"/>
        <v>1</v>
      </c>
    </row>
    <row r="40" spans="1:29" ht="15">
      <c r="A40" s="423"/>
      <c r="B40" s="375" t="s">
        <v>1786</v>
      </c>
      <c r="C40" s="411" t="s">
        <v>3571</v>
      </c>
      <c r="D40" s="386">
        <v>100</v>
      </c>
      <c r="E40" s="411" t="s">
        <v>3571</v>
      </c>
      <c r="F40" s="412">
        <f>SUMIF(117:117,E40,118:118)-SUMIF(117:117,C40,118:118)+100</f>
        <v>100</v>
      </c>
      <c r="G40" s="411" t="s">
        <v>3571</v>
      </c>
      <c r="H40" s="386">
        <f>SUMIF(117:117,G40,118:118)-SUMIF(117:117,C40,118:118)+100</f>
        <v>100</v>
      </c>
      <c r="I40" s="411" t="s">
        <v>3571</v>
      </c>
      <c r="J40" s="386">
        <f>SUMIF(117:117,I40,118:118)-SUMIF(117:117,C40,118:118)+100</f>
        <v>100</v>
      </c>
      <c r="K40" s="561">
        <v>1</v>
      </c>
      <c r="L40" s="2719"/>
      <c r="M40" s="2713"/>
      <c r="N40" s="2713"/>
      <c r="O40" s="2713"/>
      <c r="P40" s="3707"/>
      <c r="Q40" s="1350" t="str">
        <f t="shared" si="11"/>
        <v>市政基础设施</v>
      </c>
      <c r="R40" s="704" t="s">
        <v>14</v>
      </c>
      <c r="S40" s="705">
        <f t="shared" si="12"/>
        <v>100</v>
      </c>
      <c r="T40" s="704" t="s">
        <v>14</v>
      </c>
      <c r="U40" s="705">
        <f t="shared" si="13"/>
        <v>100</v>
      </c>
      <c r="V40" s="704" t="s">
        <v>14</v>
      </c>
      <c r="W40" s="705">
        <f t="shared" si="14"/>
        <v>100</v>
      </c>
      <c r="X40" s="1353"/>
      <c r="Y40" s="3709"/>
      <c r="Z40" s="1354" t="str">
        <f t="shared" si="15"/>
        <v>市政基础设施</v>
      </c>
      <c r="AA40" s="1351">
        <f t="shared" si="3"/>
        <v>1</v>
      </c>
      <c r="AB40" s="1351">
        <f t="shared" si="4"/>
        <v>1</v>
      </c>
      <c r="AC40" s="1960">
        <f t="shared" si="5"/>
        <v>1</v>
      </c>
    </row>
    <row r="41" spans="1:29" ht="15">
      <c r="A41" s="423"/>
      <c r="B41" s="375" t="s">
        <v>1788</v>
      </c>
      <c r="C41" s="565" t="s">
        <v>3572</v>
      </c>
      <c r="D41" s="386">
        <v>100</v>
      </c>
      <c r="E41" s="565" t="s">
        <v>3572</v>
      </c>
      <c r="F41" s="412">
        <f>SUMIF(119:119,E41,120:120)-SUMIF(119:119,C41,120:120)+100</f>
        <v>100</v>
      </c>
      <c r="G41" s="565" t="s">
        <v>3572</v>
      </c>
      <c r="H41" s="386">
        <f>SUMIF(119:119,G41,120:120)-SUMIF(119:119,C41,120:120)+100</f>
        <v>100</v>
      </c>
      <c r="I41" s="565" t="s">
        <v>3572</v>
      </c>
      <c r="J41" s="386">
        <f>SUMIF(119:119,I41,120:120)-SUMIF(119:119,C41,120:120)+100</f>
        <v>100</v>
      </c>
      <c r="K41" s="561">
        <v>3</v>
      </c>
      <c r="L41" s="2719"/>
      <c r="M41" s="2713"/>
      <c r="N41" s="2713"/>
      <c r="O41" s="2713"/>
      <c r="P41" s="3707"/>
      <c r="Q41" s="1350" t="str">
        <f t="shared" si="11"/>
        <v>层高</v>
      </c>
      <c r="R41" s="704" t="s">
        <v>14</v>
      </c>
      <c r="S41" s="705">
        <f t="shared" si="12"/>
        <v>100</v>
      </c>
      <c r="T41" s="704" t="s">
        <v>14</v>
      </c>
      <c r="U41" s="705">
        <f t="shared" si="13"/>
        <v>100</v>
      </c>
      <c r="V41" s="704" t="s">
        <v>14</v>
      </c>
      <c r="W41" s="705">
        <f t="shared" si="14"/>
        <v>100</v>
      </c>
      <c r="X41" s="1353"/>
      <c r="Y41" s="3709"/>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7"/>
      <c r="Q42" s="706" t="str">
        <f t="shared" si="11"/>
        <v>单套建筑面积</v>
      </c>
      <c r="R42" s="707" t="s">
        <v>14</v>
      </c>
      <c r="S42" s="708">
        <f t="shared" si="12"/>
        <v>100</v>
      </c>
      <c r="T42" s="707" t="s">
        <v>14</v>
      </c>
      <c r="U42" s="708">
        <f t="shared" si="13"/>
        <v>100</v>
      </c>
      <c r="V42" s="707" t="s">
        <v>14</v>
      </c>
      <c r="W42" s="708">
        <f t="shared" si="14"/>
        <v>100</v>
      </c>
      <c r="X42" s="709"/>
      <c r="Y42" s="3709"/>
      <c r="Z42" s="710" t="str">
        <f t="shared" si="15"/>
        <v>单套建筑面积</v>
      </c>
      <c r="AA42" s="1351">
        <f t="shared" si="3"/>
        <v>1</v>
      </c>
      <c r="AB42" s="1351">
        <f t="shared" si="4"/>
        <v>1</v>
      </c>
      <c r="AC42" s="1960">
        <f t="shared" si="5"/>
        <v>1</v>
      </c>
    </row>
    <row r="43" spans="1:29" ht="15">
      <c r="A43" s="423"/>
      <c r="B43" s="375" t="s">
        <v>1791</v>
      </c>
      <c r="C43" s="411" t="s">
        <v>3573</v>
      </c>
      <c r="D43" s="386">
        <v>100</v>
      </c>
      <c r="E43" s="411" t="s">
        <v>3573</v>
      </c>
      <c r="F43" s="412">
        <f>SUMIF(123:123,E43,124:124)-SUMIF(123:123,C43,124:124)+100</f>
        <v>100</v>
      </c>
      <c r="G43" s="411" t="s">
        <v>3573</v>
      </c>
      <c r="H43" s="386">
        <f>SUMIF(123:123,G43,124:124)-SUMIF(123:123,C43,124:124)+100</f>
        <v>100</v>
      </c>
      <c r="I43" s="411" t="s">
        <v>3573</v>
      </c>
      <c r="J43" s="386">
        <f>SUMIF(123:123,I43,124:124)-SUMIF(123:123,C43,124:124)+100</f>
        <v>100</v>
      </c>
      <c r="K43" s="561">
        <v>1</v>
      </c>
      <c r="L43" s="2719"/>
      <c r="M43" s="2713"/>
      <c r="N43" s="2713"/>
      <c r="O43" s="2713"/>
      <c r="P43" s="3707"/>
      <c r="Q43" s="1350" t="str">
        <f t="shared" si="11"/>
        <v>内部装修</v>
      </c>
      <c r="R43" s="704" t="s">
        <v>14</v>
      </c>
      <c r="S43" s="705">
        <f t="shared" si="12"/>
        <v>100</v>
      </c>
      <c r="T43" s="704" t="s">
        <v>14</v>
      </c>
      <c r="U43" s="705">
        <f t="shared" si="13"/>
        <v>100</v>
      </c>
      <c r="V43" s="704" t="s">
        <v>14</v>
      </c>
      <c r="W43" s="705">
        <f t="shared" si="14"/>
        <v>100</v>
      </c>
      <c r="X43" s="1353"/>
      <c r="Y43" s="3709"/>
      <c r="Z43" s="1354" t="str">
        <f t="shared" si="15"/>
        <v>内部装修</v>
      </c>
      <c r="AA43" s="1351">
        <f t="shared" si="3"/>
        <v>1</v>
      </c>
      <c r="AB43" s="1351">
        <f t="shared" si="4"/>
        <v>1</v>
      </c>
      <c r="AC43" s="1960">
        <f t="shared" si="5"/>
        <v>1</v>
      </c>
    </row>
    <row r="44" spans="1:29" ht="15">
      <c r="A44" s="423"/>
      <c r="B44" s="375" t="s">
        <v>1706</v>
      </c>
      <c r="C44" s="411" t="s">
        <v>3514</v>
      </c>
      <c r="D44" s="386">
        <v>100</v>
      </c>
      <c r="E44" s="411" t="s">
        <v>3514</v>
      </c>
      <c r="F44" s="412">
        <f>SUMIF(125:125,E44,126:126)-SUMIF(125:125,C44,126:126)+100</f>
        <v>100</v>
      </c>
      <c r="G44" s="411" t="s">
        <v>3514</v>
      </c>
      <c r="H44" s="386">
        <f>SUMIF(125:125,G44,126:126)-SUMIF(125:125,C44,126:126)+100</f>
        <v>100</v>
      </c>
      <c r="I44" s="411" t="s">
        <v>3514</v>
      </c>
      <c r="J44" s="386">
        <f>SUMIF(125:125,I44,126:126)-SUMIF(125:125,C44,126:126)+100</f>
        <v>100</v>
      </c>
      <c r="K44" s="561">
        <v>2</v>
      </c>
      <c r="L44" s="2719"/>
      <c r="M44" s="2713"/>
      <c r="N44" s="2713"/>
      <c r="O44" s="2713"/>
      <c r="P44" s="3707"/>
      <c r="Q44" s="1350" t="str">
        <f t="shared" si="11"/>
        <v>内部装修维护情况</v>
      </c>
      <c r="R44" s="704" t="s">
        <v>14</v>
      </c>
      <c r="S44" s="705">
        <f t="shared" si="12"/>
        <v>100</v>
      </c>
      <c r="T44" s="704" t="s">
        <v>14</v>
      </c>
      <c r="U44" s="705">
        <f t="shared" si="13"/>
        <v>100</v>
      </c>
      <c r="V44" s="704" t="s">
        <v>14</v>
      </c>
      <c r="W44" s="705">
        <f t="shared" si="14"/>
        <v>100</v>
      </c>
      <c r="X44" s="1353"/>
      <c r="Y44" s="3709"/>
      <c r="Z44" s="1354" t="str">
        <f t="shared" si="15"/>
        <v>内部装修维护情况</v>
      </c>
      <c r="AA44" s="1351">
        <f t="shared" si="3"/>
        <v>1</v>
      </c>
      <c r="AB44" s="1351">
        <f t="shared" si="4"/>
        <v>1</v>
      </c>
      <c r="AC44" s="1960">
        <f t="shared" si="5"/>
        <v>1</v>
      </c>
    </row>
    <row r="45" spans="1:29" s="108" customFormat="1" ht="15">
      <c r="A45" s="424"/>
      <c r="B45" s="3477" t="s">
        <v>3590</v>
      </c>
      <c r="C45" s="3478" t="s">
        <v>3591</v>
      </c>
      <c r="D45" s="127">
        <v>100</v>
      </c>
      <c r="E45" s="3478" t="s">
        <v>3591</v>
      </c>
      <c r="F45" s="376">
        <f>SUMIF(127:127,E45,128:128)-SUMIF(127:127,C45,128:128)+100</f>
        <v>100</v>
      </c>
      <c r="G45" s="3478" t="s">
        <v>3591</v>
      </c>
      <c r="H45" s="127">
        <f>SUMIF(127:127,G45,128:128)-SUMIF(127:127,C45,128:128)+100</f>
        <v>100</v>
      </c>
      <c r="I45" s="3478" t="s">
        <v>3591</v>
      </c>
      <c r="J45" s="127">
        <f>SUMIF(127:127,I45,128:128)-SUMIF(127:127,C45,128:128)+100</f>
        <v>100</v>
      </c>
      <c r="K45" s="562"/>
      <c r="L45" s="2714"/>
      <c r="M45" s="2715"/>
      <c r="N45" s="2715"/>
      <c r="O45" s="2715"/>
      <c r="P45" s="3707"/>
      <c r="Q45" s="1341" t="str">
        <f t="shared" si="11"/>
        <v>现状用途</v>
      </c>
      <c r="R45" s="700" t="s">
        <v>14</v>
      </c>
      <c r="S45" s="701">
        <f t="shared" si="12"/>
        <v>100</v>
      </c>
      <c r="T45" s="700" t="s">
        <v>14</v>
      </c>
      <c r="U45" s="701">
        <f t="shared" si="13"/>
        <v>100</v>
      </c>
      <c r="V45" s="700" t="s">
        <v>14</v>
      </c>
      <c r="W45" s="701">
        <f t="shared" si="14"/>
        <v>100</v>
      </c>
      <c r="X45" s="702"/>
      <c r="Y45" s="3709"/>
      <c r="Z45" s="52" t="str">
        <f t="shared" si="15"/>
        <v>现状用途</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7"/>
      <c r="Q46" s="1350">
        <f t="shared" si="11"/>
        <v>111</v>
      </c>
      <c r="R46" s="704" t="s">
        <v>14</v>
      </c>
      <c r="S46" s="705">
        <f t="shared" si="12"/>
        <v>100</v>
      </c>
      <c r="T46" s="704" t="s">
        <v>14</v>
      </c>
      <c r="U46" s="705">
        <f t="shared" si="13"/>
        <v>100</v>
      </c>
      <c r="V46" s="704" t="s">
        <v>14</v>
      </c>
      <c r="W46" s="705">
        <f t="shared" si="14"/>
        <v>100</v>
      </c>
      <c r="X46" s="1353"/>
      <c r="Y46" s="3709"/>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8"/>
      <c r="Q47" s="1350">
        <f t="shared" si="11"/>
        <v>111</v>
      </c>
      <c r="R47" s="704" t="s">
        <v>14</v>
      </c>
      <c r="S47" s="705">
        <f t="shared" si="12"/>
        <v>100</v>
      </c>
      <c r="T47" s="704" t="s">
        <v>14</v>
      </c>
      <c r="U47" s="705">
        <f t="shared" si="13"/>
        <v>100</v>
      </c>
      <c r="V47" s="704" t="s">
        <v>14</v>
      </c>
      <c r="W47" s="705">
        <f t="shared" si="14"/>
        <v>100</v>
      </c>
      <c r="X47" s="1353"/>
      <c r="Y47" s="3710"/>
      <c r="Z47" s="1354">
        <f t="shared" si="15"/>
        <v>111</v>
      </c>
      <c r="AA47" s="1351">
        <f t="shared" si="3"/>
        <v>1</v>
      </c>
      <c r="AB47" s="1351">
        <f t="shared" si="4"/>
        <v>1</v>
      </c>
      <c r="AC47" s="1960">
        <f t="shared" si="5"/>
        <v>1</v>
      </c>
    </row>
    <row r="48" spans="1:29" ht="15">
      <c r="A48" s="430" t="s">
        <v>1707</v>
      </c>
      <c r="B48" s="431"/>
      <c r="C48" s="1153" t="s">
        <v>0</v>
      </c>
      <c r="D48" s="1154"/>
      <c r="E48" s="1155">
        <v>55475</v>
      </c>
      <c r="F48" s="1156"/>
      <c r="G48" s="1157">
        <v>58824</v>
      </c>
      <c r="H48" s="1158"/>
      <c r="I48" s="1155">
        <v>56237</v>
      </c>
      <c r="J48" s="436"/>
      <c r="K48" s="713"/>
      <c r="L48" s="2721"/>
      <c r="M48" s="2713"/>
      <c r="N48" s="2713"/>
      <c r="O48" s="2713"/>
      <c r="P48" s="3696" t="str">
        <f>A48</f>
        <v>成交单价（元/平方米）</v>
      </c>
      <c r="Q48" s="3697"/>
      <c r="R48" s="3698">
        <f>E48</f>
        <v>55475</v>
      </c>
      <c r="S48" s="3698"/>
      <c r="T48" s="3698">
        <f>G48</f>
        <v>58824</v>
      </c>
      <c r="U48" s="3698"/>
      <c r="V48" s="3698">
        <f>I48</f>
        <v>56237</v>
      </c>
      <c r="W48" s="3698"/>
      <c r="X48" s="397"/>
      <c r="Y48" s="711"/>
      <c r="Z48" s="397"/>
      <c r="AA48" s="397"/>
      <c r="AB48" s="397"/>
      <c r="AC48" s="577"/>
    </row>
    <row r="49" spans="1:29" ht="15.75" thickBot="1">
      <c r="A49" s="437" t="s">
        <v>1792</v>
      </c>
      <c r="B49" s="438"/>
      <c r="C49" s="1159" t="e">
        <f>R50</f>
        <v>#DIV/0!</v>
      </c>
      <c r="D49" s="2315" t="s">
        <v>2133</v>
      </c>
      <c r="E49" s="1160" t="e">
        <f>R49</f>
        <v>#DIV/0!</v>
      </c>
      <c r="F49" s="2316"/>
      <c r="G49" s="1159" t="e">
        <f>T49</f>
        <v>#DIV/0!</v>
      </c>
      <c r="H49" s="2316"/>
      <c r="I49" s="1160" t="e">
        <f>V49</f>
        <v>#DIV/0!</v>
      </c>
      <c r="J49" s="2316"/>
      <c r="K49" s="2318">
        <f>F49+H49+J49</f>
        <v>0</v>
      </c>
      <c r="L49" s="2721"/>
      <c r="M49" s="2713"/>
      <c r="N49" s="2713"/>
      <c r="O49" s="2713"/>
      <c r="P49" s="3696"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7"/>
    </row>
    <row r="50" spans="1:29" ht="15.75" thickBot="1">
      <c r="A50" s="441" t="s">
        <v>1793</v>
      </c>
      <c r="B50" s="442"/>
      <c r="C50" s="1162" t="e">
        <f>R50</f>
        <v>#DIV/0!</v>
      </c>
      <c r="D50" s="1162"/>
      <c r="E50" s="1162"/>
      <c r="F50" s="1162"/>
      <c r="G50" s="1162"/>
      <c r="H50" s="1162"/>
      <c r="I50" s="1162"/>
      <c r="J50" s="443"/>
      <c r="K50" s="714"/>
      <c r="L50" s="2721"/>
      <c r="M50" s="2713"/>
      <c r="N50" s="2713"/>
      <c r="O50" s="2713"/>
      <c r="P50" s="3699" t="str">
        <f>A50</f>
        <v>估价对象XX用房的比较价值（楼面单价，元/平方米）</v>
      </c>
      <c r="Q50" s="3700"/>
      <c r="R50" s="3701" t="e">
        <f>IF(F1="售价",ROUND(IF(D49="简单平均",AVERAGE(R49:V49),R49*F49+T49*H49+V49*J49),0),ROUND(IF(D49="简单平均",AVERAGE(R49:V49),R49*F49+T49*H49+V49*J49),1))</f>
        <v>#DIV/0!</v>
      </c>
      <c r="S50" s="3701"/>
      <c r="T50" s="3701"/>
      <c r="U50" s="3701"/>
      <c r="V50" s="3701"/>
      <c r="W50" s="3701"/>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6.036953582694915E-2</v>
      </c>
      <c r="F55" s="449" t="str">
        <f>IF(OR(E55&gt;=0.3,E55&lt;=-0.3),"超过30%","")</f>
        <v/>
      </c>
      <c r="G55" s="448">
        <f>IF(G48&lt;I48,I48/G48-1,G48/I48-1)</f>
        <v>4.600174262496215E-2</v>
      </c>
      <c r="H55" s="449" t="str">
        <f>IF(OR(G55&gt;=0.3,G55&lt;=-0.3),"超过30%","")</f>
        <v/>
      </c>
      <c r="I55" s="448">
        <f>IF(I48&lt;E48,E48/I48-1,I48/E48-1)</f>
        <v>1.3735917079765736E-2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1797</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3466" t="s">
        <v>3510</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7" t="s">
        <v>1798</v>
      </c>
      <c r="D83" s="607" t="s">
        <v>1799</v>
      </c>
      <c r="E83" s="607" t="s">
        <v>1800</v>
      </c>
      <c r="F83" s="607" t="s">
        <v>1801</v>
      </c>
      <c r="G83" s="607" t="s">
        <v>1802</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69" t="s">
        <v>3519</v>
      </c>
      <c r="D87" s="3469" t="s">
        <v>3520</v>
      </c>
      <c r="E87" s="3469" t="s">
        <v>3521</v>
      </c>
      <c r="F87" s="3469" t="s">
        <v>3522</v>
      </c>
      <c r="G87" s="3469" t="s">
        <v>3523</v>
      </c>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9" t="s">
        <v>3524</v>
      </c>
      <c r="D89" s="3469" t="s">
        <v>3525</v>
      </c>
      <c r="E89" s="3469" t="s">
        <v>3526</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70" t="s">
        <v>3529</v>
      </c>
      <c r="D101" s="3470" t="s">
        <v>3530</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0(含)-100</v>
      </c>
      <c r="D103" s="527" t="str">
        <f t="shared" ref="D103:L103" si="23">D104&amp;"(含)"&amp;"-"&amp;E104</f>
        <v>100(含)-300</v>
      </c>
      <c r="E103" s="527" t="str">
        <f t="shared" si="23"/>
        <v>300(含)-500</v>
      </c>
      <c r="F103" s="527" t="str">
        <f t="shared" si="23"/>
        <v>500(含)-1000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100</v>
      </c>
      <c r="E104" s="544">
        <v>300</v>
      </c>
      <c r="F104" s="544">
        <v>500</v>
      </c>
      <c r="G104" s="544">
        <v>1000</v>
      </c>
      <c r="H104" s="544">
        <v>1500</v>
      </c>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71" t="s">
        <v>3531</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69" t="s">
        <v>3532</v>
      </c>
      <c r="D108" s="3469" t="s">
        <v>3533</v>
      </c>
      <c r="E108" s="3469" t="s">
        <v>3534</v>
      </c>
      <c r="F108" s="3472" t="s">
        <v>3535</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97</v>
      </c>
      <c r="E109" s="493">
        <f t="shared" si="25"/>
        <v>94</v>
      </c>
      <c r="F109" s="493">
        <f t="shared" si="25"/>
        <v>91</v>
      </c>
      <c r="G109" s="493">
        <f t="shared" si="25"/>
        <v>88</v>
      </c>
      <c r="H109" s="493">
        <f t="shared" si="25"/>
        <v>85</v>
      </c>
      <c r="I109" s="493">
        <f t="shared" si="25"/>
        <v>82</v>
      </c>
      <c r="J109" s="493">
        <f t="shared" si="25"/>
        <v>79</v>
      </c>
      <c r="K109" s="493">
        <f t="shared" si="25"/>
        <v>76</v>
      </c>
      <c r="L109" s="493">
        <f t="shared" si="25"/>
        <v>73</v>
      </c>
      <c r="M109" s="494">
        <f t="shared" si="25"/>
        <v>70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69" t="s">
        <v>3536</v>
      </c>
      <c r="D113" s="3469" t="s">
        <v>3537</v>
      </c>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71" t="s">
        <v>3538</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3469" t="s">
        <v>3539</v>
      </c>
      <c r="D117" s="3469" t="s">
        <v>3540</v>
      </c>
      <c r="E117" s="3469" t="s">
        <v>3541</v>
      </c>
      <c r="F117" s="3469" t="s">
        <v>3542</v>
      </c>
      <c r="G117" s="3469" t="s">
        <v>3543</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1824</v>
      </c>
      <c r="C119" s="3472" t="s">
        <v>3544</v>
      </c>
      <c r="D119" s="3473" t="s">
        <v>3545</v>
      </c>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69" t="s">
        <v>3532</v>
      </c>
      <c r="D123" s="3469" t="s">
        <v>3533</v>
      </c>
      <c r="E123" s="3469" t="s">
        <v>3534</v>
      </c>
      <c r="F123" s="3472" t="s">
        <v>3535</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现状用途</v>
      </c>
      <c r="C127" s="3471" t="s">
        <v>3592</v>
      </c>
      <c r="D127" s="3471" t="s">
        <v>3591</v>
      </c>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v>105</v>
      </c>
      <c r="D128" s="485">
        <v>100</v>
      </c>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U22" sqref="U22"/>
    </sheetView>
  </sheetViews>
  <sheetFormatPr defaultColWidth="9" defaultRowHeight="12.75"/>
  <cols>
    <col min="1" max="1" width="11.5" style="130" customWidth="1"/>
    <col min="2" max="2" width="9.25" style="24" customWidth="1"/>
    <col min="3" max="3" width="6"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50" t="s">
        <v>2083</v>
      </c>
      <c r="D1" s="3751"/>
      <c r="E1" s="3751"/>
      <c r="F1" s="3751"/>
      <c r="G1" s="3751"/>
      <c r="H1" s="3751"/>
      <c r="I1" s="3751"/>
      <c r="J1" s="3751"/>
      <c r="K1" s="3751"/>
      <c r="L1" s="3751"/>
      <c r="M1" s="3751"/>
      <c r="N1" s="3751"/>
      <c r="O1" s="3751"/>
      <c r="P1" s="3751"/>
      <c r="Q1" s="3751"/>
      <c r="R1" s="3751"/>
      <c r="S1" s="3752"/>
      <c r="T1" s="982" t="s">
        <v>2084</v>
      </c>
    </row>
    <row r="2" spans="1:45" s="654" customFormat="1" ht="38.25">
      <c r="A2" s="983"/>
      <c r="B2" s="650" t="s">
        <v>2085</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300</v>
      </c>
      <c r="F3" s="1304">
        <v>500</v>
      </c>
      <c r="G3" s="1304">
        <v>1000</v>
      </c>
      <c r="H3" s="1304">
        <v>1500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99</v>
      </c>
      <c r="E4" s="989">
        <v>100</v>
      </c>
      <c r="F4" s="1308">
        <v>99</v>
      </c>
      <c r="G4" s="1308">
        <v>98</v>
      </c>
      <c r="H4" s="1308">
        <v>97</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18" customHeight="1">
      <c r="A5" s="993"/>
      <c r="B5" s="3480" t="s">
        <v>3595</v>
      </c>
      <c r="C5" s="994" t="s">
        <v>3568</v>
      </c>
      <c r="D5" s="995" t="s">
        <v>3573</v>
      </c>
      <c r="E5" s="995" t="s">
        <v>3596</v>
      </c>
      <c r="F5" s="1311" t="s">
        <v>3588</v>
      </c>
      <c r="G5" s="1311"/>
      <c r="H5" s="1311"/>
      <c r="I5" s="1311"/>
      <c r="J5" s="1311"/>
      <c r="K5" s="1311"/>
      <c r="L5" s="1312"/>
      <c r="M5" s="1313"/>
      <c r="N5" s="1313"/>
      <c r="O5" s="1311"/>
      <c r="P5" s="1311"/>
      <c r="Q5" s="1311"/>
      <c r="R5" s="1311"/>
      <c r="S5" s="1314"/>
      <c r="T5" s="997">
        <f>'比较法-办公'!K43</f>
        <v>1</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99</v>
      </c>
      <c r="E6" s="901">
        <f t="shared" ref="E6:S6" si="7">D6-$T5</f>
        <v>98</v>
      </c>
      <c r="F6" s="1315">
        <f t="shared" si="7"/>
        <v>97</v>
      </c>
      <c r="G6" s="1315">
        <f t="shared" si="7"/>
        <v>96</v>
      </c>
      <c r="H6" s="1315">
        <f t="shared" si="7"/>
        <v>95</v>
      </c>
      <c r="I6" s="1315">
        <f t="shared" si="7"/>
        <v>94</v>
      </c>
      <c r="J6" s="1315">
        <f t="shared" si="7"/>
        <v>93</v>
      </c>
      <c r="K6" s="1315">
        <f t="shared" si="7"/>
        <v>92</v>
      </c>
      <c r="L6" s="1315">
        <f t="shared" si="7"/>
        <v>91</v>
      </c>
      <c r="M6" s="1315">
        <f t="shared" si="7"/>
        <v>90</v>
      </c>
      <c r="N6" s="1315">
        <f t="shared" si="7"/>
        <v>89</v>
      </c>
      <c r="O6" s="1315">
        <f t="shared" si="7"/>
        <v>88</v>
      </c>
      <c r="P6" s="1315">
        <f t="shared" si="7"/>
        <v>87</v>
      </c>
      <c r="Q6" s="1315">
        <f t="shared" si="7"/>
        <v>86</v>
      </c>
      <c r="R6" s="1315">
        <f t="shared" si="7"/>
        <v>85</v>
      </c>
      <c r="S6" s="1315">
        <f t="shared" si="7"/>
        <v>84</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3479" t="s">
        <v>3594</v>
      </c>
      <c r="C7" s="994" t="s">
        <v>3593</v>
      </c>
      <c r="D7" s="995" t="s">
        <v>3580</v>
      </c>
      <c r="E7" s="995" t="s">
        <v>3528</v>
      </c>
      <c r="F7" s="1316"/>
      <c r="G7" s="1316"/>
      <c r="H7" s="1316"/>
      <c r="I7" s="1316"/>
      <c r="J7" s="1316"/>
      <c r="K7" s="1316"/>
      <c r="L7" s="1316"/>
      <c r="M7" s="1317"/>
      <c r="N7" s="1318"/>
      <c r="O7" s="1319"/>
      <c r="P7" s="1320"/>
      <c r="Q7" s="1321"/>
      <c r="R7" s="1322"/>
      <c r="S7" s="1323"/>
      <c r="T7" s="660">
        <v>2</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98</v>
      </c>
      <c r="E8" s="901">
        <f t="shared" ref="E8:S8" si="8">D8-$T7</f>
        <v>96</v>
      </c>
      <c r="F8" s="1315">
        <f t="shared" si="8"/>
        <v>94</v>
      </c>
      <c r="G8" s="1315">
        <f t="shared" si="8"/>
        <v>92</v>
      </c>
      <c r="H8" s="1315">
        <f t="shared" si="8"/>
        <v>90</v>
      </c>
      <c r="I8" s="1315">
        <f t="shared" si="8"/>
        <v>88</v>
      </c>
      <c r="J8" s="1315">
        <f t="shared" si="8"/>
        <v>86</v>
      </c>
      <c r="K8" s="1315">
        <f t="shared" si="8"/>
        <v>84</v>
      </c>
      <c r="L8" s="1315">
        <f t="shared" si="8"/>
        <v>82</v>
      </c>
      <c r="M8" s="1315">
        <f t="shared" si="8"/>
        <v>80</v>
      </c>
      <c r="N8" s="1315">
        <f t="shared" si="8"/>
        <v>78</v>
      </c>
      <c r="O8" s="1315">
        <f t="shared" si="8"/>
        <v>76</v>
      </c>
      <c r="P8" s="1315">
        <f t="shared" si="8"/>
        <v>74</v>
      </c>
      <c r="Q8" s="1315">
        <f t="shared" si="8"/>
        <v>72</v>
      </c>
      <c r="R8" s="1315">
        <f t="shared" si="8"/>
        <v>70</v>
      </c>
      <c r="S8" s="1315">
        <f t="shared" si="8"/>
        <v>68</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3479" t="s">
        <v>3597</v>
      </c>
      <c r="C9" s="903" t="s">
        <v>21</v>
      </c>
      <c r="D9" s="897" t="s">
        <v>3586</v>
      </c>
      <c r="E9" s="897"/>
      <c r="F9" s="1316"/>
      <c r="G9" s="1316"/>
      <c r="H9" s="1316"/>
      <c r="I9" s="1316"/>
      <c r="J9" s="1316"/>
      <c r="K9" s="1316"/>
      <c r="L9" s="1324"/>
      <c r="M9" s="1317"/>
      <c r="N9" s="1318"/>
      <c r="O9" s="1319"/>
      <c r="P9" s="1320"/>
      <c r="Q9" s="1321"/>
      <c r="R9" s="1322"/>
      <c r="S9" s="1323"/>
      <c r="T9" s="660">
        <v>5</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95</v>
      </c>
      <c r="E10" s="999">
        <f t="shared" ref="E10:S10" si="9">D10-$T9</f>
        <v>90</v>
      </c>
      <c r="F10" s="1325">
        <f t="shared" si="9"/>
        <v>85</v>
      </c>
      <c r="G10" s="1325">
        <f t="shared" si="9"/>
        <v>80</v>
      </c>
      <c r="H10" s="1325">
        <f t="shared" si="9"/>
        <v>75</v>
      </c>
      <c r="I10" s="1325">
        <f t="shared" si="9"/>
        <v>70</v>
      </c>
      <c r="J10" s="1325">
        <f t="shared" si="9"/>
        <v>65</v>
      </c>
      <c r="K10" s="1325">
        <f t="shared" si="9"/>
        <v>60</v>
      </c>
      <c r="L10" s="1325">
        <f t="shared" si="9"/>
        <v>55</v>
      </c>
      <c r="M10" s="1325">
        <f t="shared" si="9"/>
        <v>50</v>
      </c>
      <c r="N10" s="1325">
        <f t="shared" si="9"/>
        <v>45</v>
      </c>
      <c r="O10" s="1325">
        <f t="shared" si="9"/>
        <v>40</v>
      </c>
      <c r="P10" s="1325">
        <f t="shared" si="9"/>
        <v>35</v>
      </c>
      <c r="Q10" s="1325">
        <f t="shared" si="9"/>
        <v>30</v>
      </c>
      <c r="R10" s="1325">
        <f t="shared" si="9"/>
        <v>25</v>
      </c>
      <c r="S10" s="1325">
        <f t="shared" si="9"/>
        <v>20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2086</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2087</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2088</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2089</v>
      </c>
      <c r="B17" s="2147" t="s">
        <v>2090</v>
      </c>
      <c r="C17" s="1009">
        <v>1</v>
      </c>
      <c r="D17" s="1010">
        <v>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v>70</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2091</v>
      </c>
      <c r="E19" s="1338"/>
      <c r="F19" s="1338"/>
      <c r="G19" s="1338"/>
      <c r="H19" s="1058"/>
      <c r="I19" s="159"/>
      <c r="J19" s="159"/>
      <c r="K19" s="159"/>
      <c r="L19" s="159"/>
      <c r="M19" s="159"/>
      <c r="N19" s="159"/>
      <c r="O19" s="159"/>
      <c r="P19" s="159"/>
      <c r="Q19" s="159"/>
      <c r="R19" s="717"/>
      <c r="S19" s="129"/>
    </row>
    <row r="20" spans="1:45" ht="16.5" thickBot="1">
      <c r="A20" s="661" t="s">
        <v>2092</v>
      </c>
      <c r="B20" s="294">
        <f ca="1">IF(D20="——",S22,S22-F20)</f>
        <v>935</v>
      </c>
      <c r="C20" s="159"/>
      <c r="D20" s="2149" t="s">
        <v>43</v>
      </c>
      <c r="E20" s="1339"/>
      <c r="F20" s="982" t="e">
        <f ca="1">SUMIF(INDIRECT("'"&amp;H20&amp;"'"&amp;"!A:A"),"承租人权益价值",INDIRECT("'"&amp;H20&amp;"'"&amp;"!c:c"))</f>
        <v>#REF!</v>
      </c>
      <c r="G20" s="982" t="s">
        <v>2093</v>
      </c>
      <c r="H20" s="2150"/>
      <c r="I20" s="159"/>
      <c r="J20" s="159"/>
      <c r="K20" s="159"/>
      <c r="L20" s="159"/>
      <c r="M20" s="159"/>
      <c r="N20" s="159"/>
      <c r="O20" s="159"/>
      <c r="P20" s="159"/>
      <c r="Q20" s="159"/>
      <c r="R20" s="717"/>
      <c r="S20" s="129"/>
    </row>
    <row r="21" spans="1:45" ht="15.75">
      <c r="A21" s="661" t="s">
        <v>2094</v>
      </c>
      <c r="B21" s="294">
        <f ca="1">ROUND(B20*10000/B22,0)</f>
        <v>31747</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294.52</v>
      </c>
      <c r="C22" s="3747" t="s">
        <v>27</v>
      </c>
      <c r="D22" s="3748"/>
      <c r="E22" s="3748"/>
      <c r="F22" s="3748"/>
      <c r="G22" s="3748"/>
      <c r="H22" s="3748"/>
      <c r="I22" s="3748"/>
      <c r="J22" s="3748"/>
      <c r="K22" s="3748"/>
      <c r="L22" s="3748"/>
      <c r="M22" s="3748"/>
      <c r="N22" s="3748"/>
      <c r="O22" s="3748"/>
      <c r="P22" s="3748"/>
      <c r="Q22" s="3749"/>
      <c r="R22" s="662">
        <f ca="1">ROUND(S22*10000/B22,0)</f>
        <v>31747</v>
      </c>
      <c r="S22" s="21">
        <f ca="1">SUM(S24:S10000)</f>
        <v>935</v>
      </c>
      <c r="T22" s="724">
        <v>1000</v>
      </c>
    </row>
    <row r="23" spans="1:45" s="9" customFormat="1" ht="24">
      <c r="A23" s="8" t="s">
        <v>2096</v>
      </c>
      <c r="B23" s="8" t="s">
        <v>2097</v>
      </c>
      <c r="C23" s="8" t="s">
        <v>2098</v>
      </c>
      <c r="D23" s="8" t="str">
        <f>B5</f>
        <v>装修</v>
      </c>
      <c r="E23" s="8" t="s">
        <v>2098</v>
      </c>
      <c r="F23" s="8" t="str">
        <f>B7</f>
        <v>楼层</v>
      </c>
      <c r="G23" s="8" t="s">
        <v>2098</v>
      </c>
      <c r="H23" s="8" t="str">
        <f>B9</f>
        <v>现状用途</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107</v>
      </c>
      <c r="B24" s="664">
        <f>'数据-基础表'!I13</f>
        <v>125.74</v>
      </c>
      <c r="C24" s="2807">
        <v>1</v>
      </c>
      <c r="D24" s="2808" t="s">
        <v>3573</v>
      </c>
      <c r="E24" s="2807">
        <v>1</v>
      </c>
      <c r="F24" s="2808"/>
      <c r="G24" s="2807">
        <v>1</v>
      </c>
      <c r="H24" s="2808"/>
      <c r="I24" s="2807">
        <v>1</v>
      </c>
      <c r="J24" s="2808"/>
      <c r="K24" s="2807">
        <v>1</v>
      </c>
      <c r="L24" s="2808"/>
      <c r="M24" s="2807">
        <v>1</v>
      </c>
      <c r="N24" s="2808"/>
      <c r="O24" s="2807">
        <v>1</v>
      </c>
      <c r="P24" s="2808">
        <v>1</v>
      </c>
      <c r="Q24" s="2807">
        <v>1</v>
      </c>
      <c r="R24" s="667">
        <f ca="1">结果表!G20</f>
        <v>38351</v>
      </c>
      <c r="S24" s="665">
        <f t="shared" ref="S24:S54" ca="1" si="11">ROUND(R24*B24/10000,0)</f>
        <v>482</v>
      </c>
      <c r="T24" s="724" t="s">
        <v>3586</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54">
        <v>207</v>
      </c>
      <c r="B25" s="54">
        <f>'数据-基础表'!I14</f>
        <v>168.78</v>
      </c>
      <c r="C25" s="21">
        <f>IF(B25="",1,(LOOKUP(B25,$3:$3,$4:$4)-LOOKUP($B$24,$3:$3,$4:$4)+100)/100)</f>
        <v>1</v>
      </c>
      <c r="D25" s="2808" t="s">
        <v>3573</v>
      </c>
      <c r="E25" s="21">
        <f>(SUMIF($5:$5,D25,$6:$6)-SUMIF($5:$5,$D$24,$6:$6)+100)/100</f>
        <v>1</v>
      </c>
      <c r="F25" s="2808"/>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 ca="1">IF(B25="",0,ROUND($R$24*C25*E25*G25*I25*K25*M25*O25*Q25,0))</f>
        <v>26846</v>
      </c>
      <c r="S25" s="316">
        <f t="shared" ca="1" si="11"/>
        <v>453</v>
      </c>
      <c r="T25" s="724" t="str">
        <f>明细表!G2</f>
        <v>办公</v>
      </c>
      <c r="U25" s="724">
        <f>明细表!D2</f>
        <v>5</v>
      </c>
    </row>
    <row r="26" spans="1:45">
      <c r="A26" s="150"/>
      <c r="B26" s="54"/>
      <c r="C26" s="21">
        <f t="shared" ref="C26:C89" si="12">IF(B26="",1,(LOOKUP(B26,$3:$3,$4:$4)-LOOKUP($B$24,$3:$3,$4:$4)+100)/100)</f>
        <v>1</v>
      </c>
      <c r="D26" s="2808"/>
      <c r="E26" s="21">
        <f t="shared" ref="E26:E89" si="13">(SUMIF($5:$5,D26,$6:$6)-SUMIF($5:$5,$D$24,$6:$6)+100)/100</f>
        <v>0.01</v>
      </c>
      <c r="F26" s="2808"/>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0</v>
      </c>
      <c r="R26" s="662">
        <f t="shared" ref="R26:R89" si="20">IF(B26="",0,ROUND($R$24*C26*E26*G26*I26*K26*M26*O26*Q26,0))</f>
        <v>0</v>
      </c>
      <c r="S26" s="316">
        <f t="shared" si="11"/>
        <v>0</v>
      </c>
      <c r="T26" s="724" t="str">
        <f>明细表!G3</f>
        <v>办公</v>
      </c>
      <c r="U26" s="724">
        <f>明细表!D3</f>
        <v>5</v>
      </c>
    </row>
    <row r="27" spans="1:45">
      <c r="A27" s="150"/>
      <c r="B27" s="54"/>
      <c r="C27" s="21">
        <f t="shared" si="12"/>
        <v>1</v>
      </c>
      <c r="D27" s="666"/>
      <c r="E27" s="21">
        <f t="shared" si="13"/>
        <v>0.01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c r="T27" s="724" t="str">
        <f>明细表!G4</f>
        <v>公寓</v>
      </c>
      <c r="U27" s="724">
        <f>明细表!D4</f>
        <v>5</v>
      </c>
    </row>
    <row r="28" spans="1:45">
      <c r="A28" s="150"/>
      <c r="B28" s="54"/>
      <c r="C28" s="21">
        <f t="shared" si="12"/>
        <v>1</v>
      </c>
      <c r="D28" s="2808"/>
      <c r="E28" s="21">
        <f t="shared" si="13"/>
        <v>0.01</v>
      </c>
      <c r="F28" s="2808"/>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c r="T28" s="724" t="str">
        <f>明细表!G5</f>
        <v>办公</v>
      </c>
      <c r="U28" s="724">
        <f>明细表!D5</f>
        <v>5</v>
      </c>
    </row>
    <row r="29" spans="1:45">
      <c r="A29" s="150"/>
      <c r="B29" s="54"/>
      <c r="C29" s="21">
        <f t="shared" si="12"/>
        <v>1</v>
      </c>
      <c r="D29" s="2808"/>
      <c r="E29" s="21">
        <f t="shared" si="13"/>
        <v>0.01</v>
      </c>
      <c r="F29" s="2808"/>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c r="T29" s="724" t="str">
        <f>明细表!G6</f>
        <v>办公</v>
      </c>
      <c r="U29" s="724">
        <f>明细表!D6</f>
        <v>5</v>
      </c>
    </row>
    <row r="30" spans="1:45">
      <c r="A30" s="150"/>
      <c r="B30" s="54"/>
      <c r="C30" s="21">
        <f t="shared" si="12"/>
        <v>1</v>
      </c>
      <c r="D30" s="2808"/>
      <c r="E30" s="21">
        <f t="shared" si="13"/>
        <v>0.01</v>
      </c>
      <c r="F30" s="2808"/>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c r="T30" s="724" t="str">
        <f>明细表!G7</f>
        <v>办公</v>
      </c>
      <c r="U30" s="724">
        <f>明细表!D7</f>
        <v>5</v>
      </c>
    </row>
    <row r="31" spans="1:45">
      <c r="A31" s="150"/>
      <c r="B31" s="54"/>
      <c r="C31" s="21">
        <f t="shared" si="12"/>
        <v>1</v>
      </c>
      <c r="D31" s="2808"/>
      <c r="E31" s="21">
        <f t="shared" si="13"/>
        <v>0.01</v>
      </c>
      <c r="F31" s="2808"/>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c r="T31" s="724" t="str">
        <f>明细表!G8</f>
        <v>办公</v>
      </c>
      <c r="U31" s="724">
        <f>明细表!D8</f>
        <v>5</v>
      </c>
    </row>
    <row r="32" spans="1:45">
      <c r="A32" s="150"/>
      <c r="B32" s="54"/>
      <c r="C32" s="21">
        <f t="shared" si="12"/>
        <v>1</v>
      </c>
      <c r="D32" s="2808"/>
      <c r="E32" s="21">
        <f t="shared" si="13"/>
        <v>0.01</v>
      </c>
      <c r="F32" s="2808"/>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c r="T32" s="724" t="str">
        <f>明细表!G9</f>
        <v>公寓</v>
      </c>
      <c r="U32" s="724">
        <f>明细表!D9</f>
        <v>6</v>
      </c>
    </row>
    <row r="33" spans="1:21">
      <c r="A33" s="150"/>
      <c r="B33" s="54"/>
      <c r="C33" s="21">
        <f t="shared" si="12"/>
        <v>1</v>
      </c>
      <c r="D33" s="2808"/>
      <c r="E33" s="21">
        <f t="shared" si="13"/>
        <v>0.01</v>
      </c>
      <c r="F33" s="2808"/>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c r="T33" s="724" t="str">
        <f>明细表!G10</f>
        <v>公寓</v>
      </c>
      <c r="U33" s="724">
        <f>明细表!D10</f>
        <v>6</v>
      </c>
    </row>
    <row r="34" spans="1:21">
      <c r="A34" s="150"/>
      <c r="B34" s="54"/>
      <c r="C34" s="21">
        <f t="shared" si="12"/>
        <v>1</v>
      </c>
      <c r="D34" s="2808"/>
      <c r="E34" s="21">
        <f t="shared" si="13"/>
        <v>0.01</v>
      </c>
      <c r="F34" s="2808"/>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c r="T34" s="724" t="str">
        <f>明细表!G11</f>
        <v>办公</v>
      </c>
      <c r="U34" s="724">
        <f>明细表!D11</f>
        <v>6</v>
      </c>
    </row>
    <row r="35" spans="1:21">
      <c r="A35" s="150"/>
      <c r="B35" s="54"/>
      <c r="C35" s="21">
        <f t="shared" si="12"/>
        <v>1</v>
      </c>
      <c r="D35" s="2808"/>
      <c r="E35" s="21">
        <f t="shared" si="13"/>
        <v>0.01</v>
      </c>
      <c r="F35" s="2808"/>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c r="T35" s="724" t="str">
        <f>明细表!G12</f>
        <v>办公</v>
      </c>
      <c r="U35" s="724">
        <f>明细表!D12</f>
        <v>6</v>
      </c>
    </row>
    <row r="36" spans="1:21">
      <c r="A36" s="150"/>
      <c r="B36" s="54"/>
      <c r="C36" s="21">
        <f t="shared" si="12"/>
        <v>1</v>
      </c>
      <c r="D36" s="2808"/>
      <c r="E36" s="21">
        <f t="shared" si="13"/>
        <v>0.01</v>
      </c>
      <c r="F36" s="2808"/>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c r="T36" s="724" t="str">
        <f>明细表!G13</f>
        <v>办公</v>
      </c>
      <c r="U36" s="724">
        <f>明细表!D13</f>
        <v>6</v>
      </c>
    </row>
    <row r="37" spans="1:21">
      <c r="A37" s="150"/>
      <c r="B37" s="54"/>
      <c r="C37" s="21">
        <f t="shared" si="12"/>
        <v>1</v>
      </c>
      <c r="D37" s="2808"/>
      <c r="E37" s="21">
        <f t="shared" si="13"/>
        <v>0.01</v>
      </c>
      <c r="F37" s="2808"/>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c r="T37" s="724" t="str">
        <f>明细表!G14</f>
        <v>办公</v>
      </c>
      <c r="U37" s="724">
        <f>明细表!D14</f>
        <v>6</v>
      </c>
    </row>
    <row r="38" spans="1:21">
      <c r="A38" s="150"/>
      <c r="B38" s="54"/>
      <c r="C38" s="21">
        <f t="shared" si="12"/>
        <v>1</v>
      </c>
      <c r="D38" s="2808"/>
      <c r="E38" s="21">
        <f t="shared" si="13"/>
        <v>0.01</v>
      </c>
      <c r="F38" s="2808"/>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c r="T38" s="724" t="str">
        <f>明细表!G15</f>
        <v>公寓</v>
      </c>
      <c r="U38" s="724">
        <f>明细表!D15</f>
        <v>6</v>
      </c>
    </row>
    <row r="39" spans="1:21">
      <c r="A39" s="150"/>
      <c r="B39" s="54"/>
      <c r="C39" s="21">
        <f t="shared" si="12"/>
        <v>1</v>
      </c>
      <c r="D39" s="2808"/>
      <c r="E39" s="21">
        <f t="shared" si="13"/>
        <v>0.01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c r="T39" s="724" t="str">
        <f>明细表!G16</f>
        <v>公寓</v>
      </c>
      <c r="U39" s="724">
        <f>明细表!D16</f>
        <v>7</v>
      </c>
    </row>
    <row r="40" spans="1:21">
      <c r="A40" s="150"/>
      <c r="B40" s="54"/>
      <c r="C40" s="21">
        <f t="shared" si="12"/>
        <v>1</v>
      </c>
      <c r="D40" s="2808"/>
      <c r="E40" s="21">
        <f t="shared" si="13"/>
        <v>0.01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c r="T40" s="724" t="str">
        <f>明细表!G17</f>
        <v>办公</v>
      </c>
      <c r="U40" s="724">
        <f>明细表!D17</f>
        <v>7</v>
      </c>
    </row>
    <row r="41" spans="1:21">
      <c r="A41" s="150"/>
      <c r="B41" s="54"/>
      <c r="C41" s="21">
        <f t="shared" si="12"/>
        <v>1</v>
      </c>
      <c r="D41" s="2808"/>
      <c r="E41" s="21">
        <f t="shared" si="13"/>
        <v>0.01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c r="T41" s="724" t="str">
        <f>明细表!G18</f>
        <v>办公</v>
      </c>
      <c r="U41" s="724">
        <f>明细表!D18</f>
        <v>7</v>
      </c>
    </row>
    <row r="42" spans="1:21">
      <c r="A42" s="150"/>
      <c r="B42" s="54"/>
      <c r="C42" s="21">
        <f t="shared" si="12"/>
        <v>1</v>
      </c>
      <c r="D42" s="2808"/>
      <c r="E42" s="21">
        <f t="shared" si="13"/>
        <v>0.01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c r="T42" s="724" t="str">
        <f>明细表!G19</f>
        <v>公寓</v>
      </c>
      <c r="U42" s="724">
        <f>明细表!D19</f>
        <v>7</v>
      </c>
    </row>
    <row r="43" spans="1:21">
      <c r="A43" s="150"/>
      <c r="B43" s="54"/>
      <c r="C43" s="21">
        <f t="shared" si="12"/>
        <v>1</v>
      </c>
      <c r="D43" s="2808"/>
      <c r="E43" s="21">
        <f t="shared" si="13"/>
        <v>0.01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c r="T43" s="724" t="str">
        <f>明细表!G20</f>
        <v>公寓</v>
      </c>
      <c r="U43" s="724">
        <f>明细表!D20</f>
        <v>7</v>
      </c>
    </row>
    <row r="44" spans="1:21">
      <c r="A44" s="150"/>
      <c r="B44" s="54"/>
      <c r="C44" s="21">
        <f t="shared" si="12"/>
        <v>1</v>
      </c>
      <c r="D44" s="2808"/>
      <c r="E44" s="21">
        <f t="shared" si="13"/>
        <v>0.01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c r="T44" s="724" t="str">
        <f>明细表!G21</f>
        <v>公寓</v>
      </c>
      <c r="U44" s="724">
        <f>明细表!D21</f>
        <v>7</v>
      </c>
    </row>
    <row r="45" spans="1:21">
      <c r="A45" s="150"/>
      <c r="B45" s="54"/>
      <c r="C45" s="21">
        <f t="shared" si="12"/>
        <v>1</v>
      </c>
      <c r="D45" s="2808"/>
      <c r="E45" s="21">
        <f t="shared" si="13"/>
        <v>0.01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c r="T45" s="724" t="str">
        <f>明细表!G22</f>
        <v>公寓</v>
      </c>
      <c r="U45" s="724">
        <f>明细表!D22</f>
        <v>8</v>
      </c>
    </row>
    <row r="46" spans="1:21">
      <c r="A46" s="150"/>
      <c r="B46" s="54"/>
      <c r="C46" s="21">
        <f t="shared" si="12"/>
        <v>1</v>
      </c>
      <c r="D46" s="2808"/>
      <c r="E46" s="21">
        <f t="shared" si="13"/>
        <v>0.01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c r="T46" s="724" t="str">
        <f>明细表!G23</f>
        <v>公寓</v>
      </c>
      <c r="U46" s="724">
        <f>明细表!D23</f>
        <v>8</v>
      </c>
    </row>
    <row r="47" spans="1:21">
      <c r="A47" s="150"/>
      <c r="B47" s="54"/>
      <c r="C47" s="21">
        <f t="shared" si="12"/>
        <v>1</v>
      </c>
      <c r="D47" s="2808"/>
      <c r="E47" s="21">
        <f t="shared" si="13"/>
        <v>0.01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c r="T47" s="724" t="str">
        <f>明细表!G24</f>
        <v>公寓</v>
      </c>
      <c r="U47" s="724">
        <f>明细表!D24</f>
        <v>8</v>
      </c>
    </row>
    <row r="48" spans="1:21">
      <c r="A48" s="150"/>
      <c r="B48" s="54"/>
      <c r="C48" s="21">
        <f t="shared" si="12"/>
        <v>1</v>
      </c>
      <c r="D48" s="2808"/>
      <c r="E48" s="21">
        <f t="shared" si="13"/>
        <v>0.01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c r="T48" s="724" t="str">
        <f>明细表!G25</f>
        <v>公寓</v>
      </c>
      <c r="U48" s="724">
        <f>明细表!D25</f>
        <v>8</v>
      </c>
    </row>
    <row r="49" spans="1:21">
      <c r="A49" s="150"/>
      <c r="B49" s="54"/>
      <c r="C49" s="21">
        <f t="shared" si="12"/>
        <v>1</v>
      </c>
      <c r="D49" s="2808"/>
      <c r="E49" s="21">
        <f t="shared" si="13"/>
        <v>0.01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c r="T49" s="724" t="str">
        <f>明细表!G26</f>
        <v>公寓</v>
      </c>
      <c r="U49" s="724">
        <f>明细表!D26</f>
        <v>8</v>
      </c>
    </row>
    <row r="50" spans="1:21">
      <c r="A50" s="150"/>
      <c r="B50" s="54"/>
      <c r="C50" s="21">
        <f t="shared" si="12"/>
        <v>1</v>
      </c>
      <c r="D50" s="2808"/>
      <c r="E50" s="21">
        <f t="shared" si="13"/>
        <v>0.01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c r="T50" s="724" t="str">
        <f>明细表!G27</f>
        <v>公寓</v>
      </c>
      <c r="U50" s="724">
        <f>明细表!D27</f>
        <v>9</v>
      </c>
    </row>
    <row r="51" spans="1:21">
      <c r="A51" s="150"/>
      <c r="B51" s="54"/>
      <c r="C51" s="21">
        <f t="shared" si="12"/>
        <v>1</v>
      </c>
      <c r="D51" s="2808"/>
      <c r="E51" s="21">
        <f t="shared" si="13"/>
        <v>0.01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c r="T51" s="724" t="str">
        <f>明细表!G28</f>
        <v>公寓</v>
      </c>
      <c r="U51" s="724">
        <f>明细表!D28</f>
        <v>9</v>
      </c>
    </row>
    <row r="52" spans="1:21">
      <c r="A52" s="150"/>
      <c r="B52" s="54"/>
      <c r="C52" s="21">
        <f t="shared" si="12"/>
        <v>1</v>
      </c>
      <c r="D52" s="2808"/>
      <c r="E52" s="21">
        <f t="shared" si="13"/>
        <v>0.01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c r="T52" s="724" t="str">
        <f>明细表!G29</f>
        <v>公寓</v>
      </c>
      <c r="U52" s="724">
        <f>明细表!D29</f>
        <v>9</v>
      </c>
    </row>
    <row r="53" spans="1:21">
      <c r="A53" s="150"/>
      <c r="B53" s="54"/>
      <c r="C53" s="21">
        <f t="shared" si="12"/>
        <v>1</v>
      </c>
      <c r="D53" s="2808"/>
      <c r="E53" s="21">
        <f t="shared" si="13"/>
        <v>0.01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c r="T53" s="724" t="str">
        <f>明细表!G30</f>
        <v>公寓</v>
      </c>
      <c r="U53" s="724">
        <f>明细表!D30</f>
        <v>9</v>
      </c>
    </row>
    <row r="54" spans="1:21">
      <c r="A54" s="150"/>
      <c r="B54" s="54"/>
      <c r="C54" s="21">
        <f t="shared" si="12"/>
        <v>1</v>
      </c>
      <c r="D54" s="2808"/>
      <c r="E54" s="21">
        <f t="shared" si="13"/>
        <v>0.01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c r="T54" s="724" t="str">
        <f>明细表!G31</f>
        <v>公寓</v>
      </c>
      <c r="U54" s="724">
        <f>明细表!D31</f>
        <v>9</v>
      </c>
    </row>
    <row r="55" spans="1:21">
      <c r="A55" s="150"/>
      <c r="B55" s="54"/>
      <c r="C55" s="21">
        <f t="shared" si="12"/>
        <v>1</v>
      </c>
      <c r="D55" s="2808"/>
      <c r="E55" s="21">
        <f t="shared" si="13"/>
        <v>0.01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c r="T55" s="724" t="str">
        <f>明细表!G32</f>
        <v>公寓</v>
      </c>
      <c r="U55" s="724">
        <f>明细表!D32</f>
        <v>9</v>
      </c>
    </row>
    <row r="56" spans="1:21">
      <c r="A56" s="150"/>
      <c r="B56" s="54"/>
      <c r="C56" s="21">
        <f t="shared" si="12"/>
        <v>1</v>
      </c>
      <c r="D56" s="2808"/>
      <c r="E56" s="21">
        <f t="shared" si="13"/>
        <v>0.01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c r="T56" s="724" t="str">
        <f>明细表!G33</f>
        <v>公寓</v>
      </c>
      <c r="U56" s="724">
        <f>明细表!D33</f>
        <v>9</v>
      </c>
    </row>
    <row r="57" spans="1:21">
      <c r="A57" s="150"/>
      <c r="B57" s="54"/>
      <c r="C57" s="21">
        <f t="shared" si="12"/>
        <v>1</v>
      </c>
      <c r="D57" s="2808"/>
      <c r="E57" s="21">
        <f t="shared" si="13"/>
        <v>0.01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c r="T57" s="724" t="str">
        <f>明细表!G34</f>
        <v>公寓</v>
      </c>
      <c r="U57" s="724">
        <f>明细表!D34</f>
        <v>9</v>
      </c>
    </row>
    <row r="58" spans="1:21">
      <c r="A58" s="150"/>
      <c r="B58" s="54"/>
      <c r="C58" s="21">
        <f t="shared" si="12"/>
        <v>1</v>
      </c>
      <c r="D58" s="2808"/>
      <c r="E58" s="21">
        <f t="shared" si="13"/>
        <v>0.01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c r="T58" s="724" t="str">
        <f>明细表!G35</f>
        <v>公寓</v>
      </c>
      <c r="U58" s="724">
        <f>明细表!D35</f>
        <v>9</v>
      </c>
    </row>
    <row r="59" spans="1:21">
      <c r="A59" s="150"/>
      <c r="B59" s="54"/>
      <c r="C59" s="21">
        <f t="shared" si="12"/>
        <v>1</v>
      </c>
      <c r="D59" s="2808"/>
      <c r="E59" s="21">
        <f t="shared" si="13"/>
        <v>0.01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c r="T59" s="724" t="str">
        <f>明细表!G36</f>
        <v>公寓</v>
      </c>
      <c r="U59" s="724">
        <f>明细表!D36</f>
        <v>9</v>
      </c>
    </row>
    <row r="60" spans="1:21">
      <c r="A60" s="150"/>
      <c r="B60" s="54"/>
      <c r="C60" s="21">
        <f t="shared" si="12"/>
        <v>1</v>
      </c>
      <c r="D60" s="2808"/>
      <c r="E60" s="21">
        <f t="shared" si="13"/>
        <v>0.01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c r="T60" s="724" t="str">
        <f>明细表!G37</f>
        <v>公寓</v>
      </c>
      <c r="U60" s="724">
        <f>明细表!D37</f>
        <v>10</v>
      </c>
    </row>
    <row r="61" spans="1:21">
      <c r="A61" s="150"/>
      <c r="B61" s="54"/>
      <c r="C61" s="21">
        <f t="shared" si="12"/>
        <v>1</v>
      </c>
      <c r="D61" s="2808"/>
      <c r="E61" s="21">
        <f t="shared" si="13"/>
        <v>0.01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c r="T61" s="724" t="str">
        <f>明细表!G38</f>
        <v>公寓</v>
      </c>
      <c r="U61" s="724">
        <f>明细表!D38</f>
        <v>10</v>
      </c>
    </row>
    <row r="62" spans="1:21">
      <c r="A62" s="150"/>
      <c r="B62" s="54"/>
      <c r="C62" s="21">
        <f t="shared" si="12"/>
        <v>1</v>
      </c>
      <c r="D62" s="2808"/>
      <c r="E62" s="21">
        <f t="shared" si="13"/>
        <v>0.01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c r="T62" s="724" t="str">
        <f>明细表!G39</f>
        <v>公寓</v>
      </c>
      <c r="U62" s="724">
        <f>明细表!D39</f>
        <v>11</v>
      </c>
    </row>
    <row r="63" spans="1:21">
      <c r="A63" s="150"/>
      <c r="B63" s="54"/>
      <c r="C63" s="21">
        <f t="shared" si="12"/>
        <v>1</v>
      </c>
      <c r="D63" s="2808"/>
      <c r="E63" s="21">
        <f t="shared" si="13"/>
        <v>0.01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c r="T63" s="724" t="str">
        <f>明细表!G40</f>
        <v>公寓</v>
      </c>
      <c r="U63" s="724">
        <f>明细表!D40</f>
        <v>11</v>
      </c>
    </row>
    <row r="64" spans="1:21">
      <c r="A64" s="150"/>
      <c r="B64" s="54"/>
      <c r="C64" s="21">
        <f t="shared" si="12"/>
        <v>1</v>
      </c>
      <c r="D64" s="2808"/>
      <c r="E64" s="21">
        <f t="shared" si="13"/>
        <v>0.01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c r="T64" s="724" t="str">
        <f>明细表!G41</f>
        <v>公寓</v>
      </c>
      <c r="U64" s="724">
        <f>明细表!D41</f>
        <v>11</v>
      </c>
    </row>
    <row r="65" spans="1:21">
      <c r="A65" s="150"/>
      <c r="B65" s="54"/>
      <c r="C65" s="21">
        <f t="shared" si="12"/>
        <v>1</v>
      </c>
      <c r="D65" s="2808"/>
      <c r="E65" s="21">
        <f t="shared" si="13"/>
        <v>0.01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c r="T65" s="724" t="str">
        <f>明细表!G42</f>
        <v>公寓</v>
      </c>
      <c r="U65" s="724">
        <f>明细表!D42</f>
        <v>11</v>
      </c>
    </row>
    <row r="66" spans="1:21">
      <c r="A66" s="150"/>
      <c r="B66" s="54"/>
      <c r="C66" s="21">
        <f t="shared" si="12"/>
        <v>1</v>
      </c>
      <c r="D66" s="2808"/>
      <c r="E66" s="21">
        <f t="shared" si="13"/>
        <v>0.01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c r="T66" s="724" t="str">
        <f>明细表!G43</f>
        <v>公寓</v>
      </c>
      <c r="U66" s="724">
        <f>明细表!D43</f>
        <v>11</v>
      </c>
    </row>
    <row r="67" spans="1:21">
      <c r="A67" s="150"/>
      <c r="B67" s="54"/>
      <c r="C67" s="21">
        <f t="shared" si="12"/>
        <v>1</v>
      </c>
      <c r="D67" s="2808"/>
      <c r="E67" s="21">
        <f t="shared" si="13"/>
        <v>0.01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c r="T67" s="724" t="str">
        <f>明细表!G44</f>
        <v>公寓</v>
      </c>
      <c r="U67" s="724">
        <f>明细表!D44</f>
        <v>11</v>
      </c>
    </row>
    <row r="68" spans="1:21">
      <c r="A68" s="150"/>
      <c r="B68" s="54"/>
      <c r="C68" s="21">
        <f t="shared" si="12"/>
        <v>1</v>
      </c>
      <c r="D68" s="2808"/>
      <c r="E68" s="21">
        <f t="shared" si="13"/>
        <v>0.01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c r="T68" s="724" t="str">
        <f>明细表!G45</f>
        <v>办公</v>
      </c>
      <c r="U68" s="724">
        <f>明细表!D45</f>
        <v>14</v>
      </c>
    </row>
    <row r="69" spans="1:21">
      <c r="A69" s="150"/>
      <c r="B69" s="54"/>
      <c r="C69" s="21">
        <f t="shared" si="12"/>
        <v>1</v>
      </c>
      <c r="D69" s="2808"/>
      <c r="E69" s="21">
        <f t="shared" si="13"/>
        <v>0.01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c r="T69" s="724" t="str">
        <f>明细表!G46</f>
        <v>办公</v>
      </c>
      <c r="U69" s="724">
        <f>明细表!D46</f>
        <v>14</v>
      </c>
    </row>
    <row r="70" spans="1:21">
      <c r="A70" s="150"/>
      <c r="B70" s="54"/>
      <c r="C70" s="21">
        <f t="shared" si="12"/>
        <v>1</v>
      </c>
      <c r="D70" s="2808"/>
      <c r="E70" s="21">
        <f t="shared" si="13"/>
        <v>0.01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c r="T70" s="724" t="str">
        <f>明细表!G47</f>
        <v>办公</v>
      </c>
      <c r="U70" s="724">
        <f>明细表!D47</f>
        <v>14</v>
      </c>
    </row>
    <row r="71" spans="1:21">
      <c r="A71" s="150"/>
      <c r="B71" s="54"/>
      <c r="C71" s="21">
        <f t="shared" si="12"/>
        <v>1</v>
      </c>
      <c r="D71" s="2808"/>
      <c r="E71" s="21">
        <f t="shared" si="13"/>
        <v>0.01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c r="T71" s="724" t="str">
        <f>明细表!G48</f>
        <v>办公</v>
      </c>
      <c r="U71" s="724">
        <f>明细表!D48</f>
        <v>14</v>
      </c>
    </row>
    <row r="72" spans="1:21">
      <c r="A72" s="150"/>
      <c r="B72" s="54"/>
      <c r="C72" s="21">
        <f t="shared" si="12"/>
        <v>1</v>
      </c>
      <c r="D72" s="2808"/>
      <c r="E72" s="21">
        <f t="shared" si="13"/>
        <v>0.01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c r="T72" s="724" t="str">
        <f>明细表!G49</f>
        <v>办公</v>
      </c>
      <c r="U72" s="724">
        <f>明细表!D49</f>
        <v>14</v>
      </c>
    </row>
    <row r="73" spans="1:21">
      <c r="A73" s="150"/>
      <c r="B73" s="54"/>
      <c r="C73" s="21">
        <f t="shared" si="12"/>
        <v>1</v>
      </c>
      <c r="D73" s="2808"/>
      <c r="E73" s="21">
        <f t="shared" si="13"/>
        <v>0.01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c r="T73" s="724" t="str">
        <f>明细表!G50</f>
        <v>办公</v>
      </c>
      <c r="U73" s="724">
        <f>明细表!D50</f>
        <v>14</v>
      </c>
    </row>
    <row r="74" spans="1:21">
      <c r="A74" s="150"/>
      <c r="B74" s="54"/>
      <c r="C74" s="21">
        <f t="shared" si="12"/>
        <v>1</v>
      </c>
      <c r="D74" s="2808"/>
      <c r="E74" s="21">
        <f t="shared" si="13"/>
        <v>0.01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c r="T74" s="724" t="str">
        <f>明细表!G51</f>
        <v>公寓</v>
      </c>
      <c r="U74" s="724">
        <f>明细表!D51</f>
        <v>14</v>
      </c>
    </row>
    <row r="75" spans="1:21">
      <c r="A75" s="150"/>
      <c r="B75" s="54"/>
      <c r="C75" s="21">
        <f t="shared" si="12"/>
        <v>1</v>
      </c>
      <c r="D75" s="2808"/>
      <c r="E75" s="21">
        <f t="shared" si="13"/>
        <v>0.01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c r="T75" s="724" t="str">
        <f>明细表!G52</f>
        <v>公寓</v>
      </c>
      <c r="U75" s="724">
        <f>明细表!D52</f>
        <v>14</v>
      </c>
    </row>
    <row r="76" spans="1:21">
      <c r="A76" s="150"/>
      <c r="B76" s="54"/>
      <c r="C76" s="21">
        <f t="shared" si="12"/>
        <v>1</v>
      </c>
      <c r="D76" s="2808"/>
      <c r="E76" s="21">
        <f t="shared" si="13"/>
        <v>0.01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c r="T76" s="724" t="str">
        <f>明细表!G53</f>
        <v>公寓</v>
      </c>
      <c r="U76" s="724">
        <f>明细表!D53</f>
        <v>14</v>
      </c>
    </row>
    <row r="77" spans="1:21">
      <c r="A77" s="150"/>
      <c r="B77" s="54"/>
      <c r="C77" s="21">
        <f t="shared" si="12"/>
        <v>1</v>
      </c>
      <c r="D77" s="2808"/>
      <c r="E77" s="21">
        <f t="shared" si="13"/>
        <v>0.01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c r="T77" s="724" t="str">
        <f>明细表!G54</f>
        <v>公寓</v>
      </c>
      <c r="U77" s="724">
        <f>明细表!D54</f>
        <v>14</v>
      </c>
    </row>
    <row r="78" spans="1:21">
      <c r="A78" s="150"/>
      <c r="B78" s="54"/>
      <c r="C78" s="21">
        <f t="shared" si="12"/>
        <v>1</v>
      </c>
      <c r="D78" s="2808"/>
      <c r="E78" s="21">
        <f t="shared" si="13"/>
        <v>0.01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c r="T78" s="724" t="str">
        <f>明细表!G55</f>
        <v>公寓</v>
      </c>
      <c r="U78" s="724">
        <f>明细表!D55</f>
        <v>14</v>
      </c>
    </row>
    <row r="79" spans="1:21">
      <c r="A79" s="150"/>
      <c r="B79" s="54"/>
      <c r="C79" s="21">
        <f t="shared" si="12"/>
        <v>1</v>
      </c>
      <c r="D79" s="2808"/>
      <c r="E79" s="21">
        <f t="shared" si="13"/>
        <v>0.01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c r="T79" s="724" t="str">
        <f>明细表!G56</f>
        <v>公寓</v>
      </c>
      <c r="U79" s="724">
        <f>明细表!D56</f>
        <v>15</v>
      </c>
    </row>
    <row r="80" spans="1:21">
      <c r="A80" s="150"/>
      <c r="B80" s="54"/>
      <c r="C80" s="21">
        <f t="shared" si="12"/>
        <v>1</v>
      </c>
      <c r="D80" s="2808"/>
      <c r="E80" s="21">
        <f t="shared" si="13"/>
        <v>0.01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c r="T80" s="724" t="str">
        <f>明细表!G57</f>
        <v>公寓</v>
      </c>
      <c r="U80" s="724">
        <f>明细表!D57</f>
        <v>15</v>
      </c>
    </row>
    <row r="81" spans="1:21">
      <c r="A81" s="150"/>
      <c r="B81" s="54"/>
      <c r="C81" s="21">
        <f t="shared" si="12"/>
        <v>1</v>
      </c>
      <c r="D81" s="2808"/>
      <c r="E81" s="21">
        <f t="shared" si="13"/>
        <v>0.01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c r="T81" s="724" t="str">
        <f>明细表!G58</f>
        <v>公寓</v>
      </c>
      <c r="U81" s="724">
        <f>明细表!D58</f>
        <v>15</v>
      </c>
    </row>
    <row r="82" spans="1:21">
      <c r="A82" s="150"/>
      <c r="B82" s="54"/>
      <c r="C82" s="21">
        <f t="shared" si="12"/>
        <v>1</v>
      </c>
      <c r="D82" s="2808"/>
      <c r="E82" s="21">
        <f t="shared" si="13"/>
        <v>0.01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c r="T82" s="724" t="str">
        <f>明细表!G59</f>
        <v>公寓</v>
      </c>
      <c r="U82" s="724">
        <f>明细表!D59</f>
        <v>15</v>
      </c>
    </row>
    <row r="83" spans="1:21">
      <c r="A83" s="150"/>
      <c r="B83" s="54"/>
      <c r="C83" s="21">
        <f t="shared" si="12"/>
        <v>1</v>
      </c>
      <c r="D83" s="2808"/>
      <c r="E83" s="21">
        <f t="shared" si="13"/>
        <v>0.01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c r="T83" s="724" t="str">
        <f>明细表!G60</f>
        <v>公寓</v>
      </c>
      <c r="U83" s="724">
        <f>明细表!D60</f>
        <v>15</v>
      </c>
    </row>
    <row r="84" spans="1:21">
      <c r="A84" s="150"/>
      <c r="B84" s="54"/>
      <c r="C84" s="21">
        <f t="shared" si="12"/>
        <v>1</v>
      </c>
      <c r="D84" s="2808"/>
      <c r="E84" s="21">
        <f t="shared" si="13"/>
        <v>0.01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c r="T84" s="724" t="str">
        <f>明细表!G61</f>
        <v>公寓</v>
      </c>
      <c r="U84" s="724">
        <f>明细表!D61</f>
        <v>15</v>
      </c>
    </row>
    <row r="85" spans="1:21">
      <c r="A85" s="150"/>
      <c r="B85" s="54"/>
      <c r="C85" s="21">
        <f t="shared" si="12"/>
        <v>1</v>
      </c>
      <c r="D85" s="2808"/>
      <c r="E85" s="21">
        <f t="shared" si="13"/>
        <v>0.01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c r="T85" s="724" t="str">
        <f>明细表!G62</f>
        <v>公寓</v>
      </c>
      <c r="U85" s="724">
        <f>明细表!D62</f>
        <v>15</v>
      </c>
    </row>
    <row r="86" spans="1:21">
      <c r="A86" s="150"/>
      <c r="B86" s="54"/>
      <c r="C86" s="21">
        <f t="shared" si="12"/>
        <v>1</v>
      </c>
      <c r="D86" s="2808"/>
      <c r="E86" s="21">
        <f t="shared" si="13"/>
        <v>0.01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c r="T86" s="724" t="str">
        <f>明细表!G63</f>
        <v>公寓</v>
      </c>
      <c r="U86" s="724">
        <f>明细表!D63</f>
        <v>15</v>
      </c>
    </row>
    <row r="87" spans="1:21">
      <c r="A87" s="150"/>
      <c r="B87" s="54"/>
      <c r="C87" s="21">
        <f t="shared" si="12"/>
        <v>1</v>
      </c>
      <c r="D87" s="2808"/>
      <c r="E87" s="21">
        <f t="shared" si="13"/>
        <v>0.01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c r="T87" s="724" t="str">
        <f>明细表!G64</f>
        <v>公寓</v>
      </c>
      <c r="U87" s="724">
        <f>明细表!D64</f>
        <v>16</v>
      </c>
    </row>
    <row r="88" spans="1:21">
      <c r="A88" s="150"/>
      <c r="B88" s="54"/>
      <c r="C88" s="21">
        <f t="shared" si="12"/>
        <v>1</v>
      </c>
      <c r="D88" s="2808"/>
      <c r="E88" s="21">
        <f t="shared" si="13"/>
        <v>0.01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c r="T88" s="724" t="str">
        <f>明细表!G65</f>
        <v>公寓</v>
      </c>
      <c r="U88" s="724">
        <f>明细表!D65</f>
        <v>16</v>
      </c>
    </row>
    <row r="89" spans="1:21">
      <c r="A89" s="150"/>
      <c r="B89" s="54"/>
      <c r="C89" s="21">
        <f t="shared" si="12"/>
        <v>1</v>
      </c>
      <c r="D89" s="2808"/>
      <c r="E89" s="21">
        <f t="shared" si="13"/>
        <v>0.01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c r="T89" s="724" t="str">
        <f>明细表!G66</f>
        <v>公寓</v>
      </c>
      <c r="U89" s="724">
        <f>明细表!D66</f>
        <v>16</v>
      </c>
    </row>
    <row r="90" spans="1:21">
      <c r="A90" s="150"/>
      <c r="B90" s="54"/>
      <c r="C90" s="21">
        <f t="shared" ref="C90:C153" si="23">IF(B90="",1,(LOOKUP(B90,$3:$3,$4:$4)-LOOKUP($B$24,$3:$3,$4:$4)+100)/100)</f>
        <v>1</v>
      </c>
      <c r="D90" s="2808"/>
      <c r="E90" s="21">
        <f t="shared" ref="E90:E153" si="24">(SUMIF($5:$5,D90,$6:$6)-SUMIF($5:$5,$D$24,$6:$6)+100)/100</f>
        <v>0.01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c r="T90" s="724" t="str">
        <f>明细表!G67</f>
        <v>公寓</v>
      </c>
      <c r="U90" s="724">
        <f>明细表!D67</f>
        <v>16</v>
      </c>
    </row>
    <row r="91" spans="1:21">
      <c r="A91" s="150"/>
      <c r="B91" s="54"/>
      <c r="C91" s="21">
        <f t="shared" si="23"/>
        <v>1</v>
      </c>
      <c r="D91" s="2808"/>
      <c r="E91" s="21">
        <f t="shared" si="24"/>
        <v>0.01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c r="T91" s="724" t="str">
        <f>明细表!G68</f>
        <v>公寓</v>
      </c>
      <c r="U91" s="724">
        <f>明细表!D68</f>
        <v>16</v>
      </c>
    </row>
    <row r="92" spans="1:21">
      <c r="A92" s="150"/>
      <c r="B92" s="54"/>
      <c r="C92" s="21">
        <f t="shared" si="23"/>
        <v>1</v>
      </c>
      <c r="D92" s="2808"/>
      <c r="E92" s="21">
        <f t="shared" si="24"/>
        <v>0.01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c r="T92" s="724" t="str">
        <f>明细表!G69</f>
        <v>公寓</v>
      </c>
      <c r="U92" s="724">
        <f>明细表!D69</f>
        <v>16</v>
      </c>
    </row>
    <row r="93" spans="1:21">
      <c r="A93" s="150"/>
      <c r="B93" s="54"/>
      <c r="C93" s="21">
        <f t="shared" si="23"/>
        <v>1</v>
      </c>
      <c r="D93" s="2808"/>
      <c r="E93" s="21">
        <f t="shared" si="24"/>
        <v>0.01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c r="T93" s="724" t="str">
        <f>明细表!G70</f>
        <v>办公</v>
      </c>
      <c r="U93" s="724">
        <f>明细表!D70</f>
        <v>2</v>
      </c>
    </row>
    <row r="94" spans="1:21">
      <c r="A94" s="150"/>
      <c r="B94" s="54"/>
      <c r="C94" s="21">
        <f t="shared" si="23"/>
        <v>1</v>
      </c>
      <c r="D94" s="2808"/>
      <c r="E94" s="21">
        <f t="shared" si="24"/>
        <v>0.01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c r="T94" s="724" t="str">
        <f>明细表!G71</f>
        <v>办公</v>
      </c>
      <c r="U94" s="724">
        <f>明细表!D71</f>
        <v>2</v>
      </c>
    </row>
    <row r="95" spans="1:21">
      <c r="A95" s="150"/>
      <c r="B95" s="54"/>
      <c r="C95" s="21">
        <f t="shared" si="23"/>
        <v>1</v>
      </c>
      <c r="D95" s="2808"/>
      <c r="E95" s="21">
        <f t="shared" si="24"/>
        <v>0.01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c r="T95" s="724" t="str">
        <f>明细表!G72</f>
        <v>办公</v>
      </c>
      <c r="U95" s="724">
        <f>明细表!D72</f>
        <v>2</v>
      </c>
    </row>
    <row r="96" spans="1:21">
      <c r="A96" s="150"/>
      <c r="B96" s="54"/>
      <c r="C96" s="21">
        <f t="shared" si="23"/>
        <v>1</v>
      </c>
      <c r="D96" s="2808"/>
      <c r="E96" s="21">
        <f t="shared" si="24"/>
        <v>0.01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c r="T96" s="724" t="str">
        <f>明细表!G73</f>
        <v>办公</v>
      </c>
      <c r="U96" s="724">
        <f>明细表!D73</f>
        <v>2</v>
      </c>
    </row>
    <row r="97" spans="1:21">
      <c r="A97" s="150"/>
      <c r="B97" s="54"/>
      <c r="C97" s="21">
        <f t="shared" si="23"/>
        <v>1</v>
      </c>
      <c r="D97" s="2808"/>
      <c r="E97" s="21">
        <f t="shared" si="24"/>
        <v>0.01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c r="T97" s="724" t="str">
        <f>明细表!G74</f>
        <v>办公</v>
      </c>
      <c r="U97" s="724">
        <f>明细表!D74</f>
        <v>2</v>
      </c>
    </row>
    <row r="98" spans="1:21">
      <c r="A98" s="150"/>
      <c r="B98" s="54"/>
      <c r="C98" s="21">
        <f t="shared" si="23"/>
        <v>1</v>
      </c>
      <c r="D98" s="2808"/>
      <c r="E98" s="21">
        <f t="shared" si="24"/>
        <v>0.01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c r="T98" s="724" t="str">
        <f>明细表!G75</f>
        <v>办公</v>
      </c>
      <c r="U98" s="724">
        <f>明细表!D75</f>
        <v>2</v>
      </c>
    </row>
    <row r="99" spans="1:21">
      <c r="A99" s="150"/>
      <c r="B99" s="54"/>
      <c r="C99" s="21">
        <f t="shared" si="23"/>
        <v>1</v>
      </c>
      <c r="D99" s="2808"/>
      <c r="E99" s="21">
        <f t="shared" si="24"/>
        <v>0.01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c r="T99" s="724" t="str">
        <f>明细表!G76</f>
        <v>办公</v>
      </c>
      <c r="U99" s="724">
        <f>明细表!D76</f>
        <v>2</v>
      </c>
    </row>
    <row r="100" spans="1:21">
      <c r="A100" s="150"/>
      <c r="B100" s="54"/>
      <c r="C100" s="21">
        <f t="shared" si="23"/>
        <v>1</v>
      </c>
      <c r="D100" s="2808"/>
      <c r="E100" s="21">
        <f t="shared" si="24"/>
        <v>0.01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c r="T100" s="724" t="str">
        <f>明细表!G77</f>
        <v>办公</v>
      </c>
      <c r="U100" s="724">
        <f>明细表!D77</f>
        <v>2</v>
      </c>
    </row>
    <row r="101" spans="1:21">
      <c r="A101" s="150"/>
      <c r="B101" s="54"/>
      <c r="C101" s="21">
        <f t="shared" si="23"/>
        <v>1</v>
      </c>
      <c r="D101" s="2808"/>
      <c r="E101" s="21">
        <f t="shared" si="24"/>
        <v>0.01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c r="T101" s="724" t="str">
        <f>明细表!G78</f>
        <v>办公</v>
      </c>
      <c r="U101" s="724">
        <f>明细表!D78</f>
        <v>7</v>
      </c>
    </row>
    <row r="102" spans="1:21">
      <c r="A102" s="150"/>
      <c r="B102" s="54"/>
      <c r="C102" s="21">
        <f t="shared" si="23"/>
        <v>1</v>
      </c>
      <c r="D102" s="2808"/>
      <c r="E102" s="21">
        <f t="shared" si="24"/>
        <v>0.01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c r="T102" s="724" t="str">
        <f>明细表!G79</f>
        <v>办公</v>
      </c>
      <c r="U102" s="724">
        <f>明细表!D79</f>
        <v>10</v>
      </c>
    </row>
    <row r="103" spans="1:21">
      <c r="A103" s="150"/>
      <c r="B103" s="54"/>
      <c r="C103" s="21">
        <f t="shared" si="23"/>
        <v>1</v>
      </c>
      <c r="D103" s="2808"/>
      <c r="E103" s="21">
        <f t="shared" si="24"/>
        <v>0.01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c r="T103" s="724" t="str">
        <f>明细表!G80</f>
        <v>办公</v>
      </c>
      <c r="U103" s="724">
        <f>明细表!D80</f>
        <v>10</v>
      </c>
    </row>
    <row r="104" spans="1:21">
      <c r="A104" s="150"/>
      <c r="B104" s="54"/>
      <c r="C104" s="21">
        <f t="shared" si="23"/>
        <v>1</v>
      </c>
      <c r="D104" s="666"/>
      <c r="E104" s="21">
        <f t="shared" si="24"/>
        <v>0.01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c r="T104" s="724" t="str">
        <f>明细表!G81</f>
        <v>办公</v>
      </c>
      <c r="U104" s="724">
        <f>明细表!D81</f>
        <v>10</v>
      </c>
    </row>
    <row r="105" spans="1:21">
      <c r="A105" s="150"/>
      <c r="B105" s="54"/>
      <c r="C105" s="21">
        <f t="shared" si="23"/>
        <v>1</v>
      </c>
      <c r="D105" s="666"/>
      <c r="E105" s="21">
        <f t="shared" si="24"/>
        <v>0.01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c r="T105" s="724" t="str">
        <f>明细表!G82</f>
        <v>办公</v>
      </c>
      <c r="U105" s="724">
        <f>明细表!D82</f>
        <v>10</v>
      </c>
    </row>
    <row r="106" spans="1:21">
      <c r="A106" s="150"/>
      <c r="B106" s="54"/>
      <c r="C106" s="21">
        <f t="shared" si="23"/>
        <v>1</v>
      </c>
      <c r="D106" s="666"/>
      <c r="E106" s="21">
        <f t="shared" si="24"/>
        <v>0.01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c r="T106" s="724" t="str">
        <f>明细表!G83</f>
        <v>办公</v>
      </c>
      <c r="U106" s="724">
        <f>明细表!D83</f>
        <v>10</v>
      </c>
    </row>
    <row r="107" spans="1:21">
      <c r="A107" s="150"/>
      <c r="B107" s="54"/>
      <c r="C107" s="21">
        <f t="shared" si="23"/>
        <v>1</v>
      </c>
      <c r="D107" s="666"/>
      <c r="E107" s="21">
        <f t="shared" si="24"/>
        <v>0.01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c r="T107" s="724" t="str">
        <f>明细表!G84</f>
        <v>办公</v>
      </c>
      <c r="U107" s="724">
        <f>明细表!D84</f>
        <v>10</v>
      </c>
    </row>
    <row r="108" spans="1:21">
      <c r="A108" s="150"/>
      <c r="B108" s="54"/>
      <c r="C108" s="21">
        <f t="shared" si="23"/>
        <v>1</v>
      </c>
      <c r="D108" s="666"/>
      <c r="E108" s="21">
        <f t="shared" si="24"/>
        <v>0.01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c r="T108" s="724" t="str">
        <f>明细表!G85</f>
        <v>办公</v>
      </c>
      <c r="U108" s="724">
        <f>明细表!D85</f>
        <v>10</v>
      </c>
    </row>
    <row r="109" spans="1:21">
      <c r="A109" s="150"/>
      <c r="B109" s="54"/>
      <c r="C109" s="21">
        <f t="shared" si="23"/>
        <v>1</v>
      </c>
      <c r="D109" s="2808"/>
      <c r="E109" s="21">
        <f t="shared" si="24"/>
        <v>0.01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c r="T109" s="724" t="str">
        <f>明细表!G86</f>
        <v>办公</v>
      </c>
      <c r="U109" s="724">
        <f>明细表!D86</f>
        <v>10</v>
      </c>
    </row>
    <row r="110" spans="1:21">
      <c r="A110" s="150"/>
      <c r="B110" s="54"/>
      <c r="C110" s="21">
        <f t="shared" si="23"/>
        <v>1</v>
      </c>
      <c r="D110" s="2808"/>
      <c r="E110" s="21">
        <f t="shared" si="24"/>
        <v>0.01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c r="T110" s="724" t="str">
        <f>明细表!G87</f>
        <v>办公</v>
      </c>
      <c r="U110" s="724">
        <f>明细表!D87</f>
        <v>11</v>
      </c>
    </row>
    <row r="111" spans="1:21">
      <c r="A111" s="150"/>
      <c r="B111" s="54"/>
      <c r="C111" s="21">
        <f t="shared" si="23"/>
        <v>1</v>
      </c>
      <c r="D111" s="2808"/>
      <c r="E111" s="21">
        <f t="shared" si="24"/>
        <v>0.01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c r="T111" s="724" t="str">
        <f>明细表!G88</f>
        <v>办公</v>
      </c>
      <c r="U111" s="724">
        <f>明细表!D88</f>
        <v>11</v>
      </c>
    </row>
    <row r="112" spans="1:21">
      <c r="A112" s="150"/>
      <c r="B112" s="54"/>
      <c r="C112" s="21">
        <f t="shared" si="23"/>
        <v>1</v>
      </c>
      <c r="D112" s="2808"/>
      <c r="E112" s="21">
        <f t="shared" si="24"/>
        <v>0.01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c r="T112" s="724" t="str">
        <f>明细表!G89</f>
        <v>办公</v>
      </c>
      <c r="U112" s="724">
        <f>明细表!D89</f>
        <v>11</v>
      </c>
    </row>
    <row r="113" spans="1:21">
      <c r="A113" s="150"/>
      <c r="B113" s="54"/>
      <c r="C113" s="21">
        <f t="shared" si="23"/>
        <v>1</v>
      </c>
      <c r="D113" s="2808"/>
      <c r="E113" s="21">
        <f t="shared" si="24"/>
        <v>0.01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c r="T113" s="724" t="str">
        <f>明细表!G90</f>
        <v>办公</v>
      </c>
      <c r="U113" s="724">
        <f>明细表!D90</f>
        <v>11</v>
      </c>
    </row>
    <row r="114" spans="1:21">
      <c r="A114" s="150"/>
      <c r="B114" s="54"/>
      <c r="C114" s="21">
        <f t="shared" si="23"/>
        <v>1</v>
      </c>
      <c r="D114" s="2808"/>
      <c r="E114" s="21">
        <f t="shared" si="24"/>
        <v>0.01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c r="T114" s="724" t="str">
        <f>明细表!G91</f>
        <v>办公</v>
      </c>
      <c r="U114" s="724">
        <f>明细表!D91</f>
        <v>11</v>
      </c>
    </row>
    <row r="115" spans="1:21">
      <c r="A115" s="150"/>
      <c r="B115" s="54"/>
      <c r="C115" s="21">
        <f t="shared" si="23"/>
        <v>1</v>
      </c>
      <c r="D115" s="2808"/>
      <c r="E115" s="21">
        <f t="shared" si="24"/>
        <v>0.01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c r="T115" s="724" t="str">
        <f>明细表!G92</f>
        <v>办公</v>
      </c>
      <c r="U115" s="724">
        <f>明细表!D92</f>
        <v>11</v>
      </c>
    </row>
    <row r="116" spans="1:21">
      <c r="A116" s="150"/>
      <c r="B116" s="54"/>
      <c r="C116" s="21">
        <f t="shared" si="23"/>
        <v>1</v>
      </c>
      <c r="D116" s="2808"/>
      <c r="E116" s="21">
        <f t="shared" si="24"/>
        <v>0.01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c r="T116" s="724" t="str">
        <f>明细表!G93</f>
        <v>办公</v>
      </c>
      <c r="U116" s="724">
        <f>明细表!D93</f>
        <v>11</v>
      </c>
    </row>
    <row r="117" spans="1:21">
      <c r="A117" s="150"/>
      <c r="B117" s="54"/>
      <c r="C117" s="21">
        <f t="shared" si="23"/>
        <v>1</v>
      </c>
      <c r="D117" s="2808"/>
      <c r="E117" s="21">
        <f t="shared" si="24"/>
        <v>0.01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c r="T117" s="724" t="str">
        <f>明细表!G94</f>
        <v>办公</v>
      </c>
      <c r="U117" s="724">
        <f>明细表!D94</f>
        <v>11</v>
      </c>
    </row>
    <row r="118" spans="1:21">
      <c r="A118" s="150"/>
      <c r="B118" s="54"/>
      <c r="C118" s="21">
        <f t="shared" si="23"/>
        <v>1</v>
      </c>
      <c r="D118" s="2808"/>
      <c r="E118" s="21">
        <f t="shared" si="24"/>
        <v>0.01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c r="T118" s="724" t="str">
        <f>明细表!G95</f>
        <v>办公</v>
      </c>
      <c r="U118" s="724">
        <f>明细表!D95</f>
        <v>18</v>
      </c>
    </row>
    <row r="119" spans="1:21">
      <c r="A119" s="150"/>
      <c r="B119" s="54"/>
      <c r="C119" s="21">
        <f t="shared" si="23"/>
        <v>1</v>
      </c>
      <c r="D119" s="2808"/>
      <c r="E119" s="21">
        <f t="shared" si="24"/>
        <v>0.01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c r="T119" s="724" t="str">
        <f>明细表!G96</f>
        <v>办公</v>
      </c>
      <c r="U119" s="724">
        <f>明细表!D96</f>
        <v>18</v>
      </c>
    </row>
    <row r="120" spans="1:21">
      <c r="A120" s="150"/>
      <c r="B120" s="54"/>
      <c r="C120" s="21">
        <f t="shared" si="23"/>
        <v>1</v>
      </c>
      <c r="D120" s="2808"/>
      <c r="E120" s="21">
        <f t="shared" si="24"/>
        <v>0.01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c r="T120" s="724" t="str">
        <f>明细表!G97</f>
        <v>办公</v>
      </c>
      <c r="U120" s="724">
        <f>明细表!D97</f>
        <v>18</v>
      </c>
    </row>
    <row r="121" spans="1:21">
      <c r="A121" s="150"/>
      <c r="B121" s="54"/>
      <c r="C121" s="21">
        <f t="shared" si="23"/>
        <v>1</v>
      </c>
      <c r="D121" s="2808"/>
      <c r="E121" s="21">
        <f t="shared" si="24"/>
        <v>0.01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c r="T121" s="724" t="str">
        <f>明细表!G98</f>
        <v>办公</v>
      </c>
      <c r="U121" s="724">
        <f>明细表!D98</f>
        <v>18</v>
      </c>
    </row>
    <row r="122" spans="1:21">
      <c r="A122" s="150"/>
      <c r="B122" s="54"/>
      <c r="C122" s="21">
        <f t="shared" si="23"/>
        <v>1</v>
      </c>
      <c r="D122" s="2808"/>
      <c r="E122" s="21">
        <f t="shared" si="24"/>
        <v>0.01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c r="T122" s="724" t="str">
        <f>明细表!G99</f>
        <v>办公</v>
      </c>
      <c r="U122" s="724">
        <f>明细表!D99</f>
        <v>18</v>
      </c>
    </row>
    <row r="123" spans="1:21">
      <c r="A123" s="150"/>
      <c r="B123" s="54"/>
      <c r="C123" s="21">
        <f t="shared" si="23"/>
        <v>1</v>
      </c>
      <c r="D123" s="2808"/>
      <c r="E123" s="21">
        <f t="shared" si="24"/>
        <v>0.01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c r="T123" s="724" t="str">
        <f>明细表!G100</f>
        <v>办公</v>
      </c>
      <c r="U123" s="724">
        <f>明细表!D100</f>
        <v>18</v>
      </c>
    </row>
    <row r="124" spans="1:21">
      <c r="A124" s="150"/>
      <c r="B124" s="54"/>
      <c r="C124" s="21">
        <f t="shared" si="23"/>
        <v>1</v>
      </c>
      <c r="D124" s="2808"/>
      <c r="E124" s="21">
        <f t="shared" si="24"/>
        <v>0.01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c r="T124" s="724" t="str">
        <f>明细表!G101</f>
        <v>办公</v>
      </c>
      <c r="U124" s="724">
        <f>明细表!D101</f>
        <v>18</v>
      </c>
    </row>
    <row r="125" spans="1:21">
      <c r="A125" s="150"/>
      <c r="B125" s="54"/>
      <c r="C125" s="21">
        <f t="shared" si="23"/>
        <v>1</v>
      </c>
      <c r="D125" s="2808"/>
      <c r="E125" s="21">
        <f t="shared" si="24"/>
        <v>0.01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c r="T125" s="724" t="str">
        <f>明细表!G102</f>
        <v>办公</v>
      </c>
      <c r="U125" s="724">
        <f>明细表!D102</f>
        <v>18</v>
      </c>
    </row>
    <row r="126" spans="1:21">
      <c r="A126" s="150"/>
      <c r="B126" s="54"/>
      <c r="C126" s="21">
        <f t="shared" si="23"/>
        <v>1</v>
      </c>
      <c r="D126" s="2808"/>
      <c r="E126" s="21">
        <f t="shared" si="24"/>
        <v>0.01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c r="T126" s="724" t="str">
        <f>明细表!G103</f>
        <v>办公</v>
      </c>
      <c r="U126" s="724">
        <f>明细表!D103</f>
        <v>19</v>
      </c>
    </row>
    <row r="127" spans="1:21">
      <c r="A127" s="150"/>
      <c r="B127" s="54"/>
      <c r="C127" s="21">
        <f t="shared" si="23"/>
        <v>1</v>
      </c>
      <c r="D127" s="2808"/>
      <c r="E127" s="21">
        <f t="shared" si="24"/>
        <v>0.01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c r="T127" s="724" t="str">
        <f>明细表!G104</f>
        <v>办公</v>
      </c>
      <c r="U127" s="724">
        <f>明细表!D104</f>
        <v>19</v>
      </c>
    </row>
    <row r="128" spans="1:21">
      <c r="A128" s="150"/>
      <c r="B128" s="54"/>
      <c r="C128" s="21">
        <f t="shared" si="23"/>
        <v>1</v>
      </c>
      <c r="D128" s="2808"/>
      <c r="E128" s="21">
        <f t="shared" si="24"/>
        <v>0.01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c r="T128" s="724" t="str">
        <f>明细表!G105</f>
        <v>办公</v>
      </c>
      <c r="U128" s="724">
        <f>明细表!D105</f>
        <v>19</v>
      </c>
    </row>
    <row r="129" spans="1:21">
      <c r="A129" s="150"/>
      <c r="B129" s="54"/>
      <c r="C129" s="21">
        <f t="shared" si="23"/>
        <v>1</v>
      </c>
      <c r="D129" s="2808"/>
      <c r="E129" s="21">
        <f t="shared" si="24"/>
        <v>0.01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c r="T129" s="724" t="str">
        <f>明细表!G106</f>
        <v>办公</v>
      </c>
      <c r="U129" s="724">
        <f>明细表!D106</f>
        <v>19</v>
      </c>
    </row>
    <row r="130" spans="1:21">
      <c r="A130" s="150"/>
      <c r="B130" s="54"/>
      <c r="C130" s="21">
        <f t="shared" si="23"/>
        <v>1</v>
      </c>
      <c r="D130" s="2808"/>
      <c r="E130" s="21">
        <f t="shared" si="24"/>
        <v>0.01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c r="T130" s="724" t="str">
        <f>明细表!G107</f>
        <v>办公</v>
      </c>
      <c r="U130" s="724">
        <f>明细表!D107</f>
        <v>19</v>
      </c>
    </row>
    <row r="131" spans="1:21">
      <c r="A131" s="150"/>
      <c r="B131" s="54"/>
      <c r="C131" s="21">
        <f t="shared" si="23"/>
        <v>1</v>
      </c>
      <c r="D131" s="2808"/>
      <c r="E131" s="21">
        <f t="shared" si="24"/>
        <v>0.01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c r="T131" s="724" t="str">
        <f>明细表!G108</f>
        <v>办公</v>
      </c>
      <c r="U131" s="724">
        <f>明细表!D108</f>
        <v>19</v>
      </c>
    </row>
    <row r="132" spans="1:21">
      <c r="A132" s="150"/>
      <c r="B132" s="54"/>
      <c r="C132" s="21">
        <f t="shared" si="23"/>
        <v>1</v>
      </c>
      <c r="D132" s="2808"/>
      <c r="E132" s="21">
        <f t="shared" si="24"/>
        <v>0.01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c r="T132" s="724" t="str">
        <f>明细表!G109</f>
        <v>办公</v>
      </c>
      <c r="U132" s="724">
        <f>明细表!D109</f>
        <v>19</v>
      </c>
    </row>
    <row r="133" spans="1:21">
      <c r="A133" s="150"/>
      <c r="B133" s="54"/>
      <c r="C133" s="21">
        <f t="shared" si="23"/>
        <v>1</v>
      </c>
      <c r="D133" s="2808"/>
      <c r="E133" s="21">
        <f t="shared" si="24"/>
        <v>0.01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c r="T133" s="724" t="str">
        <f>明细表!G110</f>
        <v>办公</v>
      </c>
      <c r="U133" s="724">
        <f>明细表!D110</f>
        <v>19</v>
      </c>
    </row>
    <row r="134" spans="1:21">
      <c r="A134" s="150"/>
      <c r="B134" s="54"/>
      <c r="C134" s="21">
        <f t="shared" si="23"/>
        <v>1</v>
      </c>
      <c r="D134" s="666"/>
      <c r="E134" s="21">
        <f t="shared" si="24"/>
        <v>0.01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21">
      <c r="A135" s="150"/>
      <c r="B135" s="54"/>
      <c r="C135" s="21">
        <f t="shared" si="23"/>
        <v>1</v>
      </c>
      <c r="D135" s="666"/>
      <c r="E135" s="21">
        <f t="shared" si="24"/>
        <v>0.01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21">
      <c r="A136" s="150"/>
      <c r="B136" s="54"/>
      <c r="C136" s="21">
        <f t="shared" si="23"/>
        <v>1</v>
      </c>
      <c r="D136" s="666"/>
      <c r="E136" s="21">
        <f t="shared" si="24"/>
        <v>0.01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21">
      <c r="A137" s="150"/>
      <c r="B137" s="54"/>
      <c r="C137" s="21">
        <f t="shared" si="23"/>
        <v>1</v>
      </c>
      <c r="D137" s="666"/>
      <c r="E137" s="21">
        <f t="shared" si="24"/>
        <v>0.01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21">
      <c r="A138" s="150"/>
      <c r="B138" s="54"/>
      <c r="C138" s="21">
        <f t="shared" si="23"/>
        <v>1</v>
      </c>
      <c r="D138" s="666"/>
      <c r="E138" s="21">
        <f t="shared" si="24"/>
        <v>0.01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21">
      <c r="A139" s="150"/>
      <c r="B139" s="54"/>
      <c r="C139" s="21">
        <f t="shared" si="23"/>
        <v>1</v>
      </c>
      <c r="D139" s="666"/>
      <c r="E139" s="21">
        <f t="shared" si="24"/>
        <v>0.01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21">
      <c r="A140" s="150"/>
      <c r="B140" s="54"/>
      <c r="C140" s="21">
        <f t="shared" si="23"/>
        <v>1</v>
      </c>
      <c r="D140" s="666"/>
      <c r="E140" s="21">
        <f t="shared" si="24"/>
        <v>0.01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21">
      <c r="A141" s="150"/>
      <c r="B141" s="54"/>
      <c r="C141" s="21">
        <f t="shared" si="23"/>
        <v>1</v>
      </c>
      <c r="D141" s="666"/>
      <c r="E141" s="21">
        <f t="shared" si="24"/>
        <v>0.01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21">
      <c r="A142" s="150"/>
      <c r="B142" s="54"/>
      <c r="C142" s="21">
        <f t="shared" si="23"/>
        <v>1</v>
      </c>
      <c r="D142" s="666"/>
      <c r="E142" s="21">
        <f t="shared" si="24"/>
        <v>0.01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21">
      <c r="A143" s="150"/>
      <c r="B143" s="54"/>
      <c r="C143" s="21">
        <f t="shared" si="23"/>
        <v>1</v>
      </c>
      <c r="D143" s="666"/>
      <c r="E143" s="21">
        <f t="shared" si="24"/>
        <v>0.01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21">
      <c r="A144" s="150"/>
      <c r="B144" s="54"/>
      <c r="C144" s="21">
        <f t="shared" si="23"/>
        <v>1</v>
      </c>
      <c r="D144" s="666"/>
      <c r="E144" s="21">
        <f t="shared" si="24"/>
        <v>0.01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0.01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0.01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0.01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0.01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0.01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0.01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0.01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0.01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0.01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0.01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0.01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0.01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0.01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0.01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0.01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0.01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0.01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0.01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0.01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0.01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0.01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0.01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0.01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0.01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0.01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0.01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0.01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0.01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0.01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0.01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0.01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0.01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0.01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0.01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0.01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0.01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0.01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0.01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0.01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0.01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0.01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0.01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0.01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0.01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0.01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0.01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0.01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0.01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0.01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0.01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0.01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0.01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0.01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0.01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0.01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0.01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0.01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0.01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0.01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0.01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0.01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0.01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0.01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0.01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0.01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0.01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0.01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0.01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0.01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0.01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0.01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0.01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0.01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0.01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0.01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0.01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0.01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0.01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0.01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0.01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0.01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0.01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0.01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0.01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0.01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0.01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0.01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0.01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0.01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0.01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0.01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0.01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0.01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0.01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0.01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0.01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0.01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0.01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0.01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0.01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0.01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0.01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0.01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0.01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0.01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0.01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0.01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0.01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0.01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0.01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0.01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0.01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0.01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0.01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0.01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0.01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0.01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0.01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0.01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0.01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0.01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0.01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0.01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0.01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0.01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0.01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0.01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0.01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0.01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0.01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0.01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0.01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0.01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0.01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0.01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0.01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0.01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0.01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0.01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0.01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0.01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0.01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0.01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0.01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0.01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0.01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0.01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0.01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0.01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0.01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0.01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0.01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0.01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0.01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0.01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0.01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0.01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0.01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0.01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0.01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0.01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0.01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0.01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0.01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0.01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0.01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0.01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0.01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0.01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0.01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0.01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0.01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0.01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0.01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0.01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0.01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0.01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0.01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0.01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0.01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0.01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0.01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0.01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0.01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0.01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0.01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0.01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0.01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0.01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0.01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0.01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0.01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0.01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0.01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0.01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0.01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0.01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0.01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0.01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0.01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0.01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0.01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0.01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0.01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0.01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0.01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0.01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0.01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0.01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0.01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0.01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0.01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0.01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0.01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0.01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0.01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0.01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0.01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0.01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0.01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0.01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0.01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0.01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0.01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0.01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0.01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0.01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0.01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0.01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0.01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0.01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0.01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0.01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0.01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0.01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0.01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0.01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0.01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0.01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0.01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0.01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0.01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0.01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0.01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0.01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0.01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0.01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0.01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0.01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0.01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0.01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0.01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0.01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0.01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0.01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0.01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0.01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0.01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0.01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0.01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0.01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0.01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0.01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0.01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0.01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0.01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0.01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0.01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0.01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0.01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0.01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0.01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0.01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0.01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0.01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0.01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0.01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0.01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0.01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0.01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0.01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0.01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0.01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0.01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0.01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0.01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0.01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0.01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0.01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0.01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0.01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0.01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0.01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0.01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0.01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0.01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0.01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0.01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0.01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0.01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0.01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0.01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0.01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0.01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0.01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0.01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0.01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0.01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0.01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0.01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0.01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0.01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0.01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0.01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0.01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0.01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0.01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0.01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0.01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0.01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0.01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0.01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0.01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0.01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0.01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0.01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0.01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0.01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0.01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0.01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0.01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0.01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0.01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0.01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0.01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0.01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0.01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0.01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0.01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0.01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0.01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0.01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0.01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0.01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0.01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0.01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0.01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0.01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0.01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0.01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0.01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0.01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0.01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0.01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0.01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0.01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0.01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0.01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0.01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0.01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0.01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0.01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0.01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0.01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0.01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0.01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0.01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0.01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0.01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0.01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0.01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0.01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0.01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0.01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0.01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0.01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0.01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0.01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0.01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0.01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K22" sqref="K22"/>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t="s">
        <v>673</v>
      </c>
      <c r="D1" s="1745"/>
      <c r="E1" s="1745"/>
      <c r="F1" s="1747" t="s">
        <v>1262</v>
      </c>
      <c r="G1" s="1559" t="s">
        <v>3583</v>
      </c>
      <c r="H1" s="1748" t="str">
        <f>IF(G1="现房","——","估价对象范围")</f>
        <v>——</v>
      </c>
      <c r="I1" s="1749" t="s">
        <v>3584</v>
      </c>
    </row>
    <row r="2" spans="1:12" ht="21.75" customHeight="1" thickBot="1">
      <c r="A2" s="3628" t="str">
        <f>项目基本情况!S2</f>
        <v>北京市房地产</v>
      </c>
      <c r="B2" s="3629"/>
      <c r="C2" s="3629"/>
      <c r="D2" s="3629"/>
      <c r="E2" s="3629"/>
      <c r="F2" s="3629"/>
      <c r="G2" s="3629"/>
      <c r="H2" s="3629"/>
      <c r="I2" s="3630"/>
    </row>
    <row r="3" spans="1:12" ht="12.75">
      <c r="A3" s="3632" t="s">
        <v>1263</v>
      </c>
      <c r="B3" s="3633"/>
      <c r="C3" s="3633"/>
      <c r="D3" s="3633"/>
      <c r="E3" s="3633"/>
      <c r="F3" s="3633"/>
      <c r="G3" s="3633"/>
      <c r="H3" s="3633"/>
      <c r="I3" s="3633"/>
    </row>
    <row r="4" spans="1:12" ht="14.25">
      <c r="A4" s="1752" t="s">
        <v>1264</v>
      </c>
      <c r="B4" s="1753" t="s">
        <v>1265</v>
      </c>
      <c r="C4" s="1754" t="s">
        <v>3613</v>
      </c>
      <c r="D4" s="1754" t="s">
        <v>3578</v>
      </c>
      <c r="E4" s="3634" t="s">
        <v>1266</v>
      </c>
      <c r="F4" s="3635"/>
      <c r="G4" s="3635"/>
      <c r="H4" s="3635"/>
      <c r="I4" s="3636"/>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08" t="s">
        <v>1267</v>
      </c>
      <c r="B5" s="3595">
        <v>25</v>
      </c>
      <c r="C5" s="3611"/>
      <c r="D5" s="3631"/>
      <c r="E5" s="131" t="s">
        <v>1268</v>
      </c>
      <c r="F5" s="1755"/>
      <c r="G5" s="1755"/>
      <c r="H5" s="1755"/>
      <c r="I5" s="1371"/>
    </row>
    <row r="6" spans="1:12" ht="12.75">
      <c r="A6" s="3608"/>
      <c r="B6" s="3595"/>
      <c r="C6" s="3612"/>
      <c r="D6" s="3631"/>
      <c r="E6" s="131" t="s">
        <v>1269</v>
      </c>
      <c r="F6" s="1755"/>
      <c r="G6" s="1755"/>
      <c r="H6" s="1755"/>
      <c r="I6" s="1371"/>
    </row>
    <row r="7" spans="1:12" ht="12.75">
      <c r="A7" s="3608"/>
      <c r="B7" s="3595"/>
      <c r="C7" s="3613"/>
      <c r="D7" s="3631"/>
      <c r="E7" s="131" t="s">
        <v>1270</v>
      </c>
      <c r="F7" s="1755"/>
      <c r="G7" s="1755"/>
      <c r="H7" s="1755"/>
      <c r="I7" s="1371"/>
    </row>
    <row r="8" spans="1:12" ht="12.75">
      <c r="A8" s="3608" t="s">
        <v>1271</v>
      </c>
      <c r="B8" s="3595">
        <v>15</v>
      </c>
      <c r="C8" s="3611"/>
      <c r="D8" s="3631"/>
      <c r="E8" s="131" t="s">
        <v>1272</v>
      </c>
      <c r="F8" s="1755"/>
      <c r="G8" s="1755"/>
      <c r="H8" s="1755"/>
      <c r="I8" s="1371"/>
    </row>
    <row r="9" spans="1:12" ht="12.75">
      <c r="A9" s="3608"/>
      <c r="B9" s="3595"/>
      <c r="C9" s="3613"/>
      <c r="D9" s="3631"/>
      <c r="E9" s="131" t="s">
        <v>1273</v>
      </c>
      <c r="F9" s="1755"/>
      <c r="G9" s="1755"/>
      <c r="H9" s="1755"/>
      <c r="I9" s="1371"/>
    </row>
    <row r="10" spans="1:12" ht="12.75">
      <c r="A10" s="3608" t="s">
        <v>1274</v>
      </c>
      <c r="B10" s="3595">
        <v>15</v>
      </c>
      <c r="C10" s="3611"/>
      <c r="D10" s="3631"/>
      <c r="E10" s="131" t="s">
        <v>1275</v>
      </c>
      <c r="F10" s="1755"/>
      <c r="G10" s="1755"/>
      <c r="H10" s="1755"/>
      <c r="I10" s="1371"/>
    </row>
    <row r="11" spans="1:12" ht="12.75">
      <c r="A11" s="3608"/>
      <c r="B11" s="3595"/>
      <c r="C11" s="3613"/>
      <c r="D11" s="3631"/>
      <c r="E11" s="131" t="s">
        <v>1276</v>
      </c>
      <c r="F11" s="1755"/>
      <c r="G11" s="1755"/>
      <c r="H11" s="1755"/>
      <c r="I11" s="1371"/>
    </row>
    <row r="12" spans="1:12" ht="12.75">
      <c r="A12" s="3608" t="s">
        <v>1277</v>
      </c>
      <c r="B12" s="3595">
        <v>15</v>
      </c>
      <c r="C12" s="3611"/>
      <c r="D12" s="3631"/>
      <c r="E12" s="131" t="s">
        <v>1278</v>
      </c>
      <c r="F12" s="1755"/>
      <c r="G12" s="1755"/>
      <c r="H12" s="1755"/>
      <c r="I12" s="1371"/>
    </row>
    <row r="13" spans="1:12" ht="12.75">
      <c r="A13" s="3608"/>
      <c r="B13" s="3595"/>
      <c r="C13" s="3613"/>
      <c r="D13" s="3631"/>
      <c r="E13" s="131" t="s">
        <v>1279</v>
      </c>
      <c r="F13" s="1755"/>
      <c r="G13" s="1755"/>
      <c r="H13" s="1755"/>
      <c r="I13" s="1371"/>
    </row>
    <row r="14" spans="1:12" ht="12.75">
      <c r="A14" s="3608" t="s">
        <v>1280</v>
      </c>
      <c r="B14" s="3595">
        <v>30</v>
      </c>
      <c r="C14" s="3611">
        <v>6</v>
      </c>
      <c r="D14" s="3631">
        <v>4</v>
      </c>
      <c r="E14" s="131" t="s">
        <v>1281</v>
      </c>
      <c r="F14" s="1755"/>
      <c r="G14" s="1755"/>
      <c r="H14" s="1755"/>
      <c r="I14" s="1371"/>
    </row>
    <row r="15" spans="1:12" ht="12.75">
      <c r="A15" s="3608"/>
      <c r="B15" s="3595"/>
      <c r="C15" s="3612"/>
      <c r="D15" s="3631"/>
      <c r="E15" s="131" t="s">
        <v>1282</v>
      </c>
      <c r="F15" s="1755"/>
      <c r="G15" s="1755"/>
      <c r="H15" s="1755"/>
      <c r="I15" s="1371"/>
    </row>
    <row r="16" spans="1:12" ht="12.75">
      <c r="A16" s="3608"/>
      <c r="B16" s="3595"/>
      <c r="C16" s="3613"/>
      <c r="D16" s="3631"/>
      <c r="E16" s="131" t="s">
        <v>1283</v>
      </c>
      <c r="F16" s="1755"/>
      <c r="G16" s="1755"/>
      <c r="H16" s="1755"/>
      <c r="I16" s="1371"/>
    </row>
    <row r="17" spans="1:36" ht="15">
      <c r="A17" s="1756" t="s">
        <v>1284</v>
      </c>
      <c r="B17" s="56"/>
      <c r="C17" s="132">
        <f>SUM(C5:C16)</f>
        <v>6</v>
      </c>
      <c r="D17" s="132">
        <f>SUM(D5:D16)</f>
        <v>4</v>
      </c>
      <c r="E17" s="129"/>
      <c r="F17" s="129"/>
      <c r="G17" s="129"/>
      <c r="H17" s="129"/>
      <c r="I17" s="129"/>
      <c r="K17" s="302"/>
      <c r="L17" s="302" t="s">
        <v>1285</v>
      </c>
      <c r="M17" s="302" t="s">
        <v>1286</v>
      </c>
    </row>
    <row r="18" spans="1:36" ht="31.9" customHeight="1" thickBot="1">
      <c r="A18" s="1757" t="s">
        <v>1287</v>
      </c>
      <c r="B18" s="1758"/>
      <c r="C18" s="133">
        <f>ROUND(C17/SUM(C17:D17),2)</f>
        <v>0.6</v>
      </c>
      <c r="D18" s="133">
        <f>1-C18</f>
        <v>0.4</v>
      </c>
      <c r="E18" s="3618" t="s">
        <v>2126</v>
      </c>
      <c r="F18" s="3619"/>
      <c r="G18" s="3619"/>
      <c r="H18" s="3619"/>
      <c r="I18" s="3619"/>
      <c r="K18" s="302" t="s">
        <v>1288</v>
      </c>
      <c r="L18" s="302">
        <f>IF(C1="",'数据-汇总表'!E3,SUMIF(项目类型,C1,'数据-汇总表'!E17:E26)+SUMIF(项目类型,C1,'数据-汇总表'!I17:I26))</f>
        <v>125.74</v>
      </c>
      <c r="M18" s="302">
        <f>IF(C1="",'数据-汇总表'!E3,SUMIF(项目类型,C1,'数据-汇总表'!E17:E26))</f>
        <v>125.74</v>
      </c>
    </row>
    <row r="19" spans="1:36" ht="15">
      <c r="A19" s="1759" t="s">
        <v>1289</v>
      </c>
      <c r="B19" s="1760" t="s">
        <v>1290</v>
      </c>
      <c r="C19" s="134">
        <f ca="1">SUMIF(INDIRECT("'"&amp;C4&amp;"'"&amp;"!A:A"),结果表商业!B19,INDIRECT("'"&amp;C4&amp;"'"&amp;"!B:B"))</f>
        <v>579.13329999999996</v>
      </c>
      <c r="D19" s="135" t="e">
        <f ca="1">SUMIF(INDIRECT("'"&amp;D4&amp;"'"&amp;"!A:A"),结果表商业!B19,INDIRECT("'"&amp;D4&amp;"'"&amp;"!B:B"))</f>
        <v>#REF!</v>
      </c>
      <c r="E19" s="1759" t="s">
        <v>1291</v>
      </c>
      <c r="F19" s="1760" t="s">
        <v>1290</v>
      </c>
      <c r="G19" s="136" t="e">
        <f ca="1">ROUND(C19*$C$18+D19*$D$18,0)</f>
        <v>#REF!</v>
      </c>
      <c r="H19" s="1761"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2"/>
      <c r="B20" s="1025" t="s">
        <v>1294</v>
      </c>
      <c r="C20" s="137">
        <f ca="1">SUMIF(INDIRECT("'"&amp;C4&amp;"'"&amp;"!A:A"),结果表商业!B20,INDIRECT("'"&amp;C4&amp;"'"&amp;"!B:B"))</f>
        <v>46058</v>
      </c>
      <c r="D20" s="138" t="e">
        <f ca="1">SUMIF(INDIRECT("'"&amp;D4&amp;"'"&amp;"!A:A"),结果表商业!B20,INDIRECT("'"&amp;D4&amp;"'"&amp;"!B:B"))</f>
        <v>#REF!</v>
      </c>
      <c r="E20" s="1762"/>
      <c r="F20" s="1025" t="s">
        <v>1294</v>
      </c>
      <c r="G20" s="139" t="e">
        <f ca="1">ROUND(C20*$C$18+D20*$D$18,0)</f>
        <v>#REF!</v>
      </c>
      <c r="H20" s="807" t="s">
        <v>1295</v>
      </c>
      <c r="I20" s="129"/>
    </row>
    <row r="21" spans="1:36" ht="15" customHeight="1" thickBot="1">
      <c r="A21" s="827"/>
      <c r="B21" s="1763" t="s">
        <v>1296</v>
      </c>
      <c r="C21" s="718" t="e">
        <f ca="1">ROUND(C19*10000/L19,0)</f>
        <v>#DIV/0!</v>
      </c>
      <c r="D21" s="719" t="e">
        <f ca="1">ROUND(D19*10000/L19,0)</f>
        <v>#REF!</v>
      </c>
      <c r="E21" s="827"/>
      <c r="F21" s="1763" t="s">
        <v>1296</v>
      </c>
      <c r="G21" s="140" t="e">
        <f ca="1">ROUND(G19*10000/L19,0)</f>
        <v>#REF!</v>
      </c>
      <c r="H21" s="1764" t="s">
        <v>1295</v>
      </c>
      <c r="I21" s="129"/>
    </row>
    <row r="22" spans="1:36" ht="15.75" thickBot="1">
      <c r="A22" s="1686" t="s">
        <v>1297</v>
      </c>
      <c r="B22" s="1765"/>
      <c r="C22" s="1766"/>
      <c r="D22" s="720" t="e">
        <f ca="1">IF(C19&lt;D19,D19/C19-1,C19/D19-1)</f>
        <v>#REF!</v>
      </c>
      <c r="E22" s="129"/>
      <c r="F22" s="129"/>
      <c r="G22" s="129"/>
      <c r="H22" s="129"/>
      <c r="I22" s="129"/>
      <c r="K22" s="3464">
        <v>103175</v>
      </c>
    </row>
    <row r="23" spans="1:36" ht="13.5" thickBot="1">
      <c r="A23" s="1745"/>
      <c r="B23" s="1745"/>
      <c r="C23" s="1745"/>
      <c r="D23" s="1745"/>
      <c r="E23" s="129"/>
      <c r="F23" s="129"/>
      <c r="G23" s="129"/>
      <c r="H23" s="129"/>
      <c r="I23" s="129"/>
    </row>
    <row r="24" spans="1:36" ht="14.25">
      <c r="A24" s="3602" t="s">
        <v>1298</v>
      </c>
      <c r="B24" s="1760" t="s">
        <v>1290</v>
      </c>
      <c r="C24" s="136">
        <f>IF(B30=0,0,D30)</f>
        <v>0</v>
      </c>
      <c r="D24" s="1767"/>
      <c r="E24" s="129"/>
      <c r="F24" s="129"/>
      <c r="G24" s="129"/>
      <c r="H24" s="129"/>
      <c r="I24" s="129"/>
    </row>
    <row r="25" spans="1:36" ht="14.25">
      <c r="A25" s="3603"/>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c r="K27" s="724">
        <v>48662</v>
      </c>
    </row>
    <row r="28" spans="1:36" ht="14.25">
      <c r="A28" s="1769"/>
      <c r="B28" s="142"/>
      <c r="C28" s="142"/>
      <c r="D28" s="143"/>
      <c r="E28" s="129"/>
      <c r="F28" s="129"/>
      <c r="G28" s="129"/>
      <c r="H28" s="129"/>
      <c r="I28" s="129"/>
      <c r="K28" s="724">
        <v>53742</v>
      </c>
      <c r="L28" s="724">
        <f>(K27-K28)/K28</f>
        <v>-9.4525696847902949E-2</v>
      </c>
    </row>
    <row r="29" spans="1:36" ht="14.25">
      <c r="A29" s="1769"/>
      <c r="B29" s="142"/>
      <c r="C29" s="142"/>
      <c r="D29" s="143"/>
      <c r="E29" s="129"/>
      <c r="F29" s="129"/>
      <c r="G29" s="129"/>
      <c r="H29" s="129"/>
      <c r="I29" s="129"/>
    </row>
    <row r="30" spans="1:36" ht="15" thickBot="1">
      <c r="A30" s="142" t="s">
        <v>1303</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t="e">
        <f ca="1">IF(D32="总价",G19-C24,G20-C25)</f>
        <v>#REF!</v>
      </c>
      <c r="D32" s="1773"/>
      <c r="E32" s="129"/>
      <c r="F32" s="129"/>
      <c r="G32" s="129"/>
      <c r="H32" s="129"/>
      <c r="I32" s="129"/>
    </row>
    <row r="33" spans="1:15" ht="15">
      <c r="A33" s="785" t="s">
        <v>1305</v>
      </c>
      <c r="B33" s="1774"/>
      <c r="C33" s="1775" t="s">
        <v>3598</v>
      </c>
      <c r="D33" s="1776"/>
      <c r="E33" s="1777" t="s">
        <v>1306</v>
      </c>
      <c r="F33" s="1778" t="str">
        <f>IF(D32="楼面单价","取值（单价）","取值（总价）")</f>
        <v>取值（总价）</v>
      </c>
      <c r="G33" s="129"/>
      <c r="H33" s="129"/>
      <c r="I33" s="129"/>
    </row>
    <row r="34" spans="1:15" ht="15">
      <c r="A34" s="1779"/>
      <c r="B34" s="1780"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1308</v>
      </c>
      <c r="F34" s="1329"/>
      <c r="G34" s="129"/>
      <c r="H34" s="129"/>
      <c r="I34" s="129"/>
    </row>
    <row r="35" spans="1:15" ht="15.75" thickBot="1">
      <c r="A35" s="1782"/>
      <c r="B35" s="1783"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1310</v>
      </c>
      <c r="F35" s="154"/>
      <c r="G35" s="129"/>
      <c r="H35" s="129"/>
      <c r="I35" s="129"/>
    </row>
    <row r="36" spans="1:15" ht="15.75" thickBot="1">
      <c r="A36" s="3622" t="s">
        <v>1311</v>
      </c>
      <c r="B36" s="1785" t="s">
        <v>1312</v>
      </c>
      <c r="C36" s="145"/>
      <c r="D36" s="1786"/>
      <c r="E36" s="1787"/>
      <c r="F36" s="1788"/>
      <c r="G36" s="129"/>
      <c r="H36" s="129"/>
      <c r="I36" s="129"/>
    </row>
    <row r="37" spans="1:15" ht="15.75" thickBot="1">
      <c r="A37" s="3623"/>
      <c r="B37" s="1672" t="s">
        <v>1313</v>
      </c>
      <c r="C37" s="147"/>
      <c r="D37" s="1138"/>
      <c r="E37" s="1138"/>
      <c r="F37" s="1788"/>
      <c r="G37" s="129"/>
      <c r="H37" s="129"/>
      <c r="I37" s="129"/>
    </row>
    <row r="38" spans="1:15" ht="15.75" thickBot="1">
      <c r="A38" s="3624"/>
      <c r="B38" s="1789" t="s">
        <v>1314</v>
      </c>
      <c r="C38" s="673"/>
      <c r="D38" s="1790" t="s">
        <v>1315</v>
      </c>
      <c r="E38" s="1138"/>
      <c r="F38" s="1788"/>
      <c r="G38" s="129"/>
      <c r="H38" s="129"/>
      <c r="I38" s="129"/>
    </row>
    <row r="39" spans="1:15" ht="15">
      <c r="A39" s="1762" t="s">
        <v>1316</v>
      </c>
      <c r="B39" s="1791" t="s">
        <v>1317</v>
      </c>
      <c r="C39" s="1792" t="s">
        <v>1301</v>
      </c>
      <c r="D39" s="1792" t="s">
        <v>1319</v>
      </c>
      <c r="E39" s="1793" t="s">
        <v>1302</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599" t="s">
        <v>1325</v>
      </c>
      <c r="B45" s="3600"/>
      <c r="C45" s="3601"/>
      <c r="D45" s="155" t="e">
        <f ca="1">ROUND(H101*F45,0)</f>
        <v>#REF!</v>
      </c>
      <c r="E45" s="156" t="s">
        <v>1326</v>
      </c>
      <c r="F45" s="157">
        <v>1</v>
      </c>
      <c r="G45" s="158" t="s">
        <v>1327</v>
      </c>
      <c r="H45" s="129"/>
      <c r="I45" s="129"/>
      <c r="J45" s="3677" t="s">
        <v>1328</v>
      </c>
      <c r="K45" s="3677"/>
      <c r="L45" s="3677"/>
      <c r="M45" s="3677"/>
      <c r="N45" s="3677"/>
      <c r="O45" s="3677"/>
    </row>
    <row r="46" spans="1:15" ht="14.25" customHeight="1">
      <c r="A46" s="3596" t="s">
        <v>1329</v>
      </c>
      <c r="B46" s="3597"/>
      <c r="C46" s="3597"/>
      <c r="D46" s="3597"/>
      <c r="E46" s="3597"/>
      <c r="F46" s="3597"/>
      <c r="G46" s="3598"/>
      <c r="H46" s="1804"/>
      <c r="I46" s="159"/>
      <c r="J46" s="3452">
        <v>1</v>
      </c>
      <c r="K46" s="3658" t="s">
        <v>1330</v>
      </c>
      <c r="L46" s="3658"/>
      <c r="M46" s="3678"/>
      <c r="N46" s="3678"/>
      <c r="O46" s="3678"/>
    </row>
    <row r="47" spans="1:15" ht="12" customHeight="1">
      <c r="A47" s="160" t="s">
        <v>1331</v>
      </c>
      <c r="B47" s="161"/>
      <c r="C47" s="162"/>
      <c r="D47" s="1086" t="s">
        <v>1332</v>
      </c>
      <c r="E47" s="302" t="s">
        <v>1333</v>
      </c>
      <c r="F47" s="163" t="s">
        <v>1334</v>
      </c>
      <c r="G47" s="2544" t="s">
        <v>1335</v>
      </c>
      <c r="H47" s="2545"/>
      <c r="I47" s="159"/>
      <c r="J47" s="3452">
        <v>2</v>
      </c>
      <c r="K47" s="3658" t="s">
        <v>1336</v>
      </c>
      <c r="L47" s="3658"/>
      <c r="M47" s="3679">
        <f>'数据-取费表'!B2</f>
        <v>45210</v>
      </c>
      <c r="N47" s="3679"/>
      <c r="O47" s="3679"/>
    </row>
    <row r="48" spans="1:15" ht="25.5">
      <c r="A48" s="3627" t="s">
        <v>1337</v>
      </c>
      <c r="B48" s="3610"/>
      <c r="C48" s="3610"/>
      <c r="D48" s="3449" t="b">
        <f>IF(H48="情况1",0,IF(H48="情况2",D52,IF(H48="情况3",D53,IF(H48="情况4",D54))))</f>
        <v>0</v>
      </c>
      <c r="E48" s="3462" t="str">
        <f>IF(H48="情况4","(销售额-原购置价)×税（费）率","销售额×税（费）率")</f>
        <v>销售额×税（费）率</v>
      </c>
      <c r="F48" s="2546">
        <f>IF(H48="情况1","免征",'数据-取费表'!B41)</f>
        <v>5.6000000000000001E-2</v>
      </c>
      <c r="G48" s="2547" t="s">
        <v>1338</v>
      </c>
      <c r="H48" s="2548"/>
      <c r="I48" s="1804"/>
      <c r="J48" s="3452">
        <v>3</v>
      </c>
      <c r="K48" s="3658" t="s">
        <v>1339</v>
      </c>
      <c r="L48" s="3658"/>
      <c r="M48" s="3680" t="e">
        <f ca="1">H101</f>
        <v>#REF!</v>
      </c>
      <c r="N48" s="3680"/>
      <c r="O48" s="3680"/>
    </row>
    <row r="49" spans="1:35" ht="25.5" customHeight="1">
      <c r="A49" s="3461" t="s">
        <v>1340</v>
      </c>
      <c r="B49" s="3594" t="s">
        <v>1341</v>
      </c>
      <c r="C49" s="3594"/>
      <c r="D49" s="1588">
        <v>0</v>
      </c>
      <c r="E49" s="324" t="s">
        <v>1342</v>
      </c>
      <c r="F49" s="3447" t="s">
        <v>28</v>
      </c>
      <c r="G49" s="3664"/>
      <c r="H49" s="2308" t="s">
        <v>2129</v>
      </c>
      <c r="I49" s="2309"/>
      <c r="J49" s="3452">
        <v>4</v>
      </c>
      <c r="K49" s="3658" t="str">
        <f>IF(项目基本情况!E8="房地产抵押价值","房地产抵押价值","抵押担保权已注销时的房地产抵押价值")</f>
        <v>抵押担保权已注销时的房地产抵押价值</v>
      </c>
      <c r="L49" s="3658"/>
      <c r="M49" s="3680" t="str">
        <f>IF(项目基本情况!E8="房地产抵押价值",H107,H109)</f>
        <v>——</v>
      </c>
      <c r="N49" s="3680"/>
      <c r="O49" s="3680"/>
    </row>
    <row r="50" spans="1:35" ht="25.5" customHeight="1">
      <c r="A50" s="2549"/>
      <c r="B50" s="3594" t="s">
        <v>1343</v>
      </c>
      <c r="C50" s="3594"/>
      <c r="D50" s="2550"/>
      <c r="E50" s="332"/>
      <c r="F50" s="3447"/>
      <c r="G50" s="3665"/>
      <c r="H50" s="2310" t="s">
        <v>2130</v>
      </c>
      <c r="I50" s="2309"/>
      <c r="J50" s="3677" t="s">
        <v>1344</v>
      </c>
      <c r="K50" s="3677"/>
      <c r="L50" s="3677"/>
      <c r="M50" s="3677"/>
      <c r="N50" s="3677"/>
      <c r="O50" s="3677"/>
    </row>
    <row r="51" spans="1:35" ht="20.45" customHeight="1">
      <c r="A51" s="2551"/>
      <c r="B51" s="3594" t="s">
        <v>1345</v>
      </c>
      <c r="C51" s="3594"/>
      <c r="D51" s="1086"/>
      <c r="E51" s="327"/>
      <c r="F51" s="3447"/>
      <c r="G51" s="3666"/>
      <c r="H51" s="2310" t="s">
        <v>2131</v>
      </c>
      <c r="I51" s="2309"/>
      <c r="J51" s="3448" t="s">
        <v>1346</v>
      </c>
      <c r="K51" s="3658" t="s">
        <v>1347</v>
      </c>
      <c r="L51" s="3658"/>
      <c r="M51" s="3448" t="s">
        <v>1348</v>
      </c>
      <c r="N51" s="3448" t="s">
        <v>1349</v>
      </c>
      <c r="O51" s="3448" t="s">
        <v>1350</v>
      </c>
    </row>
    <row r="52" spans="1:35" ht="24" customHeight="1">
      <c r="A52" s="3463" t="s">
        <v>1351</v>
      </c>
      <c r="B52" s="3594" t="s">
        <v>1352</v>
      </c>
      <c r="C52" s="3594"/>
      <c r="D52" s="1086" t="e">
        <f ca="1">ROUND(D45*'数据-取费表'!B41/(1+'数据-取费表'!C42),0)</f>
        <v>#REF!</v>
      </c>
      <c r="E52" s="3462" t="s">
        <v>1353</v>
      </c>
      <c r="F52" s="2552">
        <f>'数据-取费表'!B41</f>
        <v>5.6000000000000001E-2</v>
      </c>
      <c r="G52" s="2553"/>
      <c r="H52" s="2542"/>
      <c r="I52" s="1805"/>
      <c r="J52" s="3452">
        <v>1</v>
      </c>
      <c r="K52" s="3659" t="s">
        <v>1354</v>
      </c>
      <c r="L52" s="3659"/>
      <c r="M52" s="2523" t="b">
        <f>D48</f>
        <v>0</v>
      </c>
      <c r="N52" s="3452" t="str">
        <f>E48</f>
        <v>销售额×税（费）率</v>
      </c>
      <c r="O52" s="2524">
        <f>F48</f>
        <v>5.6000000000000001E-2</v>
      </c>
    </row>
    <row r="53" spans="1:35" ht="12" customHeight="1">
      <c r="A53" s="3463" t="s">
        <v>1355</v>
      </c>
      <c r="B53" s="3620" t="s">
        <v>2282</v>
      </c>
      <c r="C53" s="3621"/>
      <c r="D53" s="1086" t="e">
        <f ca="1">ROUND(D45*'数据-取费表'!B41/(1+'数据-取费表'!C42),0)</f>
        <v>#REF!</v>
      </c>
      <c r="E53" s="3462" t="s">
        <v>1353</v>
      </c>
      <c r="F53" s="2552">
        <f>'数据-取费表'!B41</f>
        <v>5.6000000000000001E-2</v>
      </c>
      <c r="G53" s="2553"/>
      <c r="H53" s="2542"/>
      <c r="I53" s="1805"/>
      <c r="J53" s="3452">
        <v>2</v>
      </c>
      <c r="K53" s="3659" t="s">
        <v>1356</v>
      </c>
      <c r="L53" s="3659"/>
      <c r="M53" s="2523" t="e">
        <f t="shared" ref="M53:O54" ca="1" si="0">D55</f>
        <v>#REF!</v>
      </c>
      <c r="N53" s="3452" t="str">
        <f t="shared" si="0"/>
        <v>销售额×税（费）率</v>
      </c>
      <c r="O53" s="2524" t="str">
        <f t="shared" si="0"/>
        <v>免征</v>
      </c>
    </row>
    <row r="54" spans="1:35" ht="12" customHeight="1">
      <c r="A54" s="3463" t="s">
        <v>1357</v>
      </c>
      <c r="B54" s="3620" t="s">
        <v>2283</v>
      </c>
      <c r="C54" s="3621"/>
      <c r="D54" s="1086" t="e">
        <f ca="1">C68</f>
        <v>#REF!</v>
      </c>
      <c r="E54" s="327" t="s">
        <v>1358</v>
      </c>
      <c r="F54" s="2552">
        <f>'数据-取费表'!B41</f>
        <v>5.6000000000000001E-2</v>
      </c>
      <c r="G54" s="2553"/>
      <c r="H54" s="2554"/>
      <c r="I54" s="1805"/>
      <c r="J54" s="3452">
        <v>3</v>
      </c>
      <c r="K54" s="3659" t="s">
        <v>1359</v>
      </c>
      <c r="L54" s="3659"/>
      <c r="M54" s="2523" t="e">
        <f t="shared" ca="1" si="0"/>
        <v>#REF!</v>
      </c>
      <c r="N54" s="3452" t="str">
        <f t="shared" si="0"/>
        <v>增值额×税（费）率</v>
      </c>
      <c r="O54" s="2525" t="str">
        <f t="shared" si="0"/>
        <v>免征</v>
      </c>
    </row>
    <row r="55" spans="1:35" ht="24" customHeight="1">
      <c r="A55" s="3609" t="s">
        <v>1360</v>
      </c>
      <c r="B55" s="3610"/>
      <c r="C55" s="3610"/>
      <c r="D55" s="3449" t="e">
        <f ca="1">IF(H55="个人住宅",0,ROUND(D45*I55,0))</f>
        <v>#REF!</v>
      </c>
      <c r="E55" s="3462" t="s">
        <v>1361</v>
      </c>
      <c r="F55" s="2552" t="str">
        <f>IF(H55="正常",I55,"免征")</f>
        <v>免征</v>
      </c>
      <c r="G55" s="2553"/>
      <c r="H55" s="2548"/>
      <c r="I55" s="165">
        <f>'数据-取费表'!B49</f>
        <v>5.0000000000000001E-4</v>
      </c>
      <c r="J55" s="3452">
        <f>IF(H59="非个人房产","",4)</f>
        <v>4</v>
      </c>
      <c r="K55" s="3659" t="str">
        <f>IF(H59="非个人房产","——","个人所得税")</f>
        <v>个人所得税</v>
      </c>
      <c r="L55" s="3659"/>
      <c r="M55" s="2526" t="e">
        <f ca="1">D59</f>
        <v>#REF!</v>
      </c>
      <c r="N55" s="3453" t="str">
        <f>E59</f>
        <v>差额计税</v>
      </c>
      <c r="O55" s="2527">
        <f>F59</f>
        <v>0.01</v>
      </c>
    </row>
    <row r="56" spans="1:35" ht="24.75">
      <c r="A56" s="3609" t="s">
        <v>1362</v>
      </c>
      <c r="B56" s="3610"/>
      <c r="C56" s="3610"/>
      <c r="D56" s="3449" t="e">
        <f ca="1">IF(H56="个人住宅",D57,D58)</f>
        <v>#REF!</v>
      </c>
      <c r="E56" s="3462" t="s">
        <v>1363</v>
      </c>
      <c r="F56" s="2552" t="str">
        <f>IF(H56="正常",F58,"免征")</f>
        <v>免征</v>
      </c>
      <c r="G56" s="2555" t="s">
        <v>1364</v>
      </c>
      <c r="H56" s="2556"/>
      <c r="I56" s="1806"/>
      <c r="J56" s="3452" t="str">
        <f>IF(项目基本情况!K6="上海银行",IF(J55="",4,J55+1),"")</f>
        <v/>
      </c>
      <c r="K56" s="3682" t="str">
        <f>IF(项目基本情况!K6="上海银行","其他处置费用","")</f>
        <v/>
      </c>
      <c r="L56" s="3683"/>
      <c r="M56" s="2523" t="str">
        <f>IF(项目基本情况!K6="上海银行",M69,"")</f>
        <v/>
      </c>
      <c r="N56" s="3682" t="str">
        <f>IF(项目基本情况!K6="上海银行","包含处置中涉及的律师、诉讼、拍卖、评估等费用","")</f>
        <v/>
      </c>
      <c r="O56" s="3685"/>
    </row>
    <row r="57" spans="1:35" ht="12.75">
      <c r="A57" s="3463" t="s">
        <v>1340</v>
      </c>
      <c r="B57" s="3620" t="s">
        <v>1365</v>
      </c>
      <c r="C57" s="3621"/>
      <c r="D57" s="1588">
        <v>0</v>
      </c>
      <c r="E57" s="324" t="s">
        <v>1342</v>
      </c>
      <c r="F57" s="302"/>
      <c r="G57" s="2553"/>
      <c r="H57" s="2557"/>
      <c r="I57" s="1806"/>
      <c r="J57" s="3659">
        <f>IF(AND(J55="",J56=""),4,IF(项目基本情况!K6="上海银行",结果表商业!J56+1,结果表商业!J55+1))</f>
        <v>5</v>
      </c>
      <c r="K57" s="3659" t="s">
        <v>1366</v>
      </c>
      <c r="L57" s="2528" t="s">
        <v>1367</v>
      </c>
      <c r="M57" s="2529"/>
      <c r="N57" s="2530">
        <f ca="1">SUMIF(M52:M56,"&lt;9e307")</f>
        <v>0</v>
      </c>
      <c r="O57" s="2531"/>
      <c r="P57" s="2687" t="e">
        <f ca="1">N57/M49</f>
        <v>#VALUE!</v>
      </c>
    </row>
    <row r="58" spans="1:35" ht="24.75">
      <c r="A58" s="3463" t="s">
        <v>1351</v>
      </c>
      <c r="B58" s="3620" t="s">
        <v>1368</v>
      </c>
      <c r="C58" s="3594"/>
      <c r="D58" s="3449" t="e">
        <f ca="1">IF(H58="转让取得",C81,C97)</f>
        <v>#REF!</v>
      </c>
      <c r="E58" s="3462" t="s">
        <v>1363</v>
      </c>
      <c r="F58" s="302" t="s">
        <v>28</v>
      </c>
      <c r="G58" s="2553"/>
      <c r="H58" s="2556"/>
      <c r="I58" s="1806"/>
      <c r="J58" s="3659"/>
      <c r="K58" s="3659"/>
      <c r="L58" s="2528" t="s">
        <v>1369</v>
      </c>
      <c r="M58" s="2532"/>
      <c r="N58" s="2533" t="str">
        <f ca="1">NUMBERSTRING(INT(N57*10000),2)&amp;"元整"</f>
        <v>零元整</v>
      </c>
      <c r="O58" s="2534"/>
    </row>
    <row r="59" spans="1:35" ht="24.75" thickBot="1">
      <c r="A59" s="3662" t="s">
        <v>1370</v>
      </c>
      <c r="B59" s="3663"/>
      <c r="C59" s="366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2"/>
      <c r="I59" s="2311" t="s">
        <v>2132</v>
      </c>
      <c r="J59" s="3660">
        <f>J57+1</f>
        <v>6</v>
      </c>
      <c r="K59" s="3659" t="s">
        <v>1371</v>
      </c>
      <c r="L59" s="3452" t="s">
        <v>1367</v>
      </c>
      <c r="M59" s="2535"/>
      <c r="N59" s="2536" t="e">
        <f ca="1">M49-N57</f>
        <v>#VALUE!</v>
      </c>
      <c r="O59" s="2537"/>
    </row>
    <row r="60" spans="1:35" ht="12" customHeight="1">
      <c r="A60" s="1807"/>
      <c r="B60" s="1745"/>
      <c r="C60" s="1745"/>
      <c r="D60" s="1745"/>
      <c r="E60" s="1576"/>
      <c r="F60" s="1806"/>
      <c r="G60" s="1806"/>
      <c r="H60" s="1808"/>
      <c r="I60" s="129"/>
      <c r="J60" s="3661"/>
      <c r="K60" s="3659"/>
      <c r="L60" s="2528" t="s">
        <v>1369</v>
      </c>
      <c r="M60" s="2532"/>
      <c r="N60" s="2533" t="e">
        <f ca="1">NUMBERSTRING(INT(N59*10000),2)&amp;"元整"</f>
        <v>#VALUE!</v>
      </c>
      <c r="O60" s="2534"/>
    </row>
    <row r="61" spans="1:35" ht="13.5" thickBot="1">
      <c r="A61" s="3607" t="s">
        <v>1372</v>
      </c>
      <c r="B61" s="3607"/>
      <c r="C61" s="3607"/>
      <c r="D61" s="3607"/>
      <c r="E61" s="3607"/>
      <c r="F61" s="1806"/>
      <c r="G61" s="1806"/>
      <c r="H61" s="1808"/>
      <c r="I61" s="129"/>
      <c r="J61" s="3452">
        <f>J59+1</f>
        <v>7</v>
      </c>
      <c r="K61" s="3659" t="s">
        <v>1373</v>
      </c>
      <c r="L61" s="3659"/>
      <c r="M61" s="2538"/>
      <c r="N61" s="2539" t="e">
        <f ca="1">ROUND(N59*10000/'数据-汇总表'!E3,0)</f>
        <v>#VALUE!</v>
      </c>
      <c r="O61" s="2540"/>
    </row>
    <row r="62" spans="1:35" ht="12.75">
      <c r="A62" s="3625" t="s">
        <v>1374</v>
      </c>
      <c r="B62" s="3626"/>
      <c r="C62" s="3457"/>
      <c r="D62" s="3457" t="s">
        <v>1375</v>
      </c>
      <c r="E62" s="166" t="s">
        <v>1376</v>
      </c>
      <c r="F62" s="1806"/>
      <c r="G62" s="1806"/>
      <c r="H62" s="1808"/>
      <c r="I62" s="129"/>
    </row>
    <row r="63" spans="1:35" ht="12.75">
      <c r="A63" s="173" t="s">
        <v>330</v>
      </c>
      <c r="B63" s="167" t="s">
        <v>1377</v>
      </c>
      <c r="C63" s="2562" t="e">
        <f ca="1">ROUND((C64+C65)/(1+'数据-取费表'!C42),0)</f>
        <v>#REF!</v>
      </c>
      <c r="D63" s="167"/>
      <c r="E63" s="168"/>
      <c r="F63" s="1806"/>
      <c r="G63" s="1806"/>
      <c r="H63" s="1808"/>
      <c r="I63" s="129"/>
      <c r="J63" s="3684" t="s">
        <v>1378</v>
      </c>
      <c r="K63" s="3450" t="s">
        <v>1379</v>
      </c>
      <c r="L63" s="3450" t="e">
        <f>IF(M49&gt;10000,M49*0.5%,IF(AND(M49&gt;1000,M49&lt;=10000),M49*1%,IF(AND(M49&gt;100,M49&lt;=1000),M49*3%,IF(AND(M49&gt;10,M49&lt;=100),M49*5%,M49*8%))))</f>
        <v>#VALUE!</v>
      </c>
      <c r="M63" s="302" t="e">
        <f>ROUND(L63,1)</f>
        <v>#VALUE!</v>
      </c>
      <c r="N63" s="2541"/>
      <c r="Z63" s="1750"/>
      <c r="AI63" s="1751"/>
    </row>
    <row r="64" spans="1:35" ht="14.25" customHeight="1">
      <c r="A64" s="169" t="s">
        <v>325</v>
      </c>
      <c r="B64" s="170" t="s">
        <v>1380</v>
      </c>
      <c r="C64" s="2563" t="e">
        <f ca="1">D45</f>
        <v>#REF!</v>
      </c>
      <c r="D64" s="170" t="s">
        <v>26</v>
      </c>
      <c r="E64" s="172"/>
      <c r="F64" s="1806"/>
      <c r="G64" s="1806"/>
      <c r="H64" s="1808"/>
      <c r="I64" s="129"/>
      <c r="J64" s="3684"/>
      <c r="K64" s="3450" t="s">
        <v>1381</v>
      </c>
      <c r="L64" s="345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0"/>
      <c r="AI64" s="1751"/>
    </row>
    <row r="65" spans="1:35" ht="14.25" customHeight="1">
      <c r="A65" s="169" t="s">
        <v>326</v>
      </c>
      <c r="B65" s="170" t="s">
        <v>1383</v>
      </c>
      <c r="C65" s="2564"/>
      <c r="D65" s="170"/>
      <c r="E65" s="172"/>
      <c r="F65" s="1806"/>
      <c r="G65" s="1806"/>
      <c r="H65" s="1808"/>
      <c r="I65" s="129"/>
      <c r="J65" s="3684"/>
      <c r="K65" s="3450" t="s">
        <v>1384</v>
      </c>
      <c r="L65" s="3450" t="e">
        <f>IF(M49&gt;1000,M49*0.1%,IF(AND(M49&gt;500,M49&lt;=1000),M49*0.5%,IF(AND(M49&gt;50,M49&lt;=500),M49*1%,IF(AND(M49&gt;1,M49&lt;=50),M49*1.5%))))</f>
        <v>#VALUE!</v>
      </c>
      <c r="M65" s="302" t="e">
        <f t="shared" si="1"/>
        <v>#VALUE!</v>
      </c>
      <c r="N65" s="2542" t="s">
        <v>1382</v>
      </c>
      <c r="Z65" s="1750"/>
      <c r="AI65" s="1751"/>
    </row>
    <row r="66" spans="1:35" ht="14.25" customHeight="1">
      <c r="A66" s="173" t="s">
        <v>327</v>
      </c>
      <c r="B66" s="174" t="s">
        <v>1385</v>
      </c>
      <c r="C66" s="2565"/>
      <c r="D66" s="174" t="s">
        <v>26</v>
      </c>
      <c r="E66" s="1336" t="s">
        <v>671</v>
      </c>
      <c r="F66" s="1806"/>
      <c r="G66" s="1806"/>
      <c r="H66" s="1808"/>
      <c r="I66" s="129"/>
      <c r="J66" s="3684"/>
      <c r="K66" s="3450" t="s">
        <v>1386</v>
      </c>
      <c r="L66" s="3450" t="e">
        <f>M49*0.5%</f>
        <v>#VALUE!</v>
      </c>
      <c r="M66" s="302" t="e">
        <f>IF(L66&gt;0.5,0.5,ROUND(L66,0))</f>
        <v>#VALUE!</v>
      </c>
      <c r="N66" s="2542" t="s">
        <v>1387</v>
      </c>
      <c r="Z66" s="1750"/>
      <c r="AI66" s="1751"/>
    </row>
    <row r="67" spans="1:35" ht="14.25" customHeight="1">
      <c r="A67" s="173" t="s">
        <v>328</v>
      </c>
      <c r="B67" s="174" t="s">
        <v>1388</v>
      </c>
      <c r="C67" s="2566" t="e">
        <f ca="1">C63-C66</f>
        <v>#REF!</v>
      </c>
      <c r="D67" s="170" t="s">
        <v>26</v>
      </c>
      <c r="E67" s="172"/>
      <c r="F67" s="1806"/>
      <c r="G67" s="1806"/>
      <c r="H67" s="1808"/>
      <c r="I67" s="129"/>
      <c r="J67" s="3684"/>
      <c r="K67" s="3450" t="s">
        <v>1389</v>
      </c>
      <c r="L67" s="345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1390</v>
      </c>
      <c r="C68" s="2567" t="e">
        <f ca="1">IF(C67&lt;=0,0,ROUND(C67*D68,0))</f>
        <v>#REF!</v>
      </c>
      <c r="D68" s="2568">
        <f>'数据-取费表'!B41</f>
        <v>5.6000000000000001E-2</v>
      </c>
      <c r="E68" s="178"/>
      <c r="F68" s="1806"/>
      <c r="G68" s="1806"/>
      <c r="H68" s="1808"/>
      <c r="I68" s="129"/>
      <c r="J68" s="3684"/>
      <c r="K68" s="3450" t="s">
        <v>1391</v>
      </c>
      <c r="L68" s="345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84"/>
      <c r="K69" s="3450" t="s">
        <v>1392</v>
      </c>
      <c r="L69" s="3450"/>
      <c r="M69" s="302" t="e">
        <f>ROUND(SUM(M63:M68),0)</f>
        <v>#VALUE!</v>
      </c>
      <c r="N69" s="2543" t="e">
        <f>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46" t="s">
        <v>1393</v>
      </c>
      <c r="B70" s="3647"/>
      <c r="C70" s="3647"/>
      <c r="D70" s="3647"/>
      <c r="E70" s="3647"/>
      <c r="F70" s="3647"/>
      <c r="G70" s="3647"/>
      <c r="H70" s="3647"/>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5" t="s">
        <v>1374</v>
      </c>
      <c r="B71" s="3626"/>
      <c r="C71" s="3457"/>
      <c r="D71" s="3457" t="s">
        <v>1375</v>
      </c>
      <c r="E71" s="179" t="s">
        <v>1376</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t="e">
        <f ca="1">ROUND(D45/(1+'数据-取费表'!C42),0)</f>
        <v>#REF!</v>
      </c>
      <c r="D72" s="170" t="s">
        <v>26</v>
      </c>
      <c r="E72" s="3459"/>
      <c r="F72" s="3458"/>
      <c r="G72" s="345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t="e">
        <f ca="1">C74+C78</f>
        <v>#REF!</v>
      </c>
      <c r="D73" s="170" t="s">
        <v>26</v>
      </c>
      <c r="E73" s="3459"/>
      <c r="F73" s="3458"/>
      <c r="G73" s="345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3459"/>
      <c r="F74" s="3458"/>
      <c r="G74" s="345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c r="D75" s="170" t="s">
        <v>26</v>
      </c>
      <c r="E75" s="184" t="s">
        <v>1398</v>
      </c>
      <c r="F75" s="2570"/>
      <c r="G75" s="184" t="s">
        <v>1399</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2">
        <v>0.05</v>
      </c>
      <c r="E76" s="3620" t="s">
        <v>1401</v>
      </c>
      <c r="F76" s="3594"/>
      <c r="G76" s="3594"/>
      <c r="H76" s="364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3">
        <f>'数据-取费表'!B48+'数据-取费表'!B49</f>
        <v>3.0499999999999999E-2</v>
      </c>
      <c r="E77" s="3449" t="s">
        <v>1403</v>
      </c>
      <c r="F77" s="186"/>
      <c r="G77" s="1820"/>
      <c r="H77" s="346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t="e">
        <f ca="1">ROUND(D45*D78/(1+'数据-取费表'!C42),0)</f>
        <v>#REF!</v>
      </c>
      <c r="D78" s="2575">
        <f>'数据-取费表'!B43</f>
        <v>6.000000000000001E-3</v>
      </c>
      <c r="E78" s="3604" t="s">
        <v>1405</v>
      </c>
      <c r="F78" s="3605"/>
      <c r="G78" s="3605"/>
      <c r="H78" s="361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t="e">
        <f ca="1">C72-C73</f>
        <v>#REF!</v>
      </c>
      <c r="D79" s="170" t="s">
        <v>26</v>
      </c>
      <c r="E79" s="3459"/>
      <c r="F79" s="3458"/>
      <c r="G79" s="345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t="e">
        <f ca="1">IF(C79&lt;=0,0,C79/C73)</f>
        <v>#REF!</v>
      </c>
      <c r="D80" s="170" t="s">
        <v>26</v>
      </c>
      <c r="E80" s="3449" t="e">
        <f ca="1">IF(C80&gt;=200%,"增值额超过扣除项目金额200%",IF(C80&gt;=100%,"增值额超过扣除项目金额100%，未超过200%",IF(C80&gt;=50%,"增值额超过扣除项目金额50%，未超过100%",IF(C80&lt;50%,"增值额未超过扣除项目金额50%"))))</f>
        <v>#REF!</v>
      </c>
      <c r="F80" s="3458"/>
      <c r="G80" s="345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6" t="s">
        <v>1409</v>
      </c>
      <c r="B83" s="3647"/>
      <c r="C83" s="3647"/>
      <c r="D83" s="3647"/>
      <c r="E83" s="3647"/>
      <c r="F83" s="3647"/>
      <c r="G83" s="3647"/>
      <c r="H83" s="364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5" t="s">
        <v>1374</v>
      </c>
      <c r="B84" s="3626"/>
      <c r="C84" s="3457"/>
      <c r="D84" s="3457"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t="e">
        <f ca="1">ROUND(D45/(1+'数据-取费表'!C42),0)</f>
        <v>#REF!</v>
      </c>
      <c r="D85" s="170" t="s">
        <v>26</v>
      </c>
      <c r="E85" s="3459"/>
      <c r="F85" s="3458"/>
      <c r="G85" s="345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t="e">
        <f ca="1">IF(H88="仅含出让金",C87+C90+C91+C92+C93+C94,C87+C91+C92+C93+C94)</f>
        <v>#REF!</v>
      </c>
      <c r="D86" s="2579"/>
      <c r="E86" s="3459"/>
      <c r="F86" s="3458"/>
      <c r="G86" s="345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3454"/>
      <c r="F87" s="3455"/>
      <c r="G87" s="3455"/>
      <c r="H87" s="345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3455"/>
      <c r="G88" s="194" t="s">
        <v>1413</v>
      </c>
      <c r="H88" s="1822"/>
      <c r="I88" s="1819"/>
      <c r="J88" s="2519"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3455"/>
      <c r="G89" s="3455"/>
      <c r="H89" s="345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3455"/>
      <c r="G90" s="3686" t="s">
        <v>2124</v>
      </c>
      <c r="H90" s="3687"/>
      <c r="I90" s="1819"/>
      <c r="J90" s="2519"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604" t="s">
        <v>1418</v>
      </c>
      <c r="F91" s="3605"/>
      <c r="G91" s="360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604" t="s">
        <v>1421</v>
      </c>
      <c r="F92" s="3605"/>
      <c r="G92" s="3605"/>
      <c r="H92" s="3614"/>
      <c r="I92" s="1819"/>
      <c r="J92" s="2520"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t="e">
        <f ca="1">ROUND(D45*D93/(1+'数据-取费表'!C42),0)</f>
        <v>#REF!</v>
      </c>
      <c r="D93" s="2575">
        <f>'数据-取费表'!B43</f>
        <v>6.000000000000001E-3</v>
      </c>
      <c r="E93" s="3604" t="s">
        <v>1405</v>
      </c>
      <c r="F93" s="3605"/>
      <c r="G93" s="3605"/>
      <c r="H93" s="361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615" t="s">
        <v>1425</v>
      </c>
      <c r="F94" s="3616"/>
      <c r="G94" s="3616"/>
      <c r="H94" s="361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t="e">
        <f ca="1">ROUND(C85-C86,0)</f>
        <v>#REF!</v>
      </c>
      <c r="D95" s="170" t="s">
        <v>26</v>
      </c>
      <c r="E95" s="3459"/>
      <c r="F95" s="3458"/>
      <c r="G95" s="345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t="e">
        <f ca="1">IF(C95&lt;=0,0,C95/C86)</f>
        <v>#REF!</v>
      </c>
      <c r="D96" s="170" t="s">
        <v>26</v>
      </c>
      <c r="E96" s="3449" t="e">
        <f ca="1">IF(C96&gt;=200%,"增值额超过扣除项目金额200%",IF(C96&gt;=100%,"增值额超过扣除项目金额100%，未超过200%",IF(C96&gt;=50%,"增值额超过扣除项目金额50%，未超过100%",IF(C96&lt;50%,"增值额未超过扣除项目金额50%"))))</f>
        <v>#REF!</v>
      </c>
      <c r="F96" s="3458"/>
      <c r="G96" s="345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88" t="s">
        <v>1427</v>
      </c>
      <c r="B100" s="3589"/>
      <c r="C100" s="3589"/>
      <c r="D100" s="3606"/>
      <c r="E100" s="3589" t="s">
        <v>1428</v>
      </c>
      <c r="F100" s="3589"/>
      <c r="G100" s="3589"/>
      <c r="H100" s="3606"/>
      <c r="I100" s="129"/>
    </row>
    <row r="101" spans="1:35" ht="18.75" customHeight="1">
      <c r="A101" s="3667" t="s">
        <v>1429</v>
      </c>
      <c r="B101" s="3668"/>
      <c r="C101" s="2583" t="str">
        <f>C4</f>
        <v>比较法-商业</v>
      </c>
      <c r="D101" s="2584" t="str">
        <f>D4</f>
        <v>收益法商业</v>
      </c>
      <c r="E101" s="3681" t="s">
        <v>1430</v>
      </c>
      <c r="F101" s="3638"/>
      <c r="G101" s="1825" t="s">
        <v>1431</v>
      </c>
      <c r="H101" s="2593" t="e">
        <f ca="1">H118</f>
        <v>#REF!</v>
      </c>
      <c r="I101" s="129"/>
    </row>
    <row r="102" spans="1:35" ht="18.75" customHeight="1">
      <c r="A102" s="3640" t="s">
        <v>1432</v>
      </c>
      <c r="B102" s="2582" t="s">
        <v>1431</v>
      </c>
      <c r="C102" s="2583">
        <f ca="1">IF(D32="楼面单价",ROUND(C19,0),C19)</f>
        <v>579.13329999999996</v>
      </c>
      <c r="D102" s="2584" t="e">
        <f ca="1">IF(D32="楼面单价",ROUND(D19,0),D19)</f>
        <v>#REF!</v>
      </c>
      <c r="E102" s="3681"/>
      <c r="F102" s="3638"/>
      <c r="G102" s="1825" t="s">
        <v>1433</v>
      </c>
      <c r="H102" s="2553" t="e">
        <f ca="1">I118</f>
        <v>#REF!</v>
      </c>
      <c r="I102" s="129"/>
    </row>
    <row r="103" spans="1:35" ht="42.75" customHeight="1">
      <c r="A103" s="3640"/>
      <c r="B103" s="2582" t="s">
        <v>1433</v>
      </c>
      <c r="C103" s="2585">
        <f ca="1">C20</f>
        <v>46058</v>
      </c>
      <c r="D103" s="2586" t="e">
        <f ca="1">D20</f>
        <v>#REF!</v>
      </c>
      <c r="E103" s="3675" t="s">
        <v>1434</v>
      </c>
      <c r="F103" s="3676"/>
      <c r="G103" s="1826" t="s">
        <v>1435</v>
      </c>
      <c r="H103" s="2593">
        <f>IF(D36="正常操作",H104+H105+H106,H105+H106)</f>
        <v>0</v>
      </c>
      <c r="I103" s="129"/>
    </row>
    <row r="104" spans="1:35" ht="18.75" customHeight="1">
      <c r="A104" s="3640" t="s">
        <v>1436</v>
      </c>
      <c r="B104" s="2587" t="s">
        <v>1431</v>
      </c>
      <c r="C104" s="2588" t="e">
        <f ca="1">H118</f>
        <v>#REF!</v>
      </c>
      <c r="D104" s="2589"/>
      <c r="E104" s="1672" t="s">
        <v>1437</v>
      </c>
      <c r="F104" s="1664"/>
      <c r="G104" s="1826" t="s">
        <v>1435</v>
      </c>
      <c r="H104" s="2594">
        <f>IF(D36="同一抵押权人同一抵押物续贷",C36&amp;"（续贷，未扣减，详见特别提示）",C36)</f>
        <v>0</v>
      </c>
      <c r="I104" s="129"/>
    </row>
    <row r="105" spans="1:35" ht="18.75" customHeight="1" thickBot="1">
      <c r="A105" s="3641"/>
      <c r="B105" s="2590" t="s">
        <v>1433</v>
      </c>
      <c r="C105" s="2591" t="e">
        <f ca="1">I118</f>
        <v>#REF!</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637" t="str">
        <f>IF(项目基本情况!E8="已注销","——","3.房地产抵押价值")</f>
        <v>3.房地产抵押价值</v>
      </c>
      <c r="F107" s="3638"/>
      <c r="G107" s="1825" t="s">
        <v>1431</v>
      </c>
      <c r="H107" s="2593" t="e">
        <f ca="1">IF(E107="——","——",H101-H103)</f>
        <v>#REF!</v>
      </c>
      <c r="I107" s="129"/>
    </row>
    <row r="108" spans="1:35" ht="18.75" customHeight="1">
      <c r="A108" s="129"/>
      <c r="B108" s="129"/>
      <c r="C108" s="129"/>
      <c r="D108" s="129"/>
      <c r="E108" s="3637"/>
      <c r="F108" s="3638"/>
      <c r="G108" s="1825" t="s">
        <v>1433</v>
      </c>
      <c r="H108" s="2553">
        <f ca="1">IF(H107=H101,H102,ROUND(H107*10000/'数据-汇总表'!E3,0))</f>
        <v>0</v>
      </c>
      <c r="I108" s="129"/>
    </row>
    <row r="109" spans="1:35" ht="18.75" customHeight="1">
      <c r="A109" s="129"/>
      <c r="B109" s="129"/>
      <c r="C109" s="129"/>
      <c r="D109" s="129"/>
      <c r="E109" s="3637" t="str">
        <f>IF(项目基本情况!E8="已注销及未注销","4.抵押担保权已注销时的房地产抵押价值",IF(项目基本情况!E8="已注销","3.抵押担保权已注销时的房地产抵押价值","——"))</f>
        <v>——</v>
      </c>
      <c r="F109" s="3638"/>
      <c r="G109" s="1825" t="s">
        <v>1431</v>
      </c>
      <c r="H109" s="2596" t="str">
        <f>IF(E109="——","——",H101-H105-H106)</f>
        <v>——</v>
      </c>
      <c r="I109" s="129"/>
    </row>
    <row r="110" spans="1:35" ht="18.75" customHeight="1">
      <c r="A110" s="129"/>
      <c r="B110" s="129"/>
      <c r="C110" s="129"/>
      <c r="D110" s="129"/>
      <c r="E110" s="3637"/>
      <c r="F110" s="3638"/>
      <c r="G110" s="1825" t="s">
        <v>1433</v>
      </c>
      <c r="H110" s="2553" t="str">
        <f>IF(H109="——","——",ROUND(H109*10000/'数据-汇总表'!E3,0))</f>
        <v>——</v>
      </c>
      <c r="I110" s="129"/>
    </row>
    <row r="111" spans="1:35" ht="18.75" customHeight="1">
      <c r="A111" s="129"/>
      <c r="B111" s="129"/>
      <c r="C111" s="129"/>
      <c r="D111" s="129"/>
      <c r="E111" s="3669" t="str">
        <f>IF(项目基本情况!E9="抵押净值",IF(OR(项目基本情况!E8="已注销",项目基本情况!E8="房地产抵押价值"),"4.抵押净值","5.抵押净值"),"——")</f>
        <v>——</v>
      </c>
      <c r="F111" s="3639"/>
      <c r="G111" s="1825" t="s">
        <v>1431</v>
      </c>
      <c r="H111" s="2593" t="str">
        <f>IF(E111="——","——",N59)</f>
        <v>——</v>
      </c>
      <c r="I111" s="129"/>
    </row>
    <row r="112" spans="1:35" ht="18.75" customHeight="1" thickBot="1">
      <c r="A112" s="129"/>
      <c r="B112" s="129"/>
      <c r="C112" s="129"/>
      <c r="D112" s="129"/>
      <c r="E112" s="3670"/>
      <c r="F112" s="3671"/>
      <c r="G112" s="1828" t="s">
        <v>1433</v>
      </c>
      <c r="H112" s="2597" t="str">
        <f>IF(E111="——","——",N61)</f>
        <v>——</v>
      </c>
      <c r="I112" s="129"/>
    </row>
    <row r="113" spans="1:27" ht="18.75" customHeight="1">
      <c r="A113" s="129"/>
      <c r="B113" s="129"/>
      <c r="C113" s="129"/>
      <c r="D113" s="129"/>
      <c r="E113" s="3642" t="s">
        <v>1439</v>
      </c>
      <c r="F113" s="3642"/>
      <c r="G113" s="3642"/>
      <c r="H113" s="3642"/>
      <c r="I113" s="129"/>
    </row>
    <row r="114" spans="1:27" ht="3.75" customHeight="1">
      <c r="A114" s="1745"/>
      <c r="B114" s="1745"/>
      <c r="C114" s="1745"/>
      <c r="D114" s="1745"/>
      <c r="E114" s="1807"/>
      <c r="F114" s="1807"/>
      <c r="G114" s="1807"/>
      <c r="H114" s="1807"/>
      <c r="I114" s="1745"/>
    </row>
    <row r="115" spans="1:27" ht="18.75" customHeight="1">
      <c r="A115" s="3652" t="s">
        <v>1441</v>
      </c>
      <c r="B115" s="3653"/>
      <c r="C115" s="3653"/>
      <c r="D115" s="3653"/>
      <c r="E115" s="3653"/>
      <c r="F115" s="3653"/>
      <c r="G115" s="3653"/>
      <c r="H115" s="3653"/>
      <c r="I115" s="3654"/>
    </row>
    <row r="116" spans="1:27" ht="27" customHeight="1">
      <c r="A116" s="3608" t="s">
        <v>1442</v>
      </c>
      <c r="B116" s="3643" t="s">
        <v>1443</v>
      </c>
      <c r="C116" s="3643" t="s">
        <v>1444</v>
      </c>
      <c r="D116" s="3656" t="s">
        <v>1445</v>
      </c>
      <c r="E116" s="3657"/>
      <c r="F116" s="3651" t="s">
        <v>1446</v>
      </c>
      <c r="G116" s="3651"/>
      <c r="H116" s="3608" t="s">
        <v>1447</v>
      </c>
      <c r="I116" s="3608"/>
    </row>
    <row r="117" spans="1:27" ht="18.75" customHeight="1">
      <c r="A117" s="3608"/>
      <c r="B117" s="3644"/>
      <c r="C117" s="3644"/>
      <c r="D117" s="3451" t="s">
        <v>1448</v>
      </c>
      <c r="E117" s="3451" t="s">
        <v>1449</v>
      </c>
      <c r="F117" s="3451" t="s">
        <v>1448</v>
      </c>
      <c r="G117" s="3451" t="s">
        <v>1450</v>
      </c>
      <c r="H117" s="3451" t="s">
        <v>1448</v>
      </c>
      <c r="I117" s="3451" t="s">
        <v>1450</v>
      </c>
    </row>
    <row r="118" spans="1:27" ht="24.75" customHeight="1">
      <c r="A118" s="2598" t="str">
        <f>项目基本情况!S2</f>
        <v>北京市房地产</v>
      </c>
      <c r="B118" s="3451">
        <f>M18</f>
        <v>125.74</v>
      </c>
      <c r="C118" s="3451">
        <f>M19</f>
        <v>0</v>
      </c>
      <c r="D118" s="3451" t="e">
        <f ca="1">ROUND(IF(D32="总价",C34,E118*B118/10000),0)</f>
        <v>#REF!</v>
      </c>
      <c r="E118" s="3451" t="e">
        <f ca="1">ROUND(IF(C33="自定义",IF(D32="楼面单价",C34,D118*10000/B118),I118-G118),0)</f>
        <v>#REF!</v>
      </c>
      <c r="F118" s="3451" t="e">
        <f ca="1">ROUND(IF(D32="总价",C35,G118*B118/10000),0)</f>
        <v>#REF!</v>
      </c>
      <c r="G118" s="3451" t="e">
        <f ca="1">ROUND(IF(D32="楼面单价",C35,F118*10000/B118),0)</f>
        <v>#REF!</v>
      </c>
      <c r="H118" s="3451" t="e">
        <f ca="1">ROUND(IF(D32="总价",C32,I118*B118/10000),0)</f>
        <v>#REF!</v>
      </c>
      <c r="I118" s="3451" t="e">
        <f ca="1">ROUND(IF(D32="楼面单价",C32,H118*10000/B118),0)</f>
        <v>#REF!</v>
      </c>
    </row>
    <row r="119" spans="1:27" ht="18.75" customHeight="1">
      <c r="A119" s="3608" t="s">
        <v>1451</v>
      </c>
      <c r="B119" s="3608"/>
      <c r="C119" s="3608"/>
      <c r="D119" s="3648" t="e">
        <f ca="1">NUMBERSTRING(INT(D118*10000),2)&amp;"元整"</f>
        <v>#REF!</v>
      </c>
      <c r="E119" s="3650"/>
      <c r="F119" s="3648" t="e">
        <f ca="1">NUMBERSTRING(INT(F118*10000),2)&amp;"元整"</f>
        <v>#REF!</v>
      </c>
      <c r="G119" s="3650"/>
      <c r="H119" s="3648" t="e">
        <f ca="1">NUMBERSTRING(INT(H118*10000),2)&amp;"元整"</f>
        <v>#REF!</v>
      </c>
      <c r="I119" s="3650"/>
    </row>
    <row r="120" spans="1:27" ht="18.75" customHeight="1">
      <c r="A120" s="3672" t="str">
        <f>IF(项目基本情况!B9="房地产市场价值","",MID(E103,3,LEN(E103)-2))</f>
        <v>估价师知悉的法定优先受偿款</v>
      </c>
      <c r="B120" s="3673"/>
      <c r="C120" s="3674"/>
      <c r="D120" s="3672">
        <f>H103</f>
        <v>0</v>
      </c>
      <c r="E120" s="3673"/>
      <c r="F120" s="3673"/>
      <c r="G120" s="3673"/>
      <c r="H120" s="3673"/>
      <c r="I120" s="367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48" t="s">
        <v>1451</v>
      </c>
      <c r="B121" s="3649"/>
      <c r="C121" s="3650"/>
      <c r="D121" s="3648" t="str">
        <f>IF(D120=0,"零元整",NUMBERSTRING(INT(D120*10000),2)&amp;"元整")</f>
        <v>零元整</v>
      </c>
      <c r="E121" s="3649"/>
      <c r="F121" s="3649"/>
      <c r="G121" s="3649"/>
      <c r="H121" s="3649"/>
      <c r="I121" s="3650"/>
      <c r="AA121" s="724"/>
    </row>
    <row r="122" spans="1:27" ht="18.75" customHeight="1">
      <c r="A122" s="3639" t="str">
        <f>IF(项目基本情况!B9="房地产市场价值","",MID(E107,3,LEN(E107)-2))</f>
        <v>房地产抵押价值</v>
      </c>
      <c r="B122" s="3639"/>
      <c r="C122" s="3639"/>
      <c r="D122" s="3672" t="e">
        <f ca="1">H107</f>
        <v>#REF!</v>
      </c>
      <c r="E122" s="3673"/>
      <c r="F122" s="3673"/>
      <c r="G122" s="3673"/>
      <c r="H122" s="3673"/>
      <c r="I122" s="3674"/>
      <c r="AA122" s="724"/>
    </row>
    <row r="123" spans="1:27" ht="18.75" customHeight="1">
      <c r="A123" s="3608" t="s">
        <v>1451</v>
      </c>
      <c r="B123" s="3608"/>
      <c r="C123" s="3608"/>
      <c r="D123" s="3648" t="e">
        <f ca="1">NUMBERSTRING(INT(D122*10000),2)&amp;"元整"</f>
        <v>#REF!</v>
      </c>
      <c r="E123" s="3649"/>
      <c r="F123" s="3649"/>
      <c r="G123" s="3649"/>
      <c r="H123" s="3649"/>
      <c r="I123" s="3650"/>
      <c r="AA123" s="724"/>
    </row>
    <row r="124" spans="1:27" ht="18.75" customHeight="1">
      <c r="A124" s="3639" t="str">
        <f>IF(项目基本情况!B9="房地产市场价值","",MID(E109,3,LEN(E109)-2))</f>
        <v/>
      </c>
      <c r="B124" s="3639"/>
      <c r="C124" s="3639"/>
      <c r="D124" s="3672" t="str">
        <f>H109</f>
        <v>——</v>
      </c>
      <c r="E124" s="3673"/>
      <c r="F124" s="3673"/>
      <c r="G124" s="3673"/>
      <c r="H124" s="3673"/>
      <c r="I124" s="3674"/>
      <c r="AA124" s="724"/>
    </row>
    <row r="125" spans="1:27" ht="18.75" customHeight="1">
      <c r="A125" s="3608" t="s">
        <v>1451</v>
      </c>
      <c r="B125" s="3608"/>
      <c r="C125" s="3608"/>
      <c r="D125" s="3648" t="e">
        <f>NUMBERSTRING(INT(D124*10000),2)&amp;"元整"</f>
        <v>#VALUE!</v>
      </c>
      <c r="E125" s="3649"/>
      <c r="F125" s="3649"/>
      <c r="G125" s="3649"/>
      <c r="H125" s="3649"/>
      <c r="I125" s="3650"/>
      <c r="AA125" s="724"/>
    </row>
    <row r="126" spans="1:27" ht="18.75" customHeight="1">
      <c r="A126" s="3639" t="str">
        <f>IF(项目基本情况!B9="房地产市场价值","",MID(E111,3,LEN(E111)-2))</f>
        <v/>
      </c>
      <c r="B126" s="3639"/>
      <c r="C126" s="3639"/>
      <c r="D126" s="3672" t="str">
        <f>H111</f>
        <v>——</v>
      </c>
      <c r="E126" s="3673"/>
      <c r="F126" s="3673"/>
      <c r="G126" s="3673"/>
      <c r="H126" s="3673"/>
      <c r="I126" s="3674"/>
      <c r="AA126" s="724"/>
    </row>
    <row r="127" spans="1:27" ht="18.75" customHeight="1">
      <c r="A127" s="3608" t="s">
        <v>1451</v>
      </c>
      <c r="B127" s="3608"/>
      <c r="C127" s="3608"/>
      <c r="D127" s="3648" t="e">
        <f>NUMBERSTRING(INT(D126*10000),2)&amp;"元整"</f>
        <v>#VALUE!</v>
      </c>
      <c r="E127" s="3649"/>
      <c r="F127" s="3649"/>
      <c r="G127" s="3649"/>
      <c r="H127" s="3649"/>
      <c r="I127" s="3650"/>
      <c r="AA127" s="724"/>
    </row>
    <row r="128" spans="1:27" ht="21.75" customHeight="1">
      <c r="A128" s="3655" t="s">
        <v>1452</v>
      </c>
      <c r="B128" s="3655"/>
      <c r="C128" s="3655"/>
      <c r="D128" s="3655"/>
      <c r="E128" s="3655"/>
      <c r="F128" s="3655"/>
      <c r="G128" s="3655"/>
      <c r="H128" s="3655"/>
      <c r="I128" s="3655"/>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O43" sqref="O43"/>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1765</v>
      </c>
      <c r="C1" s="1237" t="s">
        <v>1661</v>
      </c>
      <c r="D1" s="1224" t="s">
        <v>673</v>
      </c>
      <c r="E1" s="3423" t="s">
        <v>3511</v>
      </c>
      <c r="F1" s="1877" t="s">
        <v>3512</v>
      </c>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f>IF(E1="项目模式",IF(C2="——",ROUND(C49*D3/10000,0),ROUND(C49*D3/10000,0)-D2),IF(E1="单套模式",IF(C2="——",ROUND(C49*D3/10000,4),ROUND(C49*D3/10000,4)-D2)))</f>
        <v>579.13329999999996</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1463</v>
      </c>
      <c r="B3" s="558">
        <f>IF(C2="——",C49,ROUND(B2*10000/D3,0))</f>
        <v>46058</v>
      </c>
      <c r="C3" s="354" t="s">
        <v>1767</v>
      </c>
      <c r="D3" s="353">
        <f>IF(D1="",'数据-汇总表'!E3,SUMIF('数据-汇总表'!$C19:$C33,D1,'数据-汇总表'!$E19:$E33))</f>
        <v>125.74</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1768</v>
      </c>
      <c r="B4" s="356"/>
      <c r="C4" s="3714" t="s">
        <v>1769</v>
      </c>
      <c r="D4" s="3715"/>
      <c r="E4" s="3716" t="s">
        <v>1770</v>
      </c>
      <c r="F4" s="3717"/>
      <c r="G4" s="3714" t="s">
        <v>1771</v>
      </c>
      <c r="H4" s="3715"/>
      <c r="I4" s="3714" t="s">
        <v>1772</v>
      </c>
      <c r="J4" s="3715"/>
      <c r="K4" s="559" t="s">
        <v>1773</v>
      </c>
      <c r="L4" s="2712"/>
      <c r="M4" s="2713"/>
      <c r="N4" s="2713"/>
      <c r="O4" s="2713"/>
      <c r="P4" s="3757" t="s">
        <v>1774</v>
      </c>
      <c r="Q4" s="3758"/>
      <c r="R4" s="3761" t="s">
        <v>1770</v>
      </c>
      <c r="S4" s="3762"/>
      <c r="T4" s="3761" t="s">
        <v>1771</v>
      </c>
      <c r="U4" s="3762"/>
      <c r="V4" s="3731" t="s">
        <v>1772</v>
      </c>
      <c r="W4" s="3731"/>
      <c r="X4" s="1353"/>
      <c r="Y4" s="3761" t="s">
        <v>1774</v>
      </c>
      <c r="Z4" s="3762"/>
      <c r="AA4" s="3756" t="s">
        <v>1770</v>
      </c>
      <c r="AB4" s="3731" t="s">
        <v>1771</v>
      </c>
      <c r="AC4" s="3756" t="s">
        <v>1772</v>
      </c>
    </row>
    <row r="5" spans="1:29" ht="15" customHeight="1">
      <c r="A5" s="358"/>
      <c r="B5" s="359"/>
      <c r="C5" s="3740" t="s">
        <v>1672</v>
      </c>
      <c r="D5" s="3741"/>
      <c r="E5" s="3734" t="s">
        <v>3636</v>
      </c>
      <c r="F5" s="3735"/>
      <c r="G5" s="3734" t="s">
        <v>3619</v>
      </c>
      <c r="H5" s="3735"/>
      <c r="I5" s="3763" t="s">
        <v>3623</v>
      </c>
      <c r="J5" s="3741"/>
      <c r="K5" s="559"/>
      <c r="L5" s="2712"/>
      <c r="M5" s="2713"/>
      <c r="N5" s="2713"/>
      <c r="O5" s="2713"/>
      <c r="P5" s="3759"/>
      <c r="Q5" s="3721"/>
      <c r="R5" s="3726"/>
      <c r="S5" s="3727"/>
      <c r="T5" s="3726"/>
      <c r="U5" s="3727"/>
      <c r="V5" s="3731"/>
      <c r="W5" s="3731"/>
      <c r="X5" s="1353"/>
      <c r="Y5" s="3726"/>
      <c r="Z5" s="3727"/>
      <c r="AA5" s="3745"/>
      <c r="AB5" s="3731"/>
      <c r="AC5" s="3745"/>
    </row>
    <row r="6" spans="1:29" ht="15.75" thickBot="1">
      <c r="A6" s="360"/>
      <c r="B6" s="361"/>
      <c r="C6" s="3732" t="s">
        <v>1676</v>
      </c>
      <c r="D6" s="3733"/>
      <c r="E6" s="3742" t="s">
        <v>1676</v>
      </c>
      <c r="F6" s="3743"/>
      <c r="G6" s="3732" t="s">
        <v>1676</v>
      </c>
      <c r="H6" s="3733"/>
      <c r="I6" s="3732" t="s">
        <v>1676</v>
      </c>
      <c r="J6" s="3733"/>
      <c r="K6" s="559" t="s">
        <v>1677</v>
      </c>
      <c r="L6" s="2712"/>
      <c r="M6" s="2713"/>
      <c r="N6" s="2713"/>
      <c r="O6" s="2713"/>
      <c r="P6" s="3760"/>
      <c r="Q6" s="3723"/>
      <c r="R6" s="3726"/>
      <c r="S6" s="3727"/>
      <c r="T6" s="3728"/>
      <c r="U6" s="3729"/>
      <c r="V6" s="3731"/>
      <c r="W6" s="3731"/>
      <c r="X6" s="1353"/>
      <c r="Y6" s="3728"/>
      <c r="Z6" s="3729"/>
      <c r="AA6" s="3746"/>
      <c r="AB6" s="3731"/>
      <c r="AC6" s="3746"/>
    </row>
    <row r="7" spans="1:29" s="108" customFormat="1" ht="15.75" thickBot="1">
      <c r="A7" s="362" t="s">
        <v>1678</v>
      </c>
      <c r="B7" s="363"/>
      <c r="C7" s="364">
        <f>'数据-取费表'!B2</f>
        <v>45210</v>
      </c>
      <c r="D7" s="365">
        <v>100</v>
      </c>
      <c r="E7" s="366">
        <v>45200</v>
      </c>
      <c r="F7" s="367">
        <f>SUMIF(58:58,YEAR(E7)&amp;"-"&amp;MONTH(E7),59:59)</f>
        <v>100</v>
      </c>
      <c r="G7" s="366">
        <v>45200</v>
      </c>
      <c r="H7" s="365">
        <f>SUMIF(58:58,YEAR(G7)&amp;"-"&amp;MONTH(G7),59:59)</f>
        <v>100</v>
      </c>
      <c r="I7" s="366">
        <v>45200</v>
      </c>
      <c r="J7" s="365">
        <f>SUMIF(58:58,YEAR(I7)&amp;"-"&amp;MONTH(I7),59:59)</f>
        <v>100</v>
      </c>
      <c r="K7" s="560"/>
      <c r="L7" s="2714"/>
      <c r="M7" s="2715"/>
      <c r="N7" s="2715"/>
      <c r="O7" s="2715"/>
      <c r="P7" s="3738" t="s">
        <v>1679</v>
      </c>
      <c r="Q7" s="3739"/>
      <c r="R7" s="700" t="s">
        <v>14</v>
      </c>
      <c r="S7" s="701">
        <f t="shared" ref="S7:S15" si="0">F7</f>
        <v>100</v>
      </c>
      <c r="T7" s="700" t="s">
        <v>14</v>
      </c>
      <c r="U7" s="701">
        <f t="shared" ref="U7:U15" si="1">H7</f>
        <v>100</v>
      </c>
      <c r="V7" s="700" t="s">
        <v>14</v>
      </c>
      <c r="W7" s="701">
        <f t="shared" ref="W7:W15" si="2">J7</f>
        <v>100</v>
      </c>
      <c r="X7" s="702"/>
      <c r="Y7" s="3738" t="s">
        <v>1679</v>
      </c>
      <c r="Z7" s="3737"/>
      <c r="AA7" s="703">
        <f>D7/F7</f>
        <v>1</v>
      </c>
      <c r="AB7" s="703">
        <f>D7/H7</f>
        <v>1</v>
      </c>
      <c r="AC7" s="703">
        <f>D7/J7</f>
        <v>1</v>
      </c>
    </row>
    <row r="8" spans="1:29" s="108" customFormat="1" ht="15.75" thickBot="1">
      <c r="A8" s="362" t="s">
        <v>1680</v>
      </c>
      <c r="B8" s="363"/>
      <c r="C8" s="368" t="s">
        <v>3508</v>
      </c>
      <c r="D8" s="365">
        <v>100</v>
      </c>
      <c r="E8" s="368" t="s">
        <v>3509</v>
      </c>
      <c r="F8" s="367">
        <f>SUMIF(61:61,E8,62:62)-SUMIF(61:61,C8,62:62)+100</f>
        <v>102</v>
      </c>
      <c r="G8" s="368" t="s">
        <v>3509</v>
      </c>
      <c r="H8" s="365">
        <f>SUMIF(61:61,G8,62:62)-SUMIF(61:61,C8,62:62)+100</f>
        <v>102</v>
      </c>
      <c r="I8" s="368" t="s">
        <v>3509</v>
      </c>
      <c r="J8" s="365">
        <f>SUMIF(61:61,I8,62:62)-SUMIF(61:61,C8,62:62)+100</f>
        <v>102</v>
      </c>
      <c r="K8" s="560"/>
      <c r="L8" s="2714"/>
      <c r="M8" s="2715"/>
      <c r="N8" s="2715"/>
      <c r="O8" s="2715"/>
      <c r="P8" s="3738" t="s">
        <v>1682</v>
      </c>
      <c r="Q8" s="3737"/>
      <c r="R8" s="700" t="s">
        <v>14</v>
      </c>
      <c r="S8" s="701">
        <f t="shared" si="0"/>
        <v>102</v>
      </c>
      <c r="T8" s="700" t="s">
        <v>14</v>
      </c>
      <c r="U8" s="701">
        <f t="shared" si="1"/>
        <v>102</v>
      </c>
      <c r="V8" s="700" t="s">
        <v>14</v>
      </c>
      <c r="W8" s="701">
        <f t="shared" si="2"/>
        <v>102</v>
      </c>
      <c r="X8" s="702"/>
      <c r="Y8" s="3738" t="s">
        <v>1682</v>
      </c>
      <c r="Z8" s="3737"/>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67" t="s">
        <v>3600</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96" t="s">
        <v>1685</v>
      </c>
      <c r="Q9" s="1341" t="str">
        <f t="shared" ref="Q9:Q15" si="6">B9</f>
        <v>用途</v>
      </c>
      <c r="R9" s="700" t="s">
        <v>14</v>
      </c>
      <c r="S9" s="701">
        <f t="shared" si="0"/>
        <v>100</v>
      </c>
      <c r="T9" s="700" t="s">
        <v>14</v>
      </c>
      <c r="U9" s="701">
        <f t="shared" si="1"/>
        <v>100</v>
      </c>
      <c r="V9" s="700" t="s">
        <v>14</v>
      </c>
      <c r="W9" s="701">
        <f t="shared" si="2"/>
        <v>100</v>
      </c>
      <c r="X9" s="702"/>
      <c r="Y9" s="3595"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6"/>
      <c r="Q10" s="1341"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96"/>
      <c r="Q11" s="1341" t="str">
        <f t="shared" si="6"/>
        <v>容积率</v>
      </c>
      <c r="R11" s="700" t="s">
        <v>14</v>
      </c>
      <c r="S11" s="701">
        <f t="shared" si="0"/>
        <v>100</v>
      </c>
      <c r="T11" s="700" t="s">
        <v>14</v>
      </c>
      <c r="U11" s="701">
        <f t="shared" si="1"/>
        <v>100</v>
      </c>
      <c r="V11" s="700" t="s">
        <v>14</v>
      </c>
      <c r="W11" s="701">
        <f t="shared" si="2"/>
        <v>100</v>
      </c>
      <c r="X11" s="702"/>
      <c r="Y11" s="3595"/>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6"/>
      <c r="Q12" s="1341">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6"/>
      <c r="Q13" s="1341">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6"/>
      <c r="Q14" s="1341">
        <f t="shared" si="6"/>
        <v>111</v>
      </c>
      <c r="R14" s="700" t="s">
        <v>14</v>
      </c>
      <c r="S14" s="701">
        <f t="shared" si="0"/>
        <v>100</v>
      </c>
      <c r="T14" s="700" t="s">
        <v>14</v>
      </c>
      <c r="U14" s="701">
        <f t="shared" si="1"/>
        <v>100</v>
      </c>
      <c r="V14" s="700" t="s">
        <v>14</v>
      </c>
      <c r="W14" s="701">
        <f t="shared" si="2"/>
        <v>100</v>
      </c>
      <c r="X14" s="702"/>
      <c r="Y14" s="3595"/>
      <c r="Z14" s="52">
        <f t="shared" si="7"/>
        <v>111</v>
      </c>
      <c r="AA14" s="703">
        <f t="shared" si="3"/>
        <v>1</v>
      </c>
      <c r="AB14" s="703">
        <f t="shared" si="4"/>
        <v>1</v>
      </c>
      <c r="AC14" s="703">
        <f t="shared" si="5"/>
        <v>1</v>
      </c>
    </row>
    <row r="15" spans="1:29" ht="57">
      <c r="A15" s="391" t="s">
        <v>1689</v>
      </c>
      <c r="B15" s="61" t="s">
        <v>1776</v>
      </c>
      <c r="C15" s="1894" t="str">
        <f>估价对象房地状况!C4</f>
        <v>估价对象周边商业氛围成熟度一般，有新业广场等，人流量一般，商业繁华度一般</v>
      </c>
      <c r="D15" s="392">
        <v>100</v>
      </c>
      <c r="E15" s="393"/>
      <c r="F15" s="394">
        <f>SUMIF(76:76,E16,77:77)-SUMIF(76:76,C16,77:77)+100</f>
        <v>100</v>
      </c>
      <c r="G15" s="395"/>
      <c r="H15" s="392">
        <f>SUMIF(76:76,G16,77:77)-SUMIF(76:76,C16,77:77)+100</f>
        <v>100</v>
      </c>
      <c r="I15" s="393"/>
      <c r="J15" s="392">
        <f>SUMIF(76:76,I16,77:77)-SUMIF(76:76,C16,77:77)+100</f>
        <v>100</v>
      </c>
      <c r="K15" s="563">
        <v>3</v>
      </c>
      <c r="L15" s="2719"/>
      <c r="M15" s="2713"/>
      <c r="N15" s="2713"/>
      <c r="O15" s="2713"/>
      <c r="P15" s="3702" t="s">
        <v>1690</v>
      </c>
      <c r="Q15" s="1350" t="str">
        <f t="shared" si="6"/>
        <v>商业繁华度</v>
      </c>
      <c r="R15" s="704" t="s">
        <v>14</v>
      </c>
      <c r="S15" s="705">
        <f t="shared" si="0"/>
        <v>100</v>
      </c>
      <c r="T15" s="704" t="s">
        <v>14</v>
      </c>
      <c r="U15" s="705">
        <f t="shared" si="1"/>
        <v>100</v>
      </c>
      <c r="V15" s="704" t="s">
        <v>14</v>
      </c>
      <c r="W15" s="705">
        <f t="shared" si="2"/>
        <v>100</v>
      </c>
      <c r="X15" s="1353"/>
      <c r="Y15" s="3704" t="s">
        <v>1690</v>
      </c>
      <c r="Z15" s="1354" t="str">
        <f t="shared" si="7"/>
        <v>商业繁华度</v>
      </c>
      <c r="AA15" s="1351">
        <f t="shared" si="3"/>
        <v>1</v>
      </c>
      <c r="AB15" s="1351">
        <f t="shared" si="4"/>
        <v>1</v>
      </c>
      <c r="AC15" s="1351">
        <f t="shared" si="5"/>
        <v>1</v>
      </c>
    </row>
    <row r="16" spans="1:29" ht="15">
      <c r="A16" s="379"/>
      <c r="B16" s="397"/>
      <c r="C16" s="398" t="s">
        <v>3558</v>
      </c>
      <c r="D16" s="399"/>
      <c r="E16" s="398" t="s">
        <v>3558</v>
      </c>
      <c r="F16" s="400"/>
      <c r="G16" s="398" t="s">
        <v>3558</v>
      </c>
      <c r="H16" s="401"/>
      <c r="I16" s="398" t="s">
        <v>3558</v>
      </c>
      <c r="J16" s="399"/>
      <c r="K16" s="564"/>
      <c r="L16" s="2719"/>
      <c r="M16" s="2713"/>
      <c r="N16" s="2713"/>
      <c r="O16" s="2713"/>
      <c r="P16" s="3703"/>
      <c r="Q16" s="1350"/>
      <c r="R16" s="704"/>
      <c r="S16" s="705"/>
      <c r="T16" s="704"/>
      <c r="U16" s="705"/>
      <c r="V16" s="704"/>
      <c r="W16" s="705"/>
      <c r="X16" s="1353"/>
      <c r="Y16" s="3705"/>
      <c r="Z16" s="1354"/>
      <c r="AA16" s="1351">
        <v>1</v>
      </c>
      <c r="AB16" s="1351">
        <v>1</v>
      </c>
      <c r="AC16" s="1351">
        <v>1</v>
      </c>
    </row>
    <row r="17" spans="1:29" ht="99.75">
      <c r="A17" s="379"/>
      <c r="B17" s="402" t="s">
        <v>1258</v>
      </c>
      <c r="C17" s="1898" t="str">
        <f>估价对象房地状况!C6</f>
        <v>估价对象周边道路状况较好、有300、368、652路等公交线路及地铁10号线经过，公共交通通达情况较好、停车便捷程度一般，综合评价交通便捷度较好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03"/>
      <c r="Q17" s="1350" t="str">
        <f>B17</f>
        <v>交通便捷度</v>
      </c>
      <c r="R17" s="704" t="s">
        <v>14</v>
      </c>
      <c r="S17" s="705">
        <f>F17</f>
        <v>100</v>
      </c>
      <c r="T17" s="704" t="s">
        <v>14</v>
      </c>
      <c r="U17" s="705">
        <f>H17</f>
        <v>100</v>
      </c>
      <c r="V17" s="704" t="s">
        <v>14</v>
      </c>
      <c r="W17" s="705">
        <f>J17</f>
        <v>100</v>
      </c>
      <c r="X17" s="1353"/>
      <c r="Y17" s="3705"/>
      <c r="Z17" s="1354" t="str">
        <f>Q17</f>
        <v>交通便捷度</v>
      </c>
      <c r="AA17" s="1351">
        <f t="shared" si="3"/>
        <v>1</v>
      </c>
      <c r="AB17" s="1351">
        <f t="shared" si="4"/>
        <v>1</v>
      </c>
      <c r="AC17" s="1351">
        <f t="shared" si="5"/>
        <v>1</v>
      </c>
    </row>
    <row r="18" spans="1:29" ht="15">
      <c r="A18" s="379"/>
      <c r="B18" s="407"/>
      <c r="C18" s="1899" t="s">
        <v>3514</v>
      </c>
      <c r="D18" s="401"/>
      <c r="E18" s="1899" t="s">
        <v>3514</v>
      </c>
      <c r="F18" s="404"/>
      <c r="G18" s="1899" t="s">
        <v>3514</v>
      </c>
      <c r="H18" s="399"/>
      <c r="I18" s="1899" t="s">
        <v>3514</v>
      </c>
      <c r="J18" s="399"/>
      <c r="K18" s="564"/>
      <c r="L18" s="2719"/>
      <c r="M18" s="2713"/>
      <c r="N18" s="2713"/>
      <c r="O18" s="2713"/>
      <c r="P18" s="3703"/>
      <c r="Q18" s="1350"/>
      <c r="R18" s="704"/>
      <c r="S18" s="705"/>
      <c r="T18" s="704"/>
      <c r="U18" s="705"/>
      <c r="V18" s="704"/>
      <c r="W18" s="705"/>
      <c r="X18" s="1353"/>
      <c r="Y18" s="3705"/>
      <c r="Z18" s="1354"/>
      <c r="AA18" s="1351">
        <v>1</v>
      </c>
      <c r="AB18" s="1351">
        <v>1</v>
      </c>
      <c r="AC18" s="1351">
        <v>1</v>
      </c>
    </row>
    <row r="19" spans="1:29" ht="28.5">
      <c r="A19" s="379"/>
      <c r="B19" s="402" t="s">
        <v>1777</v>
      </c>
      <c r="C19" s="1898"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v>3</v>
      </c>
      <c r="L19" s="2719"/>
      <c r="M19" s="2713"/>
      <c r="N19" s="2713"/>
      <c r="O19" s="2713"/>
      <c r="P19" s="3703"/>
      <c r="Q19" s="1350" t="str">
        <f>B19</f>
        <v>公共配套设施</v>
      </c>
      <c r="R19" s="704" t="s">
        <v>14</v>
      </c>
      <c r="S19" s="705">
        <f>F19</f>
        <v>100</v>
      </c>
      <c r="T19" s="704" t="s">
        <v>14</v>
      </c>
      <c r="U19" s="705">
        <f>H19</f>
        <v>100</v>
      </c>
      <c r="V19" s="704" t="s">
        <v>14</v>
      </c>
      <c r="W19" s="705">
        <f>J19</f>
        <v>100</v>
      </c>
      <c r="X19" s="1353"/>
      <c r="Y19" s="3705"/>
      <c r="Z19" s="1354" t="str">
        <f>Q19</f>
        <v>公共配套设施</v>
      </c>
      <c r="AA19" s="1351">
        <f t="shared" si="3"/>
        <v>1</v>
      </c>
      <c r="AB19" s="1351">
        <f t="shared" si="4"/>
        <v>1</v>
      </c>
      <c r="AC19" s="1351">
        <f t="shared" si="5"/>
        <v>1</v>
      </c>
    </row>
    <row r="20" spans="1:29" ht="15">
      <c r="A20" s="379"/>
      <c r="B20" s="407"/>
      <c r="C20" s="398" t="s">
        <v>3514</v>
      </c>
      <c r="D20" s="399"/>
      <c r="E20" s="398" t="s">
        <v>3514</v>
      </c>
      <c r="F20" s="400"/>
      <c r="G20" s="398" t="s">
        <v>3514</v>
      </c>
      <c r="H20" s="399"/>
      <c r="I20" s="398" t="s">
        <v>3514</v>
      </c>
      <c r="J20" s="399"/>
      <c r="K20" s="564"/>
      <c r="L20" s="2719"/>
      <c r="M20" s="2713"/>
      <c r="N20" s="2713"/>
      <c r="O20" s="2713"/>
      <c r="P20" s="3703"/>
      <c r="Q20" s="1350"/>
      <c r="R20" s="704"/>
      <c r="S20" s="705"/>
      <c r="T20" s="704"/>
      <c r="U20" s="705"/>
      <c r="V20" s="704"/>
      <c r="W20" s="705"/>
      <c r="X20" s="1353"/>
      <c r="Y20" s="3705"/>
      <c r="Z20" s="1354"/>
      <c r="AA20" s="1351">
        <v>1</v>
      </c>
      <c r="AB20" s="1351">
        <v>1</v>
      </c>
      <c r="AC20" s="1351">
        <v>1</v>
      </c>
    </row>
    <row r="21" spans="1:29" ht="28.5">
      <c r="A21" s="379"/>
      <c r="B21" s="1130" t="s">
        <v>1778</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03"/>
      <c r="Q21" s="1350" t="str">
        <f>B21</f>
        <v>基础设施水平</v>
      </c>
      <c r="R21" s="704" t="s">
        <v>14</v>
      </c>
      <c r="S21" s="705">
        <f>F21</f>
        <v>100</v>
      </c>
      <c r="T21" s="704" t="s">
        <v>14</v>
      </c>
      <c r="U21" s="705">
        <f>H21</f>
        <v>100</v>
      </c>
      <c r="V21" s="704" t="s">
        <v>14</v>
      </c>
      <c r="W21" s="705">
        <f>J21</f>
        <v>100</v>
      </c>
      <c r="X21" s="1353"/>
      <c r="Y21" s="3705"/>
      <c r="Z21" s="1354" t="str">
        <f>Q21</f>
        <v>基础设施水平</v>
      </c>
      <c r="AA21" s="1351">
        <f t="shared" ref="AA21" si="8">D21/F21</f>
        <v>1</v>
      </c>
      <c r="AB21" s="1351">
        <f t="shared" ref="AB21" si="9">D21/H21</f>
        <v>1</v>
      </c>
      <c r="AC21" s="1351">
        <f t="shared" ref="AC21" si="10">D21/J21</f>
        <v>1</v>
      </c>
    </row>
    <row r="22" spans="1:29" ht="15">
      <c r="A22" s="379"/>
      <c r="B22" s="1130"/>
      <c r="C22" s="1899" t="s">
        <v>3515</v>
      </c>
      <c r="D22" s="399"/>
      <c r="E22" s="1899" t="s">
        <v>3515</v>
      </c>
      <c r="F22" s="400"/>
      <c r="G22" s="1899" t="s">
        <v>3515</v>
      </c>
      <c r="H22" s="399"/>
      <c r="I22" s="1899" t="s">
        <v>3515</v>
      </c>
      <c r="J22" s="399"/>
      <c r="K22" s="1129"/>
      <c r="L22" s="2719"/>
      <c r="M22" s="2713"/>
      <c r="N22" s="2713"/>
      <c r="O22" s="2713"/>
      <c r="P22" s="3703"/>
      <c r="Q22" s="1350"/>
      <c r="R22" s="704"/>
      <c r="S22" s="705"/>
      <c r="T22" s="704"/>
      <c r="U22" s="705"/>
      <c r="V22" s="704"/>
      <c r="W22" s="705"/>
      <c r="X22" s="1353"/>
      <c r="Y22" s="3705"/>
      <c r="Z22" s="1354"/>
      <c r="AA22" s="1351">
        <v>1</v>
      </c>
      <c r="AB22" s="1351">
        <v>1</v>
      </c>
      <c r="AC22" s="1351">
        <v>1</v>
      </c>
    </row>
    <row r="23" spans="1:29" ht="72.75" customHeight="1">
      <c r="A23" s="379"/>
      <c r="B23" s="402" t="s">
        <v>1260</v>
      </c>
      <c r="C23" s="1953" t="str">
        <f>估价对象房地状况!C9</f>
        <v>区域自然环境：北京动物园、官园公园；人文环境：北京天文馆、北京建筑大学；综合评价环境状况邮编</v>
      </c>
      <c r="D23" s="401">
        <v>100</v>
      </c>
      <c r="E23" s="403"/>
      <c r="F23" s="404">
        <f>SUMIF(84:84,E24,85:85)-SUMIF(84:84,C24,85:85)+100</f>
        <v>100</v>
      </c>
      <c r="G23" s="405"/>
      <c r="H23" s="401">
        <f>SUMIF(84:84,G24,85:85)-SUMIF(84:84,C24,85:85)+100</f>
        <v>100</v>
      </c>
      <c r="I23" s="403"/>
      <c r="J23" s="401">
        <f>SUMIF(84:84,I24,85:85)-SUMIF(84:84,C24,85:85)+100</f>
        <v>100</v>
      </c>
      <c r="K23" s="563">
        <v>3</v>
      </c>
      <c r="L23" s="2719"/>
      <c r="M23" s="2713"/>
      <c r="N23" s="2713"/>
      <c r="O23" s="2713"/>
      <c r="P23" s="3703"/>
      <c r="Q23" s="1350" t="str">
        <f>B23</f>
        <v>自然及人文环境</v>
      </c>
      <c r="R23" s="704" t="s">
        <v>14</v>
      </c>
      <c r="S23" s="705">
        <f>F23</f>
        <v>100</v>
      </c>
      <c r="T23" s="704" t="s">
        <v>14</v>
      </c>
      <c r="U23" s="705">
        <f>H23</f>
        <v>100</v>
      </c>
      <c r="V23" s="704" t="s">
        <v>14</v>
      </c>
      <c r="W23" s="705">
        <f>J23</f>
        <v>100</v>
      </c>
      <c r="X23" s="1353"/>
      <c r="Y23" s="3705"/>
      <c r="Z23" s="1354" t="str">
        <f>Q23</f>
        <v>自然及人文环境</v>
      </c>
      <c r="AA23" s="1351">
        <f t="shared" si="3"/>
        <v>1</v>
      </c>
      <c r="AB23" s="1351">
        <f t="shared" si="4"/>
        <v>1</v>
      </c>
      <c r="AC23" s="1351">
        <f t="shared" si="5"/>
        <v>1</v>
      </c>
    </row>
    <row r="24" spans="1:29" ht="15">
      <c r="A24" s="379"/>
      <c r="B24" s="407"/>
      <c r="C24" s="398" t="s">
        <v>3514</v>
      </c>
      <c r="D24" s="399"/>
      <c r="E24" s="398" t="s">
        <v>3514</v>
      </c>
      <c r="F24" s="400"/>
      <c r="G24" s="398" t="s">
        <v>3514</v>
      </c>
      <c r="H24" s="399"/>
      <c r="I24" s="398" t="s">
        <v>3514</v>
      </c>
      <c r="J24" s="399"/>
      <c r="K24" s="564"/>
      <c r="L24" s="2719"/>
      <c r="M24" s="2713"/>
      <c r="N24" s="2713"/>
      <c r="O24" s="2713"/>
      <c r="P24" s="3703"/>
      <c r="Q24" s="1350"/>
      <c r="R24" s="704"/>
      <c r="S24" s="705"/>
      <c r="T24" s="704"/>
      <c r="U24" s="705"/>
      <c r="V24" s="704"/>
      <c r="W24" s="705"/>
      <c r="X24" s="1353"/>
      <c r="Y24" s="3705"/>
      <c r="Z24" s="1354"/>
      <c r="AA24" s="1351">
        <v>1</v>
      </c>
      <c r="AB24" s="1351">
        <v>1</v>
      </c>
      <c r="AC24" s="1351">
        <v>1</v>
      </c>
    </row>
    <row r="25" spans="1:29" ht="15">
      <c r="A25" s="379"/>
      <c r="B25" s="375" t="s">
        <v>1779</v>
      </c>
      <c r="C25" s="565" t="s">
        <v>3646</v>
      </c>
      <c r="D25" s="386">
        <v>100</v>
      </c>
      <c r="E25" s="565" t="s">
        <v>3601</v>
      </c>
      <c r="F25" s="412">
        <f>SUMIF(86:86,E25,87:87)-SUMIF(86:86,C25,87:87)+100</f>
        <v>110</v>
      </c>
      <c r="G25" s="565" t="s">
        <v>3601</v>
      </c>
      <c r="H25" s="386">
        <f>SUMIF(86:86,G25,87:87)-SUMIF(86:86,C25,87:87)+100</f>
        <v>110</v>
      </c>
      <c r="I25" s="565" t="s">
        <v>3601</v>
      </c>
      <c r="J25" s="386">
        <f>SUMIF(86:86,I25,87:87)-SUMIF(86:86,C25,87:87)+100</f>
        <v>110</v>
      </c>
      <c r="K25" s="561">
        <v>10</v>
      </c>
      <c r="L25" s="2719"/>
      <c r="M25" s="2713"/>
      <c r="N25" s="2713"/>
      <c r="O25" s="2713"/>
      <c r="P25" s="3703"/>
      <c r="Q25" s="1350" t="str">
        <f t="shared" ref="Q25:Q46" si="11">B25</f>
        <v>临街状况</v>
      </c>
      <c r="R25" s="704" t="s">
        <v>14</v>
      </c>
      <c r="S25" s="705">
        <f>F25</f>
        <v>110</v>
      </c>
      <c r="T25" s="704" t="s">
        <v>14</v>
      </c>
      <c r="U25" s="705">
        <f>H25</f>
        <v>110</v>
      </c>
      <c r="V25" s="704" t="s">
        <v>14</v>
      </c>
      <c r="W25" s="705">
        <f>J25</f>
        <v>110</v>
      </c>
      <c r="X25" s="1353"/>
      <c r="Y25" s="3705"/>
      <c r="Z25" s="1354" t="str">
        <f>Q25</f>
        <v>临街状况</v>
      </c>
      <c r="AA25" s="1351">
        <f t="shared" si="3"/>
        <v>0.90909090909090906</v>
      </c>
      <c r="AB25" s="1351">
        <f t="shared" si="4"/>
        <v>0.90909090909090906</v>
      </c>
      <c r="AC25" s="1351">
        <f t="shared" si="5"/>
        <v>0.90909090909090906</v>
      </c>
    </row>
    <row r="26" spans="1:29" ht="15">
      <c r="A26" s="379"/>
      <c r="B26" s="1132" t="s">
        <v>1780</v>
      </c>
      <c r="C26" s="3501" t="s">
        <v>3647</v>
      </c>
      <c r="D26" s="386">
        <v>100</v>
      </c>
      <c r="E26" s="565" t="s">
        <v>3628</v>
      </c>
      <c r="F26" s="412">
        <f>SUMIF(88:88,E26,89:89)-SUMIF(88:88,C26,89:89)+100</f>
        <v>106</v>
      </c>
      <c r="G26" s="565" t="s">
        <v>3628</v>
      </c>
      <c r="H26" s="386">
        <f>SUMIF(88:88,G26,89:89)-SUMIF(88:88,C26,89:89)+100</f>
        <v>106</v>
      </c>
      <c r="I26" s="565" t="s">
        <v>3628</v>
      </c>
      <c r="J26" s="386">
        <f>SUMIF(88:88,I26,89:89)-SUMIF(88:88,C26,89:89)+100</f>
        <v>106</v>
      </c>
      <c r="K26" s="562"/>
      <c r="L26" s="2719"/>
      <c r="M26" s="2713"/>
      <c r="N26" s="2713"/>
      <c r="O26" s="2713"/>
      <c r="P26" s="3703"/>
      <c r="Q26" s="1350" t="str">
        <f t="shared" si="11"/>
        <v>平面位置/可视性</v>
      </c>
      <c r="R26" s="704" t="s">
        <v>14</v>
      </c>
      <c r="S26" s="705">
        <f>F26</f>
        <v>106</v>
      </c>
      <c r="T26" s="704" t="s">
        <v>14</v>
      </c>
      <c r="U26" s="705">
        <f>H26</f>
        <v>106</v>
      </c>
      <c r="V26" s="704" t="s">
        <v>14</v>
      </c>
      <c r="W26" s="705">
        <f>J26</f>
        <v>106</v>
      </c>
      <c r="X26" s="1353"/>
      <c r="Y26" s="3705"/>
      <c r="Z26" s="1354" t="str">
        <f>Q26</f>
        <v>平面位置/可视性</v>
      </c>
      <c r="AA26" s="1351">
        <f t="shared" si="3"/>
        <v>0.94339622641509435</v>
      </c>
      <c r="AB26" s="1351">
        <f t="shared" si="4"/>
        <v>0.94339622641509435</v>
      </c>
      <c r="AC26" s="1351">
        <f t="shared" si="5"/>
        <v>0.94339622641509435</v>
      </c>
    </row>
    <row r="27" spans="1:29" s="108" customFormat="1" ht="15">
      <c r="A27" s="382"/>
      <c r="B27" s="402" t="s">
        <v>1781</v>
      </c>
      <c r="C27" s="565" t="s">
        <v>3558</v>
      </c>
      <c r="D27" s="413">
        <v>100</v>
      </c>
      <c r="E27" s="3501" t="s">
        <v>3648</v>
      </c>
      <c r="F27" s="415">
        <f>SUMIF(90:90,E27,91:91)-SUMIF(90:90,C27,91:91)+100</f>
        <v>103</v>
      </c>
      <c r="G27" s="3501" t="s">
        <v>3648</v>
      </c>
      <c r="H27" s="413">
        <f>SUMIF(90:90,G27,91:91)-SUMIF(90:90,C27,91:91)+100</f>
        <v>103</v>
      </c>
      <c r="I27" s="3501" t="s">
        <v>3648</v>
      </c>
      <c r="J27" s="413">
        <f>SUMIF(90:90,I27,91:91)-SUMIF(90:90,C27,91:91)+100</f>
        <v>103</v>
      </c>
      <c r="K27" s="561">
        <v>3</v>
      </c>
      <c r="L27" s="2714"/>
      <c r="M27" s="2715"/>
      <c r="N27" s="2715"/>
      <c r="O27" s="2715"/>
      <c r="P27" s="3703"/>
      <c r="Q27" s="1341" t="str">
        <f t="shared" si="11"/>
        <v>人流量</v>
      </c>
      <c r="R27" s="700" t="s">
        <v>14</v>
      </c>
      <c r="S27" s="701">
        <f>F27</f>
        <v>103</v>
      </c>
      <c r="T27" s="700" t="s">
        <v>14</v>
      </c>
      <c r="U27" s="701">
        <f>H27</f>
        <v>103</v>
      </c>
      <c r="V27" s="700" t="s">
        <v>14</v>
      </c>
      <c r="W27" s="701">
        <f>J27</f>
        <v>103</v>
      </c>
      <c r="X27" s="702"/>
      <c r="Y27" s="3705"/>
      <c r="Z27" s="52" t="str">
        <f>Q27</f>
        <v>人流量</v>
      </c>
      <c r="AA27" s="1351">
        <f>D27/F27</f>
        <v>0.970873786407767</v>
      </c>
      <c r="AB27" s="1351">
        <f>D27/H27</f>
        <v>0.970873786407767</v>
      </c>
      <c r="AC27" s="1351">
        <f>D27/J27</f>
        <v>0.970873786407767</v>
      </c>
    </row>
    <row r="28" spans="1:29" ht="15">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9"/>
      <c r="M28" s="2713"/>
      <c r="N28" s="2713"/>
      <c r="O28" s="2713"/>
      <c r="P28" s="3703"/>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05"/>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3"/>
      <c r="Q29" s="1350">
        <f t="shared" si="11"/>
        <v>111</v>
      </c>
      <c r="R29" s="704" t="s">
        <v>14</v>
      </c>
      <c r="S29" s="705">
        <f t="shared" si="12"/>
        <v>100</v>
      </c>
      <c r="T29" s="704" t="s">
        <v>14</v>
      </c>
      <c r="U29" s="705">
        <f t="shared" si="13"/>
        <v>100</v>
      </c>
      <c r="V29" s="704" t="s">
        <v>14</v>
      </c>
      <c r="W29" s="705">
        <f t="shared" si="14"/>
        <v>100</v>
      </c>
      <c r="X29" s="1353"/>
      <c r="Y29" s="3705"/>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3"/>
      <c r="Q30" s="1350">
        <f t="shared" si="11"/>
        <v>111</v>
      </c>
      <c r="R30" s="704" t="s">
        <v>14</v>
      </c>
      <c r="S30" s="705">
        <f t="shared" si="12"/>
        <v>100</v>
      </c>
      <c r="T30" s="704" t="s">
        <v>14</v>
      </c>
      <c r="U30" s="705">
        <f t="shared" si="13"/>
        <v>100</v>
      </c>
      <c r="V30" s="704" t="s">
        <v>14</v>
      </c>
      <c r="W30" s="705">
        <f t="shared" si="14"/>
        <v>100</v>
      </c>
      <c r="X30" s="1353"/>
      <c r="Y30" s="3705"/>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3"/>
      <c r="Q31" s="1350">
        <f t="shared" si="11"/>
        <v>111</v>
      </c>
      <c r="R31" s="704" t="s">
        <v>14</v>
      </c>
      <c r="S31" s="705">
        <f t="shared" si="12"/>
        <v>100</v>
      </c>
      <c r="T31" s="704" t="s">
        <v>14</v>
      </c>
      <c r="U31" s="705">
        <f t="shared" si="13"/>
        <v>100</v>
      </c>
      <c r="V31" s="704" t="s">
        <v>14</v>
      </c>
      <c r="W31" s="705">
        <f t="shared" si="14"/>
        <v>100</v>
      </c>
      <c r="X31" s="1353"/>
      <c r="Y31" s="3705"/>
      <c r="Z31" s="1354">
        <f t="shared" si="15"/>
        <v>111</v>
      </c>
      <c r="AA31" s="1351">
        <f t="shared" si="3"/>
        <v>1</v>
      </c>
      <c r="AB31" s="1351">
        <f t="shared" si="4"/>
        <v>1</v>
      </c>
      <c r="AC31" s="1351">
        <f t="shared" si="5"/>
        <v>1</v>
      </c>
    </row>
    <row r="32" spans="1:29" ht="15">
      <c r="A32" s="391" t="s">
        <v>1693</v>
      </c>
      <c r="B32" s="63" t="s">
        <v>1783</v>
      </c>
      <c r="C32" s="1908" t="s">
        <v>3609</v>
      </c>
      <c r="D32" s="418">
        <v>100</v>
      </c>
      <c r="E32" s="1908" t="s">
        <v>3609</v>
      </c>
      <c r="F32" s="412">
        <f>SUMIF(100:100,E32,101:101)-SUMIF(100:100,C32,101:101)+100</f>
        <v>100</v>
      </c>
      <c r="G32" s="1908" t="s">
        <v>3609</v>
      </c>
      <c r="H32" s="386">
        <f>SUMIF(100:100,G32,101:101)-SUMIF(100:100,C32,101:101)+100</f>
        <v>100</v>
      </c>
      <c r="I32" s="1908" t="s">
        <v>3609</v>
      </c>
      <c r="J32" s="418">
        <f>SUMIF(100:100,I32,101:101)-SUMIF(100:100,C32,101:101)+100</f>
        <v>100</v>
      </c>
      <c r="K32" s="561">
        <v>3</v>
      </c>
      <c r="L32" s="2719"/>
      <c r="M32" s="2713"/>
      <c r="N32" s="2713"/>
      <c r="O32" s="2713"/>
      <c r="P32" s="3706" t="s">
        <v>1695</v>
      </c>
      <c r="Q32" s="1350" t="str">
        <f t="shared" si="11"/>
        <v>商业类型</v>
      </c>
      <c r="R32" s="704" t="s">
        <v>14</v>
      </c>
      <c r="S32" s="705">
        <f t="shared" si="12"/>
        <v>100</v>
      </c>
      <c r="T32" s="704" t="s">
        <v>14</v>
      </c>
      <c r="U32" s="705">
        <f t="shared" si="13"/>
        <v>100</v>
      </c>
      <c r="V32" s="704" t="s">
        <v>14</v>
      </c>
      <c r="W32" s="705">
        <f t="shared" si="14"/>
        <v>100</v>
      </c>
      <c r="X32" s="1353"/>
      <c r="Y32" s="3709" t="s">
        <v>1695</v>
      </c>
      <c r="Z32" s="1354" t="str">
        <f t="shared" si="15"/>
        <v>商业类型</v>
      </c>
      <c r="AA32" s="1351">
        <f t="shared" si="3"/>
        <v>1</v>
      </c>
      <c r="AB32" s="1351">
        <f t="shared" si="4"/>
        <v>1</v>
      </c>
      <c r="AC32" s="1351">
        <f t="shared" si="5"/>
        <v>1</v>
      </c>
    </row>
    <row r="33" spans="1:29" s="422" customFormat="1" ht="15">
      <c r="A33" s="419"/>
      <c r="B33" s="375" t="s">
        <v>1696</v>
      </c>
      <c r="C33" s="420">
        <f>'数据-基础表'!I13</f>
        <v>125.74</v>
      </c>
      <c r="D33" s="127">
        <v>100</v>
      </c>
      <c r="E33" s="420">
        <v>294.52</v>
      </c>
      <c r="F33" s="376">
        <f>LOOKUP(E33,103:103,104:104)-LOOKUP(C33,103:103,104:104)+100</f>
        <v>99</v>
      </c>
      <c r="G33" s="420">
        <v>75</v>
      </c>
      <c r="H33" s="127">
        <f>LOOKUP(G33,103:103,104:104)-LOOKUP(C33,103:103,104:104)+100</f>
        <v>101</v>
      </c>
      <c r="I33" s="420">
        <v>62</v>
      </c>
      <c r="J33" s="127">
        <f>LOOKUP(I33,103:103,104:104)-LOOKUP(C33,103:103,104:104)+100</f>
        <v>101</v>
      </c>
      <c r="K33" s="562"/>
      <c r="L33" s="2718"/>
      <c r="M33" s="2720"/>
      <c r="N33" s="2720"/>
      <c r="O33" s="2720"/>
      <c r="P33" s="3707"/>
      <c r="Q33" s="706" t="str">
        <f t="shared" si="11"/>
        <v>项目建筑规模</v>
      </c>
      <c r="R33" s="707" t="s">
        <v>14</v>
      </c>
      <c r="S33" s="708">
        <f t="shared" si="12"/>
        <v>99</v>
      </c>
      <c r="T33" s="707" t="s">
        <v>14</v>
      </c>
      <c r="U33" s="708">
        <f t="shared" si="13"/>
        <v>101</v>
      </c>
      <c r="V33" s="707" t="s">
        <v>14</v>
      </c>
      <c r="W33" s="708">
        <f t="shared" si="14"/>
        <v>101</v>
      </c>
      <c r="X33" s="709"/>
      <c r="Y33" s="3709"/>
      <c r="Z33" s="710" t="str">
        <f t="shared" si="15"/>
        <v>项目建筑规模</v>
      </c>
      <c r="AA33" s="1351">
        <f t="shared" si="3"/>
        <v>1.0101010101010102</v>
      </c>
      <c r="AB33" s="1351">
        <f t="shared" si="4"/>
        <v>0.99009900990099009</v>
      </c>
      <c r="AC33" s="1351">
        <f t="shared" si="5"/>
        <v>0.99009900990099009</v>
      </c>
    </row>
    <row r="34" spans="1:29" ht="15">
      <c r="A34" s="423"/>
      <c r="B34" s="375" t="s">
        <v>1697</v>
      </c>
      <c r="C34" s="1910" t="s">
        <v>3567</v>
      </c>
      <c r="D34" s="386">
        <v>100</v>
      </c>
      <c r="E34" s="1910" t="s">
        <v>3567</v>
      </c>
      <c r="F34" s="412">
        <f>SUMIF(105:105,E34,106:106)-SUMIF(105:105,C34,106:106)+100</f>
        <v>100</v>
      </c>
      <c r="G34" s="1910" t="s">
        <v>3567</v>
      </c>
      <c r="H34" s="386">
        <f>SUMIF(105:105,G34,106:106)-SUMIF(105:105,C34,106:106)+100</f>
        <v>100</v>
      </c>
      <c r="I34" s="1910" t="s">
        <v>3567</v>
      </c>
      <c r="J34" s="386">
        <f>SUMIF(105:105,I34,106:106)-SUMIF(105:105,C34,106:106)+100</f>
        <v>100</v>
      </c>
      <c r="K34" s="561">
        <v>2</v>
      </c>
      <c r="L34" s="2719"/>
      <c r="M34" s="2713"/>
      <c r="N34" s="2713"/>
      <c r="O34" s="2713"/>
      <c r="P34" s="3707"/>
      <c r="Q34" s="1350" t="str">
        <f t="shared" si="11"/>
        <v>建筑结构</v>
      </c>
      <c r="R34" s="704" t="s">
        <v>14</v>
      </c>
      <c r="S34" s="705">
        <f t="shared" si="12"/>
        <v>100</v>
      </c>
      <c r="T34" s="704" t="s">
        <v>14</v>
      </c>
      <c r="U34" s="705">
        <f t="shared" si="13"/>
        <v>100</v>
      </c>
      <c r="V34" s="704" t="s">
        <v>14</v>
      </c>
      <c r="W34" s="705">
        <f t="shared" si="14"/>
        <v>100</v>
      </c>
      <c r="X34" s="1353"/>
      <c r="Y34" s="3709"/>
      <c r="Z34" s="1354" t="str">
        <f t="shared" si="15"/>
        <v>建筑结构</v>
      </c>
      <c r="AA34" s="1351">
        <f t="shared" si="3"/>
        <v>1</v>
      </c>
      <c r="AB34" s="1351">
        <f t="shared" si="4"/>
        <v>1</v>
      </c>
      <c r="AC34" s="1351">
        <f t="shared" si="5"/>
        <v>1</v>
      </c>
    </row>
    <row r="35" spans="1:29" ht="15">
      <c r="A35" s="423"/>
      <c r="B35" s="375" t="s">
        <v>1784</v>
      </c>
      <c r="C35" s="1904" t="s">
        <v>3568</v>
      </c>
      <c r="D35" s="386">
        <v>100</v>
      </c>
      <c r="E35" s="1904" t="s">
        <v>3568</v>
      </c>
      <c r="F35" s="412">
        <f>SUMIF(107:107,E35,108:108)-SUMIF(107:107,C35,108:108)+100</f>
        <v>100</v>
      </c>
      <c r="G35" s="1904" t="s">
        <v>3568</v>
      </c>
      <c r="H35" s="386">
        <f>SUMIF(107:107,G35,108:108)-SUMIF(107:107,C35,108:108)+100</f>
        <v>100</v>
      </c>
      <c r="I35" s="1904" t="s">
        <v>3568</v>
      </c>
      <c r="J35" s="386">
        <f>SUMIF(107:107,I35,108:108)-SUMIF(107:107,C35,108:108)+100</f>
        <v>100</v>
      </c>
      <c r="K35" s="561">
        <v>2</v>
      </c>
      <c r="L35" s="2719"/>
      <c r="M35" s="2713"/>
      <c r="N35" s="2713"/>
      <c r="O35" s="2713"/>
      <c r="P35" s="3707"/>
      <c r="Q35" s="1350" t="str">
        <f t="shared" si="11"/>
        <v>公共部分装修</v>
      </c>
      <c r="R35" s="704" t="s">
        <v>14</v>
      </c>
      <c r="S35" s="705">
        <f t="shared" si="12"/>
        <v>100</v>
      </c>
      <c r="T35" s="704" t="s">
        <v>14</v>
      </c>
      <c r="U35" s="705">
        <f t="shared" si="13"/>
        <v>100</v>
      </c>
      <c r="V35" s="704" t="s">
        <v>14</v>
      </c>
      <c r="W35" s="705">
        <f t="shared" si="14"/>
        <v>100</v>
      </c>
      <c r="X35" s="1353"/>
      <c r="Y35" s="3709"/>
      <c r="Z35" s="1354" t="str">
        <f t="shared" si="15"/>
        <v>公共部分装修</v>
      </c>
      <c r="AA35" s="1351">
        <f t="shared" si="3"/>
        <v>1</v>
      </c>
      <c r="AB35" s="1351">
        <f t="shared" si="4"/>
        <v>1</v>
      </c>
      <c r="AC35" s="1351">
        <f t="shared" si="5"/>
        <v>1</v>
      </c>
    </row>
    <row r="36" spans="1:29" ht="15">
      <c r="A36" s="423"/>
      <c r="B36" s="375" t="s">
        <v>1785</v>
      </c>
      <c r="C36" s="425">
        <f>'比较法-办公'!C37</f>
        <v>0.9</v>
      </c>
      <c r="D36" s="386">
        <v>100</v>
      </c>
      <c r="E36" s="425">
        <f>C36</f>
        <v>0.9</v>
      </c>
      <c r="F36" s="412">
        <f>LOOKUP(E36,110:110,111:111)-LOOKUP(C36,110:110,111:111)+100</f>
        <v>100</v>
      </c>
      <c r="G36" s="425">
        <f>E36</f>
        <v>0.9</v>
      </c>
      <c r="H36" s="412">
        <f>LOOKUP(G36,110:110,111:111)-LOOKUP(C36,110:110,111:111)+100</f>
        <v>100</v>
      </c>
      <c r="I36" s="425">
        <f>G36</f>
        <v>0.9</v>
      </c>
      <c r="J36" s="386">
        <f>LOOKUP(I36,110:110,111:111)-LOOKUP(C36,110:110,111:111)+100</f>
        <v>100</v>
      </c>
      <c r="K36" s="561">
        <v>1</v>
      </c>
      <c r="L36" s="2719"/>
      <c r="M36" s="2713"/>
      <c r="N36" s="2713"/>
      <c r="O36" s="2713"/>
      <c r="P36" s="3707"/>
      <c r="Q36" s="1350" t="str">
        <f t="shared" si="11"/>
        <v>成新度</v>
      </c>
      <c r="R36" s="704" t="s">
        <v>14</v>
      </c>
      <c r="S36" s="705">
        <f t="shared" si="12"/>
        <v>100</v>
      </c>
      <c r="T36" s="704" t="s">
        <v>14</v>
      </c>
      <c r="U36" s="705">
        <f t="shared" si="13"/>
        <v>100</v>
      </c>
      <c r="V36" s="704" t="s">
        <v>14</v>
      </c>
      <c r="W36" s="705">
        <f t="shared" si="14"/>
        <v>100</v>
      </c>
      <c r="X36" s="1353"/>
      <c r="Y36" s="3709"/>
      <c r="Z36" s="1354" t="str">
        <f t="shared" si="15"/>
        <v>成新度</v>
      </c>
      <c r="AA36" s="1351">
        <f t="shared" si="3"/>
        <v>1</v>
      </c>
      <c r="AB36" s="1351">
        <f t="shared" si="4"/>
        <v>1</v>
      </c>
      <c r="AC36" s="1351">
        <f t="shared" si="5"/>
        <v>1</v>
      </c>
    </row>
    <row r="37" spans="1:29" s="108" customFormat="1" ht="15">
      <c r="A37" s="424"/>
      <c r="B37" s="375" t="s">
        <v>1786</v>
      </c>
      <c r="C37" s="411" t="s">
        <v>3610</v>
      </c>
      <c r="D37" s="127">
        <v>100</v>
      </c>
      <c r="E37" s="411" t="s">
        <v>3610</v>
      </c>
      <c r="F37" s="412">
        <f>SUMIF(112:112,E37,113:113)-SUMIF(112:112,C37,113:113)+100</f>
        <v>100</v>
      </c>
      <c r="G37" s="411" t="s">
        <v>3610</v>
      </c>
      <c r="H37" s="386">
        <f>SUMIF(112:112,G37,113:113)-SUMIF(112:112,C37,113:113)+100</f>
        <v>100</v>
      </c>
      <c r="I37" s="411" t="s">
        <v>3610</v>
      </c>
      <c r="J37" s="386">
        <f>SUMIF(112:112,I37,113:113)-SUMIF(112:112,C37,113:113)+100</f>
        <v>100</v>
      </c>
      <c r="K37" s="561">
        <v>1</v>
      </c>
      <c r="L37" s="2714"/>
      <c r="M37" s="2715"/>
      <c r="N37" s="2715"/>
      <c r="O37" s="2715"/>
      <c r="P37" s="3707"/>
      <c r="Q37" s="1341" t="str">
        <f t="shared" si="11"/>
        <v>市政基础设施</v>
      </c>
      <c r="R37" s="700" t="s">
        <v>14</v>
      </c>
      <c r="S37" s="701">
        <f t="shared" si="12"/>
        <v>100</v>
      </c>
      <c r="T37" s="700" t="s">
        <v>14</v>
      </c>
      <c r="U37" s="701">
        <f t="shared" si="13"/>
        <v>100</v>
      </c>
      <c r="V37" s="700" t="s">
        <v>14</v>
      </c>
      <c r="W37" s="701">
        <f t="shared" si="14"/>
        <v>100</v>
      </c>
      <c r="X37" s="702"/>
      <c r="Y37" s="3709"/>
      <c r="Z37" s="52" t="str">
        <f t="shared" si="15"/>
        <v>市政基础设施</v>
      </c>
      <c r="AA37" s="703">
        <f t="shared" si="3"/>
        <v>1</v>
      </c>
      <c r="AB37" s="703">
        <f t="shared" si="4"/>
        <v>1</v>
      </c>
      <c r="AC37" s="703">
        <f t="shared" si="5"/>
        <v>1</v>
      </c>
    </row>
    <row r="38" spans="1:29" ht="15">
      <c r="A38" s="423"/>
      <c r="B38" s="375" t="s">
        <v>1787</v>
      </c>
      <c r="C38" s="1904" t="s">
        <v>3546</v>
      </c>
      <c r="D38" s="386">
        <v>100</v>
      </c>
      <c r="E38" s="1904" t="s">
        <v>3548</v>
      </c>
      <c r="F38" s="412">
        <f>SUMIF(114:114,E38,115:115)-SUMIF(114:114,C38,115:115)+100</f>
        <v>100</v>
      </c>
      <c r="G38" s="1904" t="s">
        <v>3548</v>
      </c>
      <c r="H38" s="386">
        <f>SUMIF(114:114,G38,115:115)-SUMIF(114:114,C38,115:115)+100</f>
        <v>100</v>
      </c>
      <c r="I38" s="1904" t="s">
        <v>3548</v>
      </c>
      <c r="J38" s="386">
        <f>SUMIF(114:114,I38,115:115)-SUMIF(114:114,C38,115:115)+100</f>
        <v>100</v>
      </c>
      <c r="K38" s="561">
        <v>0</v>
      </c>
      <c r="L38" s="2719"/>
      <c r="M38" s="2713"/>
      <c r="N38" s="2713"/>
      <c r="O38" s="2713"/>
      <c r="P38" s="3707" t="s">
        <v>1695</v>
      </c>
      <c r="Q38" s="1350" t="str">
        <f t="shared" si="11"/>
        <v>业态</v>
      </c>
      <c r="R38" s="704" t="s">
        <v>14</v>
      </c>
      <c r="S38" s="705">
        <f t="shared" si="12"/>
        <v>100</v>
      </c>
      <c r="T38" s="704" t="s">
        <v>14</v>
      </c>
      <c r="U38" s="705">
        <f t="shared" si="13"/>
        <v>100</v>
      </c>
      <c r="V38" s="704" t="s">
        <v>14</v>
      </c>
      <c r="W38" s="705">
        <f t="shared" si="14"/>
        <v>100</v>
      </c>
      <c r="X38" s="1353"/>
      <c r="Y38" s="3709" t="s">
        <v>1695</v>
      </c>
      <c r="Z38" s="1354" t="str">
        <f t="shared" si="15"/>
        <v>业态</v>
      </c>
      <c r="AA38" s="1351">
        <f t="shared" si="3"/>
        <v>1</v>
      </c>
      <c r="AB38" s="1351">
        <f t="shared" si="4"/>
        <v>1</v>
      </c>
      <c r="AC38" s="1351">
        <f t="shared" si="5"/>
        <v>1</v>
      </c>
    </row>
    <row r="39" spans="1:29" ht="15">
      <c r="A39" s="423"/>
      <c r="B39" s="375" t="s">
        <v>1788</v>
      </c>
      <c r="C39" s="3481" t="s">
        <v>3611</v>
      </c>
      <c r="D39" s="386">
        <v>100</v>
      </c>
      <c r="E39" s="3481" t="s">
        <v>3611</v>
      </c>
      <c r="F39" s="412">
        <f>SUMIF(116:116,E39,117:117)-SUMIF(116:116,C39,117:117)+100</f>
        <v>100</v>
      </c>
      <c r="G39" s="3481" t="s">
        <v>3611</v>
      </c>
      <c r="H39" s="386">
        <f>SUMIF(116:116,G39,117:117)-SUMIF(116:116,C39,117:117)+100</f>
        <v>100</v>
      </c>
      <c r="I39" s="3481" t="s">
        <v>3611</v>
      </c>
      <c r="J39" s="386">
        <f>SUMIF(116:116,I39,117:117)-SUMIF(116:116,C39,117:117)+100</f>
        <v>100</v>
      </c>
      <c r="K39" s="561">
        <v>3</v>
      </c>
      <c r="L39" s="2719"/>
      <c r="M39" s="2713"/>
      <c r="N39" s="2713"/>
      <c r="O39" s="2713"/>
      <c r="P39" s="3707"/>
      <c r="Q39" s="1350" t="str">
        <f t="shared" si="11"/>
        <v>层高</v>
      </c>
      <c r="R39" s="704" t="s">
        <v>14</v>
      </c>
      <c r="S39" s="705">
        <f t="shared" si="12"/>
        <v>100</v>
      </c>
      <c r="T39" s="704" t="s">
        <v>14</v>
      </c>
      <c r="U39" s="705">
        <f t="shared" si="13"/>
        <v>100</v>
      </c>
      <c r="V39" s="704" t="s">
        <v>14</v>
      </c>
      <c r="W39" s="705">
        <f t="shared" si="14"/>
        <v>100</v>
      </c>
      <c r="X39" s="1353"/>
      <c r="Y39" s="3709"/>
      <c r="Z39" s="1354" t="str">
        <f t="shared" si="15"/>
        <v>层高</v>
      </c>
      <c r="AA39" s="1351">
        <f t="shared" si="3"/>
        <v>1</v>
      </c>
      <c r="AB39" s="1351">
        <f t="shared" si="4"/>
        <v>1</v>
      </c>
      <c r="AC39" s="1351">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07"/>
      <c r="Q40" s="1350" t="str">
        <f t="shared" si="11"/>
        <v>单套建筑面积</v>
      </c>
      <c r="R40" s="704" t="s">
        <v>14</v>
      </c>
      <c r="S40" s="705">
        <f t="shared" si="12"/>
        <v>100</v>
      </c>
      <c r="T40" s="704" t="s">
        <v>14</v>
      </c>
      <c r="U40" s="705">
        <f t="shared" si="13"/>
        <v>100</v>
      </c>
      <c r="V40" s="704" t="s">
        <v>14</v>
      </c>
      <c r="W40" s="705">
        <f t="shared" si="14"/>
        <v>100</v>
      </c>
      <c r="X40" s="1353"/>
      <c r="Y40" s="3709"/>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7"/>
      <c r="Q41" s="706" t="str">
        <f t="shared" si="11"/>
        <v>进深比</v>
      </c>
      <c r="R41" s="707" t="s">
        <v>14</v>
      </c>
      <c r="S41" s="708">
        <f t="shared" si="12"/>
        <v>100</v>
      </c>
      <c r="T41" s="707" t="s">
        <v>14</v>
      </c>
      <c r="U41" s="708">
        <f t="shared" si="13"/>
        <v>100</v>
      </c>
      <c r="V41" s="707" t="s">
        <v>14</v>
      </c>
      <c r="W41" s="708">
        <f t="shared" si="14"/>
        <v>100</v>
      </c>
      <c r="X41" s="709"/>
      <c r="Y41" s="3709"/>
      <c r="Z41" s="710" t="str">
        <f t="shared" si="15"/>
        <v>进深比</v>
      </c>
      <c r="AA41" s="1351">
        <f t="shared" si="3"/>
        <v>1</v>
      </c>
      <c r="AB41" s="1351">
        <f t="shared" si="4"/>
        <v>1</v>
      </c>
      <c r="AC41" s="1351">
        <f t="shared" si="5"/>
        <v>1</v>
      </c>
    </row>
    <row r="42" spans="1:29" ht="15">
      <c r="A42" s="423"/>
      <c r="B42" s="375" t="s">
        <v>1791</v>
      </c>
      <c r="C42" s="1904" t="s">
        <v>3568</v>
      </c>
      <c r="D42" s="386">
        <v>100</v>
      </c>
      <c r="E42" s="1904" t="s">
        <v>3568</v>
      </c>
      <c r="F42" s="412">
        <f>SUMIF(122:122,E42,123:123)-SUMIF(122:122,C42,123:123)+100</f>
        <v>100</v>
      </c>
      <c r="G42" s="1904" t="s">
        <v>3568</v>
      </c>
      <c r="H42" s="386">
        <f>SUMIF(122:122,G42,123:123)-SUMIF(122:122,C42,123:123)+100</f>
        <v>100</v>
      </c>
      <c r="I42" s="1904" t="s">
        <v>3568</v>
      </c>
      <c r="J42" s="386">
        <f>SUMIF(122:122,I42,123:123)-SUMIF(122:122,C42,123:123)+100</f>
        <v>100</v>
      </c>
      <c r="K42" s="561">
        <v>1</v>
      </c>
      <c r="L42" s="2719"/>
      <c r="M42" s="2713"/>
      <c r="N42" s="2713"/>
      <c r="O42" s="2713"/>
      <c r="P42" s="3707"/>
      <c r="Q42" s="1350" t="str">
        <f t="shared" si="11"/>
        <v>内部装修</v>
      </c>
      <c r="R42" s="704" t="s">
        <v>14</v>
      </c>
      <c r="S42" s="705">
        <f t="shared" si="12"/>
        <v>100</v>
      </c>
      <c r="T42" s="704" t="s">
        <v>14</v>
      </c>
      <c r="U42" s="705">
        <f t="shared" si="13"/>
        <v>100</v>
      </c>
      <c r="V42" s="704" t="s">
        <v>14</v>
      </c>
      <c r="W42" s="705">
        <f t="shared" si="14"/>
        <v>100</v>
      </c>
      <c r="X42" s="1353"/>
      <c r="Y42" s="3709"/>
      <c r="Z42" s="1354" t="str">
        <f t="shared" si="15"/>
        <v>内部装修</v>
      </c>
      <c r="AA42" s="1351">
        <f t="shared" si="3"/>
        <v>1</v>
      </c>
      <c r="AB42" s="1351">
        <f t="shared" si="4"/>
        <v>1</v>
      </c>
      <c r="AC42" s="1351">
        <f t="shared" si="5"/>
        <v>1</v>
      </c>
    </row>
    <row r="43" spans="1:29" ht="15">
      <c r="A43" s="423"/>
      <c r="B43" s="375" t="s">
        <v>1706</v>
      </c>
      <c r="C43" s="1904" t="s">
        <v>3514</v>
      </c>
      <c r="D43" s="386">
        <v>100</v>
      </c>
      <c r="E43" s="1904" t="s">
        <v>3514</v>
      </c>
      <c r="F43" s="412">
        <f>SUMIF(124:124,E43,125:125)-SUMIF(124:124,C43,125:125)+100</f>
        <v>100</v>
      </c>
      <c r="G43" s="1904" t="s">
        <v>3514</v>
      </c>
      <c r="H43" s="386">
        <f>SUMIF(124:124,G43,125:125)-SUMIF(124:124,C43,125:125)+100</f>
        <v>100</v>
      </c>
      <c r="I43" s="1904" t="s">
        <v>3514</v>
      </c>
      <c r="J43" s="386">
        <f>SUMIF(124:124,I43,125:125)-SUMIF(124:124,C43,125:125)+100</f>
        <v>100</v>
      </c>
      <c r="K43" s="561">
        <v>2</v>
      </c>
      <c r="L43" s="2719"/>
      <c r="M43" s="2713"/>
      <c r="N43" s="2713"/>
      <c r="O43" s="2713"/>
      <c r="P43" s="3707"/>
      <c r="Q43" s="1350" t="str">
        <f t="shared" si="11"/>
        <v>内部装修维护情况</v>
      </c>
      <c r="R43" s="704" t="s">
        <v>14</v>
      </c>
      <c r="S43" s="705">
        <f t="shared" si="12"/>
        <v>100</v>
      </c>
      <c r="T43" s="704" t="s">
        <v>14</v>
      </c>
      <c r="U43" s="705">
        <f t="shared" si="13"/>
        <v>100</v>
      </c>
      <c r="V43" s="704" t="s">
        <v>14</v>
      </c>
      <c r="W43" s="705">
        <f t="shared" si="14"/>
        <v>100</v>
      </c>
      <c r="X43" s="1353"/>
      <c r="Y43" s="3709"/>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7"/>
      <c r="Q44" s="1341">
        <f t="shared" si="11"/>
        <v>111</v>
      </c>
      <c r="R44" s="700" t="s">
        <v>14</v>
      </c>
      <c r="S44" s="701">
        <f t="shared" si="12"/>
        <v>100</v>
      </c>
      <c r="T44" s="700" t="s">
        <v>14</v>
      </c>
      <c r="U44" s="701">
        <f t="shared" si="13"/>
        <v>100</v>
      </c>
      <c r="V44" s="700" t="s">
        <v>14</v>
      </c>
      <c r="W44" s="701">
        <f t="shared" si="14"/>
        <v>100</v>
      </c>
      <c r="X44" s="702"/>
      <c r="Y44" s="370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7"/>
      <c r="Q45" s="1350">
        <f t="shared" si="11"/>
        <v>111</v>
      </c>
      <c r="R45" s="704" t="s">
        <v>14</v>
      </c>
      <c r="S45" s="705">
        <f t="shared" si="12"/>
        <v>100</v>
      </c>
      <c r="T45" s="704" t="s">
        <v>14</v>
      </c>
      <c r="U45" s="705">
        <f t="shared" si="13"/>
        <v>100</v>
      </c>
      <c r="V45" s="704" t="s">
        <v>14</v>
      </c>
      <c r="W45" s="705">
        <f t="shared" si="14"/>
        <v>100</v>
      </c>
      <c r="X45" s="1353"/>
      <c r="Y45" s="370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8"/>
      <c r="Q46" s="1350">
        <f t="shared" si="11"/>
        <v>111</v>
      </c>
      <c r="R46" s="704" t="s">
        <v>14</v>
      </c>
      <c r="S46" s="705">
        <f t="shared" si="12"/>
        <v>100</v>
      </c>
      <c r="T46" s="704" t="s">
        <v>14</v>
      </c>
      <c r="U46" s="705">
        <f t="shared" si="13"/>
        <v>100</v>
      </c>
      <c r="V46" s="704" t="s">
        <v>14</v>
      </c>
      <c r="W46" s="705">
        <f t="shared" si="14"/>
        <v>100</v>
      </c>
      <c r="X46" s="1353"/>
      <c r="Y46" s="3710"/>
      <c r="Z46" s="1354">
        <f t="shared" si="15"/>
        <v>111</v>
      </c>
      <c r="AA46" s="1351">
        <f t="shared" si="3"/>
        <v>1</v>
      </c>
      <c r="AB46" s="1351">
        <f t="shared" si="4"/>
        <v>1</v>
      </c>
      <c r="AC46" s="1351">
        <f t="shared" si="5"/>
        <v>1</v>
      </c>
    </row>
    <row r="47" spans="1:29" ht="15">
      <c r="A47" s="430" t="s">
        <v>1707</v>
      </c>
      <c r="B47" s="431"/>
      <c r="C47" s="1153" t="s">
        <v>0</v>
      </c>
      <c r="D47" s="1154"/>
      <c r="E47" s="1155">
        <v>54326</v>
      </c>
      <c r="F47" s="1156"/>
      <c r="G47" s="1157">
        <v>57467</v>
      </c>
      <c r="H47" s="1158"/>
      <c r="I47" s="1155">
        <v>58065</v>
      </c>
      <c r="J47" s="1158"/>
      <c r="K47" s="713"/>
      <c r="L47" s="2721"/>
      <c r="M47" s="2722"/>
      <c r="N47" s="2713"/>
      <c r="O47" s="2722"/>
      <c r="P47" s="3697" t="str">
        <f>A47</f>
        <v>成交单价（元/平方米）</v>
      </c>
      <c r="Q47" s="3697"/>
      <c r="R47" s="3731">
        <f>E47</f>
        <v>54326</v>
      </c>
      <c r="S47" s="3731"/>
      <c r="T47" s="3731">
        <f>G47</f>
        <v>57467</v>
      </c>
      <c r="U47" s="3731"/>
      <c r="V47" s="3731">
        <f>I47</f>
        <v>58065</v>
      </c>
      <c r="W47" s="3731"/>
      <c r="X47" s="689"/>
      <c r="Y47" s="711"/>
      <c r="Z47" s="689"/>
      <c r="AA47" s="689"/>
      <c r="AB47" s="689"/>
      <c r="AC47" s="689"/>
    </row>
    <row r="48" spans="1:29" ht="15.75" thickBot="1">
      <c r="A48" s="437" t="s">
        <v>1792</v>
      </c>
      <c r="B48" s="438"/>
      <c r="C48" s="1159">
        <f>R49</f>
        <v>46058</v>
      </c>
      <c r="D48" s="2315" t="s">
        <v>2133</v>
      </c>
      <c r="E48" s="1160">
        <f>R48</f>
        <v>44796</v>
      </c>
      <c r="F48" s="2316"/>
      <c r="G48" s="1159">
        <f>T48</f>
        <v>46447</v>
      </c>
      <c r="H48" s="2316"/>
      <c r="I48" s="1160">
        <f>V48</f>
        <v>46931</v>
      </c>
      <c r="J48" s="2316"/>
      <c r="K48" s="2318">
        <f>F48+H48+J48</f>
        <v>0</v>
      </c>
      <c r="L48" s="2721"/>
      <c r="M48" s="2722"/>
      <c r="N48" s="2713"/>
      <c r="O48" s="2722"/>
      <c r="P48" s="3697" t="str">
        <f>A48</f>
        <v>比较价值（元/平方米）</v>
      </c>
      <c r="Q48" s="3697"/>
      <c r="R48" s="3698">
        <f>IF(F1="售价",ROUND(PRODUCT(R47,AA7:AA46),0),ROUND(PRODUCT(R47,AA7:AA46),1))</f>
        <v>44796</v>
      </c>
      <c r="S48" s="3698"/>
      <c r="T48" s="3698">
        <f>IF(F1="售价",ROUND(PRODUCT(T47,AB7:AB46),0),ROUND(PRODUCT(T47,AB7:AB46),1))</f>
        <v>46447</v>
      </c>
      <c r="U48" s="3698"/>
      <c r="V48" s="3698">
        <f>IF(F1="售价",ROUND(PRODUCT(V47,AC7:AC46),0),ROUND(PRODUCT(V47,AC7:AC46),1))</f>
        <v>46931</v>
      </c>
      <c r="W48" s="3698"/>
      <c r="X48" s="689"/>
      <c r="Y48" s="689"/>
      <c r="Z48" s="689"/>
      <c r="AA48" s="689"/>
      <c r="AB48" s="689"/>
      <c r="AC48" s="689"/>
    </row>
    <row r="49" spans="1:29" ht="15.75" thickBot="1">
      <c r="A49" s="441" t="s">
        <v>1793</v>
      </c>
      <c r="B49" s="442"/>
      <c r="C49" s="1162">
        <f>R49</f>
        <v>46058</v>
      </c>
      <c r="D49" s="1162"/>
      <c r="E49" s="1162"/>
      <c r="F49" s="1162"/>
      <c r="G49" s="1162"/>
      <c r="H49" s="1162"/>
      <c r="I49" s="1162"/>
      <c r="J49" s="1162"/>
      <c r="K49" s="714"/>
      <c r="L49" s="2721"/>
      <c r="M49" s="2722"/>
      <c r="N49" s="2713"/>
      <c r="O49" s="2722"/>
      <c r="P49" s="3753" t="str">
        <f>A49</f>
        <v>估价对象XX用房的比较价值（楼面单价，元/平方米）</v>
      </c>
      <c r="Q49" s="3754"/>
      <c r="R49" s="3755">
        <f>IF(F1="售价",ROUND(IF(D48="简单平均",AVERAGE(R48:V48),R48*F48+T48*H48+V48*J48),0),ROUND(IF(D48="简单平均",AVERAGE(R48:V48),R48*F48+T48*H48+V48*J48),1))</f>
        <v>46058</v>
      </c>
      <c r="S49" s="3755"/>
      <c r="T49" s="3755"/>
      <c r="U49" s="3755"/>
      <c r="V49" s="3755"/>
      <c r="W49" s="3755"/>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0.21274220912581487</v>
      </c>
      <c r="F52" s="449" t="str">
        <f>IF(OR(E52&gt;=0.3,E52&lt;=-0.3),"超过30%","")</f>
        <v/>
      </c>
      <c r="G52" s="448">
        <f>IF(G47&lt;G48,G48/G47-1,G47/G48-1)</f>
        <v>0.23725967231468115</v>
      </c>
      <c r="H52" s="449" t="str">
        <f>IF(OR(G52&gt;=0.3,G52&lt;=-0.3),"超过30%","")</f>
        <v/>
      </c>
      <c r="I52" s="448">
        <f>IF(I47&lt;I48,I48/I47-1,I47/I48-1)</f>
        <v>0.23724190833351089</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3.6855969282971746E-2</v>
      </c>
      <c r="F53" s="449" t="str">
        <f>IF(OR(E53&gt;=0.2,E53&lt;=-0.2),"超过20%","")</f>
        <v/>
      </c>
      <c r="G53" s="448">
        <f>IF(G48&lt;I48,I48/G48-1,G48/I48-1)</f>
        <v>1.0420479255926152E-2</v>
      </c>
      <c r="H53" s="449" t="str">
        <f>IF(OR(G53&gt;=0.2,G53&lt;=-0.2),"超过20%","")</f>
        <v/>
      </c>
      <c r="I53" s="448">
        <f>IF(I48&lt;E48,E48/I48-1,I48/E48-1)</f>
        <v>4.7660505402268072E-2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5.7817619556013611E-2</v>
      </c>
      <c r="F54" s="449" t="str">
        <f>IF(OR(E54&gt;=0.3,E54&lt;=-0.3),"超过30%","")</f>
        <v/>
      </c>
      <c r="G54" s="448">
        <f>IF(G47&lt;I47,I47/G47-1,G47/I47-1)</f>
        <v>1.0405972123131546E-2</v>
      </c>
      <c r="H54" s="449" t="str">
        <f>IF(OR(G54&gt;=0.3,G54&lt;=-0.3),"超过30%","")</f>
        <v/>
      </c>
      <c r="I54" s="448">
        <f>IF(I47&lt;E47,E47/I47-1,I47/E47-1)</f>
        <v>6.8825240216470851E-2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1797</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1678</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3466" t="s">
        <v>3510</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3</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97</v>
      </c>
      <c r="E77" s="493">
        <f>D77-$K15</f>
        <v>94</v>
      </c>
      <c r="F77" s="493">
        <f>E77-$K15</f>
        <v>91</v>
      </c>
      <c r="G77" s="493">
        <f>F77-$K15</f>
        <v>88</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97</v>
      </c>
      <c r="E81" s="493">
        <f>D81-$K19</f>
        <v>94</v>
      </c>
      <c r="F81" s="493">
        <f>E81-$K19</f>
        <v>91</v>
      </c>
      <c r="G81" s="493">
        <f>F81-$K19</f>
        <v>88</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7" t="s">
        <v>1798</v>
      </c>
      <c r="D82" s="607" t="s">
        <v>1799</v>
      </c>
      <c r="E82" s="607" t="s">
        <v>1800</v>
      </c>
      <c r="F82" s="607" t="s">
        <v>1801</v>
      </c>
      <c r="G82" s="607" t="s">
        <v>1802</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71" t="s">
        <v>3552</v>
      </c>
      <c r="D86" s="3471" t="s">
        <v>3553</v>
      </c>
      <c r="E86" s="3471" t="s">
        <v>3554</v>
      </c>
      <c r="F86" s="3471" t="s">
        <v>3555</v>
      </c>
      <c r="G86" s="3471" t="s">
        <v>3556</v>
      </c>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90</v>
      </c>
      <c r="E87" s="493">
        <f t="shared" si="20"/>
        <v>80</v>
      </c>
      <c r="F87" s="493">
        <f t="shared" si="20"/>
        <v>70</v>
      </c>
      <c r="G87" s="493">
        <f t="shared" si="20"/>
        <v>60</v>
      </c>
      <c r="H87" s="493">
        <f t="shared" si="20"/>
        <v>50</v>
      </c>
      <c r="I87" s="493">
        <f t="shared" si="20"/>
        <v>40</v>
      </c>
      <c r="J87" s="493">
        <f t="shared" si="20"/>
        <v>30</v>
      </c>
      <c r="K87" s="493">
        <f t="shared" si="20"/>
        <v>20</v>
      </c>
      <c r="L87" s="493">
        <f t="shared" si="20"/>
        <v>10</v>
      </c>
      <c r="M87" s="493">
        <f t="shared" si="20"/>
        <v>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3557</v>
      </c>
      <c r="D88" s="503" t="s">
        <v>3514</v>
      </c>
      <c r="E88" s="503" t="s">
        <v>3558</v>
      </c>
      <c r="F88" s="1925" t="s">
        <v>3559</v>
      </c>
      <c r="G88" s="503" t="s">
        <v>3560</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71" t="s">
        <v>3561</v>
      </c>
      <c r="D90" s="3471" t="s">
        <v>3562</v>
      </c>
      <c r="E90" s="3471" t="s">
        <v>3563</v>
      </c>
      <c r="F90" s="3471" t="s">
        <v>3564</v>
      </c>
      <c r="G90" s="3471" t="s">
        <v>3565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v>1</v>
      </c>
      <c r="D92" s="3492" t="s">
        <v>3627</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70" t="s">
        <v>3618</v>
      </c>
      <c r="D100" s="3470" t="s">
        <v>3551</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v>500</v>
      </c>
      <c r="H103" s="544">
        <v>1000</v>
      </c>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3471"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3469" t="s">
        <v>3532</v>
      </c>
      <c r="D107" s="3469" t="s">
        <v>3533</v>
      </c>
      <c r="E107" s="3469" t="s">
        <v>3534</v>
      </c>
      <c r="F107" s="3472" t="s">
        <v>3535</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3469" t="s">
        <v>3539</v>
      </c>
      <c r="D112" s="3469" t="s">
        <v>3540</v>
      </c>
      <c r="E112" s="3469" t="s">
        <v>3541</v>
      </c>
      <c r="F112" s="3469" t="s">
        <v>3542</v>
      </c>
      <c r="G112" s="3469" t="s">
        <v>3543</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71" t="s">
        <v>3547</v>
      </c>
      <c r="D114" s="3471" t="s">
        <v>3549</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3472" t="s">
        <v>3544</v>
      </c>
      <c r="D116" s="3473" t="s">
        <v>3545</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69" t="s">
        <v>3532</v>
      </c>
      <c r="D122" s="3469" t="s">
        <v>3533</v>
      </c>
      <c r="E122" s="3469" t="s">
        <v>3534</v>
      </c>
      <c r="F122" s="3472" t="s">
        <v>3535</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3" t="s">
        <v>2309</v>
      </c>
      <c r="B2" s="2840" t="e">
        <f>IF(D2="——",C40,C40+E2)</f>
        <v>#DIV/0!</v>
      </c>
      <c r="C2" s="2841" t="s">
        <v>2310</v>
      </c>
      <c r="D2" s="3440" t="s">
        <v>3355</v>
      </c>
      <c r="E2" s="3441"/>
      <c r="F2" s="2843"/>
      <c r="G2" s="2844"/>
      <c r="H2" s="2845"/>
      <c r="I2" s="2846"/>
      <c r="J2" s="3770" t="s">
        <v>2311</v>
      </c>
      <c r="K2" s="3771"/>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772" t="s">
        <v>2321</v>
      </c>
      <c r="K3" s="3773"/>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772" t="s">
        <v>2323</v>
      </c>
      <c r="K4" s="3773"/>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778" t="s">
        <v>2327</v>
      </c>
      <c r="B6" s="3779"/>
      <c r="C6" s="3780"/>
      <c r="D6" s="2867"/>
      <c r="E6" s="2868"/>
      <c r="F6" s="2869"/>
      <c r="G6" s="2870"/>
      <c r="H6" s="2845"/>
      <c r="I6" s="2846"/>
      <c r="J6" s="3764">
        <v>1</v>
      </c>
      <c r="K6" s="3765"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764"/>
      <c r="K7" s="3766"/>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781" t="s">
        <v>2341</v>
      </c>
      <c r="C8" s="3782"/>
      <c r="D8" s="2886" t="s">
        <v>2342</v>
      </c>
      <c r="E8" s="2887" t="s">
        <v>2343</v>
      </c>
      <c r="F8" s="2888" t="s">
        <v>2344</v>
      </c>
      <c r="G8" s="2889"/>
      <c r="H8" s="2845"/>
      <c r="I8" s="2846"/>
      <c r="J8" s="3764"/>
      <c r="K8" s="3766"/>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781" t="s">
        <v>2347</v>
      </c>
      <c r="C9" s="3782"/>
      <c r="D9" s="2886">
        <f>ROUND(D6*E9,0)</f>
        <v>0</v>
      </c>
      <c r="E9" s="2890"/>
      <c r="F9" s="2891" t="s">
        <v>2348</v>
      </c>
      <c r="G9" s="2870"/>
      <c r="H9" s="2845"/>
      <c r="I9" s="2846"/>
      <c r="J9" s="3764"/>
      <c r="K9" s="3766"/>
      <c r="L9" s="2880" t="s">
        <v>2349</v>
      </c>
      <c r="M9" s="2881"/>
      <c r="N9" s="2857"/>
      <c r="O9" s="2882"/>
      <c r="P9" s="2882"/>
      <c r="Q9" s="2883">
        <v>365</v>
      </c>
      <c r="R9" s="2884">
        <f t="shared" si="0"/>
        <v>0</v>
      </c>
      <c r="S9" s="2838"/>
      <c r="T9" s="2838"/>
      <c r="U9" s="2838"/>
      <c r="V9" s="2846"/>
    </row>
    <row r="10" spans="1:22" s="2850" customFormat="1" ht="13.15" customHeight="1">
      <c r="A10" s="2885">
        <v>2</v>
      </c>
      <c r="B10" s="3781" t="s">
        <v>2350</v>
      </c>
      <c r="C10" s="3782"/>
      <c r="D10" s="2886">
        <f>ROUND(D6*E10,0)</f>
        <v>0</v>
      </c>
      <c r="E10" s="2890"/>
      <c r="F10" s="2891" t="s">
        <v>2351</v>
      </c>
      <c r="G10" s="2870"/>
      <c r="H10" s="2845"/>
      <c r="I10" s="2846"/>
      <c r="J10" s="3764"/>
      <c r="K10" s="3766"/>
      <c r="L10" s="2880" t="s">
        <v>2352</v>
      </c>
      <c r="M10" s="2881"/>
      <c r="N10" s="2857"/>
      <c r="O10" s="2882"/>
      <c r="P10" s="2882"/>
      <c r="Q10" s="2883">
        <v>365</v>
      </c>
      <c r="R10" s="2884">
        <f t="shared" si="0"/>
        <v>0</v>
      </c>
      <c r="S10" s="2838"/>
      <c r="T10" s="2838"/>
      <c r="U10" s="2838"/>
      <c r="V10" s="2846"/>
    </row>
    <row r="11" spans="1:22" s="2850" customFormat="1" ht="13.15" customHeight="1">
      <c r="A11" s="2885">
        <v>3</v>
      </c>
      <c r="B11" s="3781" t="s">
        <v>2353</v>
      </c>
      <c r="C11" s="3782"/>
      <c r="D11" s="2886">
        <f>D12+D14+D15+D16</f>
        <v>0</v>
      </c>
      <c r="E11" s="2892" t="e">
        <f>D11/D6</f>
        <v>#DIV/0!</v>
      </c>
      <c r="F11" s="2888"/>
      <c r="G11" s="2889"/>
      <c r="H11" s="2845"/>
      <c r="I11" s="2846"/>
      <c r="J11" s="3764"/>
      <c r="K11" s="3766"/>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774" t="s">
        <v>2356</v>
      </c>
      <c r="C12" s="3775"/>
      <c r="D12" s="2894">
        <f>ROUND(D13*1.2%*(1-30%),0)</f>
        <v>0</v>
      </c>
      <c r="E12" s="2895">
        <v>1.2E-2</v>
      </c>
      <c r="F12" s="2888" t="s">
        <v>2357</v>
      </c>
      <c r="G12" s="2889"/>
      <c r="H12" s="2845"/>
      <c r="I12" s="2846"/>
      <c r="J12" s="3764"/>
      <c r="K12" s="3766"/>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764"/>
      <c r="K13" s="3766"/>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774" t="s">
        <v>2362</v>
      </c>
      <c r="C14" s="3775"/>
      <c r="D14" s="2894">
        <f>ROUND(E14*B5/10000,0)</f>
        <v>0</v>
      </c>
      <c r="E14" s="2883"/>
      <c r="F14" s="2888" t="s">
        <v>2363</v>
      </c>
      <c r="G14" s="2889"/>
      <c r="H14" s="2845"/>
      <c r="I14" s="2846"/>
      <c r="J14" s="3764"/>
      <c r="K14" s="3767"/>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774" t="s">
        <v>2366</v>
      </c>
      <c r="C15" s="3775"/>
      <c r="D15" s="2894">
        <f>ROUND(D6*E15,0)</f>
        <v>0</v>
      </c>
      <c r="E15" s="2895">
        <v>5.5E-2</v>
      </c>
      <c r="F15" s="2888" t="s">
        <v>2367</v>
      </c>
      <c r="G15" s="2870"/>
      <c r="H15" s="2845"/>
      <c r="I15" s="2846"/>
      <c r="J15" s="3764">
        <v>2</v>
      </c>
      <c r="K15" s="3765"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774" t="s">
        <v>2375</v>
      </c>
      <c r="C16" s="3775"/>
      <c r="D16" s="2905">
        <f>D6*E16</f>
        <v>0</v>
      </c>
      <c r="E16" s="2906"/>
      <c r="F16" s="2891" t="s">
        <v>2376</v>
      </c>
      <c r="G16" s="2870"/>
      <c r="H16" s="2845"/>
      <c r="I16" s="2846"/>
      <c r="J16" s="3764"/>
      <c r="K16" s="3766"/>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776" t="s">
        <v>2378</v>
      </c>
      <c r="C17" s="3777"/>
      <c r="D17" s="2908">
        <f>ROUND(D6*E17,0)</f>
        <v>0</v>
      </c>
      <c r="E17" s="2909"/>
      <c r="F17" s="2910" t="s">
        <v>2379</v>
      </c>
      <c r="G17" s="2870"/>
      <c r="H17" s="2845"/>
      <c r="I17" s="2846"/>
      <c r="J17" s="3764"/>
      <c r="K17" s="3766"/>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764"/>
      <c r="K18" s="3766"/>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764"/>
      <c r="K19" s="3767"/>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64">
        <v>3</v>
      </c>
      <c r="K20" s="3765"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764"/>
      <c r="K21" s="3766"/>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764"/>
      <c r="K22" s="3766"/>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764"/>
      <c r="K23" s="3766"/>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764"/>
      <c r="K24" s="3767"/>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768">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76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770" t="s">
        <v>2311</v>
      </c>
      <c r="K32" s="3771"/>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772" t="s">
        <v>2321</v>
      </c>
      <c r="K33" s="3773"/>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772" t="s">
        <v>2323</v>
      </c>
      <c r="K34" s="377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764">
        <v>1</v>
      </c>
      <c r="K36" s="3765"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764"/>
      <c r="K37" s="3766"/>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64"/>
      <c r="K38" s="3766"/>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764"/>
      <c r="K39" s="3766"/>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764"/>
      <c r="K40" s="3767"/>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8">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76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4"/>
      <c r="G1" s="1487"/>
      <c r="H1" s="1487"/>
      <c r="I1" s="1487"/>
      <c r="J1" s="1487"/>
      <c r="K1" s="1487"/>
      <c r="L1" s="1487"/>
      <c r="M1" s="1487"/>
      <c r="N1" s="1487"/>
      <c r="O1" s="1487"/>
      <c r="P1" s="1487"/>
      <c r="Q1" s="1487"/>
      <c r="R1" s="1487"/>
      <c r="S1" s="1487"/>
    </row>
    <row r="2" spans="1:22" ht="15.75">
      <c r="A2" s="1868" t="s">
        <v>1461</v>
      </c>
      <c r="B2" s="1869">
        <f ca="1">SUMIF(B6:B13,"&lt;&gt;#ref!",B6:B13)</f>
        <v>336.86810000000003</v>
      </c>
      <c r="C2" s="1870" t="s">
        <v>1650</v>
      </c>
      <c r="D2" s="1871" t="s">
        <v>1651</v>
      </c>
      <c r="E2" s="2605">
        <f>SUM(E6:E13)</f>
        <v>125.74</v>
      </c>
      <c r="F2" s="2704"/>
      <c r="G2" s="1487"/>
      <c r="H2" s="1487"/>
      <c r="I2" s="1487"/>
      <c r="J2" s="1487"/>
      <c r="K2" s="1487"/>
      <c r="L2" s="1487"/>
      <c r="M2" s="1487"/>
      <c r="N2" s="1487"/>
      <c r="O2" s="1487"/>
      <c r="P2" s="1487"/>
      <c r="Q2" s="1487"/>
      <c r="R2" s="1487"/>
      <c r="S2" s="1487"/>
    </row>
    <row r="3" spans="1:22" ht="15.75">
      <c r="A3" s="1868" t="s">
        <v>686</v>
      </c>
      <c r="B3" s="2599">
        <f ca="1">ROUND(B2*10000/E2,0)</f>
        <v>26791</v>
      </c>
      <c r="C3" s="1870" t="s">
        <v>1658</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1652</v>
      </c>
      <c r="B5" s="3783" t="s">
        <v>1653</v>
      </c>
      <c r="C5" s="3784"/>
      <c r="D5" s="2705"/>
      <c r="E5" s="1872" t="s">
        <v>1654</v>
      </c>
      <c r="F5" s="1873" t="s">
        <v>1655</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336.86810000000003</v>
      </c>
      <c r="C6" s="1870" t="s">
        <v>1650</v>
      </c>
      <c r="D6" s="2706"/>
      <c r="E6" s="2604">
        <f>IF(OR(A6=0,F6="否"),0,'数据-取费表'!K6+'数据-取费表'!S6)</f>
        <v>125.74</v>
      </c>
      <c r="F6" s="1874" t="s">
        <v>1656</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1650</v>
      </c>
      <c r="D7" s="2706"/>
      <c r="E7" s="2604">
        <f>IF(OR(A7=0,F7="否"),0,'数据-取费表'!K7+'数据-取费表'!S7)</f>
        <v>0</v>
      </c>
      <c r="F7" s="1874" t="s">
        <v>1656</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1650</v>
      </c>
      <c r="D8" s="2706"/>
      <c r="E8" s="2604">
        <f>IF(OR(A8=0,F8="否"),0,'数据-取费表'!K8+'数据-取费表'!S8)</f>
        <v>0</v>
      </c>
      <c r="F8" s="1874" t="s">
        <v>1656</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1650</v>
      </c>
      <c r="D9" s="2706"/>
      <c r="E9" s="2604">
        <f>IF(OR(A9=0,F9="否"),0,'数据-取费表'!K9+'数据-取费表'!S9)</f>
        <v>0</v>
      </c>
      <c r="F9" s="1874" t="s">
        <v>1656</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1650</v>
      </c>
      <c r="D10" s="2706"/>
      <c r="E10" s="2604">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1650</v>
      </c>
      <c r="D11" s="2706"/>
      <c r="E11" s="2604">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1650</v>
      </c>
      <c r="D12" s="2706"/>
      <c r="E12" s="2604">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1650</v>
      </c>
      <c r="D13" s="2707"/>
      <c r="E13" s="2604">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估价对象为北京市房地产，为所有。根据《国有土地使用证》[]，估价对象（分摊）出让国有建设用地使用权面积为0平方米，建筑面积为125.74平方米。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估价对象为北京市房地产,属开发建设的，该项目尚在开发建设中。根据《国有土地使用证》[]，估价对象（分摊）出让国有建设用地使用权面积为0平方米，规划建筑面积为125.74平方米。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2023年10月11日（评估专业人员实地查勘之日）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1660</v>
      </c>
      <c r="C1" s="1237" t="s">
        <v>1661</v>
      </c>
      <c r="D1" s="1224"/>
      <c r="E1" s="3423"/>
      <c r="F1" s="1877"/>
      <c r="G1" s="1234" t="s">
        <v>1662</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1663</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125.74</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5" t="s">
        <v>1665</v>
      </c>
      <c r="B4" s="356"/>
      <c r="C4" s="3714" t="s">
        <v>1666</v>
      </c>
      <c r="D4" s="3715"/>
      <c r="E4" s="3716" t="s">
        <v>1667</v>
      </c>
      <c r="F4" s="3717"/>
      <c r="G4" s="3714" t="s">
        <v>1668</v>
      </c>
      <c r="H4" s="3715"/>
      <c r="I4" s="3714" t="s">
        <v>1669</v>
      </c>
      <c r="J4" s="3715"/>
      <c r="K4" s="1887" t="s">
        <v>1670</v>
      </c>
      <c r="L4" s="2712"/>
      <c r="M4" s="2713"/>
      <c r="N4" s="2713"/>
      <c r="O4" s="2713"/>
      <c r="P4" s="3757" t="s">
        <v>1671</v>
      </c>
      <c r="Q4" s="3758"/>
      <c r="R4" s="3761" t="s">
        <v>1667</v>
      </c>
      <c r="S4" s="3762"/>
      <c r="T4" s="3761" t="s">
        <v>1668</v>
      </c>
      <c r="U4" s="3762"/>
      <c r="V4" s="3731" t="s">
        <v>1669</v>
      </c>
      <c r="W4" s="3731"/>
      <c r="X4" s="1353"/>
      <c r="Y4" s="3761" t="s">
        <v>1671</v>
      </c>
      <c r="Z4" s="3762"/>
      <c r="AA4" s="3756" t="s">
        <v>1667</v>
      </c>
      <c r="AB4" s="3756" t="s">
        <v>1668</v>
      </c>
      <c r="AC4" s="3756" t="s">
        <v>1669</v>
      </c>
    </row>
    <row r="5" spans="1:29" ht="15">
      <c r="A5" s="358"/>
      <c r="B5" s="359"/>
      <c r="C5" s="3740" t="s">
        <v>1672</v>
      </c>
      <c r="D5" s="3741"/>
      <c r="E5" s="3785" t="s">
        <v>1673</v>
      </c>
      <c r="F5" s="3735"/>
      <c r="G5" s="3740" t="s">
        <v>1674</v>
      </c>
      <c r="H5" s="3741"/>
      <c r="I5" s="3740" t="s">
        <v>1675</v>
      </c>
      <c r="J5" s="3741"/>
      <c r="K5" s="1888"/>
      <c r="L5" s="2712"/>
      <c r="M5" s="2713"/>
      <c r="N5" s="2713"/>
      <c r="O5" s="2713"/>
      <c r="P5" s="3759"/>
      <c r="Q5" s="3721"/>
      <c r="R5" s="3726"/>
      <c r="S5" s="3727"/>
      <c r="T5" s="3726"/>
      <c r="U5" s="3727"/>
      <c r="V5" s="3731"/>
      <c r="W5" s="3731"/>
      <c r="X5" s="1353"/>
      <c r="Y5" s="3726"/>
      <c r="Z5" s="3727"/>
      <c r="AA5" s="3745"/>
      <c r="AB5" s="3745"/>
      <c r="AC5" s="3745"/>
    </row>
    <row r="6" spans="1:29" ht="15.75" thickBot="1">
      <c r="A6" s="360"/>
      <c r="B6" s="361"/>
      <c r="C6" s="3732" t="s">
        <v>1676</v>
      </c>
      <c r="D6" s="3733"/>
      <c r="E6" s="3742" t="s">
        <v>1676</v>
      </c>
      <c r="F6" s="3743"/>
      <c r="G6" s="3732" t="s">
        <v>1676</v>
      </c>
      <c r="H6" s="3733"/>
      <c r="I6" s="3732" t="s">
        <v>1676</v>
      </c>
      <c r="J6" s="3733"/>
      <c r="K6" s="1888" t="s">
        <v>1677</v>
      </c>
      <c r="L6" s="2712"/>
      <c r="M6" s="2713"/>
      <c r="N6" s="2713"/>
      <c r="O6" s="2713"/>
      <c r="P6" s="3760"/>
      <c r="Q6" s="3723"/>
      <c r="R6" s="3726"/>
      <c r="S6" s="3727"/>
      <c r="T6" s="3728"/>
      <c r="U6" s="3729"/>
      <c r="V6" s="3731"/>
      <c r="W6" s="3731"/>
      <c r="X6" s="1353"/>
      <c r="Y6" s="3728"/>
      <c r="Z6" s="3729"/>
      <c r="AA6" s="3746"/>
      <c r="AB6" s="3746"/>
      <c r="AC6" s="3746"/>
    </row>
    <row r="7" spans="1:29" s="108" customFormat="1" ht="15.75" thickBot="1">
      <c r="A7" s="362" t="s">
        <v>1678</v>
      </c>
      <c r="B7" s="363"/>
      <c r="C7" s="364">
        <f>'数据-取费表'!B2</f>
        <v>45210</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38" t="s">
        <v>1679</v>
      </c>
      <c r="Q7" s="3739"/>
      <c r="R7" s="700" t="s">
        <v>20</v>
      </c>
      <c r="S7" s="701">
        <f t="shared" ref="S7:S15" si="0">F7</f>
        <v>0</v>
      </c>
      <c r="T7" s="700" t="s">
        <v>20</v>
      </c>
      <c r="U7" s="701">
        <f t="shared" ref="U7:U15" si="1">H7</f>
        <v>0</v>
      </c>
      <c r="V7" s="700" t="s">
        <v>20</v>
      </c>
      <c r="W7" s="701">
        <f t="shared" ref="W7:W15" si="2">J7</f>
        <v>0</v>
      </c>
      <c r="X7" s="702"/>
      <c r="Y7" s="3738" t="s">
        <v>1679</v>
      </c>
      <c r="Z7" s="3737"/>
      <c r="AA7" s="703" t="e">
        <f>D7/F7</f>
        <v>#DIV/0!</v>
      </c>
      <c r="AB7" s="703" t="e">
        <f>D7/H7</f>
        <v>#DIV/0!</v>
      </c>
      <c r="AC7" s="703"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38" t="s">
        <v>1682</v>
      </c>
      <c r="Q8" s="3737"/>
      <c r="R8" s="700" t="s">
        <v>20</v>
      </c>
      <c r="S8" s="701">
        <f t="shared" si="0"/>
        <v>100</v>
      </c>
      <c r="T8" s="700" t="s">
        <v>20</v>
      </c>
      <c r="U8" s="701">
        <f t="shared" si="1"/>
        <v>100</v>
      </c>
      <c r="V8" s="700" t="s">
        <v>20</v>
      </c>
      <c r="W8" s="701">
        <f t="shared" si="2"/>
        <v>100</v>
      </c>
      <c r="X8" s="702"/>
      <c r="Y8" s="3738" t="s">
        <v>1682</v>
      </c>
      <c r="Z8" s="3737"/>
      <c r="AA8" s="703">
        <f t="shared" ref="AA8:AA19" si="3">D8/F8</f>
        <v>1</v>
      </c>
      <c r="AB8" s="703">
        <f t="shared" ref="AB8:AB19" si="4">D8/H8</f>
        <v>1</v>
      </c>
      <c r="AC8" s="703">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96" t="s">
        <v>1685</v>
      </c>
      <c r="Q9" s="1341" t="str">
        <f t="shared" ref="Q9:Q15" si="6">B9</f>
        <v>用途</v>
      </c>
      <c r="R9" s="700" t="s">
        <v>14</v>
      </c>
      <c r="S9" s="701">
        <f t="shared" si="0"/>
        <v>100</v>
      </c>
      <c r="T9" s="700" t="s">
        <v>14</v>
      </c>
      <c r="U9" s="701">
        <f t="shared" si="1"/>
        <v>100</v>
      </c>
      <c r="V9" s="700" t="s">
        <v>14</v>
      </c>
      <c r="W9" s="701">
        <f t="shared" si="2"/>
        <v>100</v>
      </c>
      <c r="X9" s="702"/>
      <c r="Y9" s="3595"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696"/>
      <c r="Q10" s="1341"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6"/>
      <c r="Q11" s="1341" t="str">
        <f t="shared" si="6"/>
        <v>容积率</v>
      </c>
      <c r="R11" s="700" t="s">
        <v>18</v>
      </c>
      <c r="S11" s="701" t="e">
        <f t="shared" si="0"/>
        <v>#N/A</v>
      </c>
      <c r="T11" s="700" t="s">
        <v>18</v>
      </c>
      <c r="U11" s="701" t="e">
        <f t="shared" si="1"/>
        <v>#N/A</v>
      </c>
      <c r="V11" s="700" t="s">
        <v>18</v>
      </c>
      <c r="W11" s="701" t="e">
        <f t="shared" si="2"/>
        <v>#N/A</v>
      </c>
      <c r="X11" s="702"/>
      <c r="Y11" s="3595"/>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96"/>
      <c r="Q12" s="1341">
        <f t="shared" si="6"/>
        <v>111</v>
      </c>
      <c r="R12" s="700" t="s">
        <v>18</v>
      </c>
      <c r="S12" s="701">
        <f t="shared" si="0"/>
        <v>100</v>
      </c>
      <c r="T12" s="700" t="s">
        <v>18</v>
      </c>
      <c r="U12" s="701">
        <f t="shared" si="1"/>
        <v>100</v>
      </c>
      <c r="V12" s="700" t="s">
        <v>18</v>
      </c>
      <c r="W12" s="701">
        <f t="shared" si="2"/>
        <v>100</v>
      </c>
      <c r="X12" s="702"/>
      <c r="Y12" s="359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96"/>
      <c r="Q13" s="1341">
        <f t="shared" si="6"/>
        <v>111</v>
      </c>
      <c r="R13" s="700" t="s">
        <v>18</v>
      </c>
      <c r="S13" s="701">
        <f t="shared" si="0"/>
        <v>100</v>
      </c>
      <c r="T13" s="700" t="s">
        <v>18</v>
      </c>
      <c r="U13" s="701">
        <f t="shared" si="1"/>
        <v>100</v>
      </c>
      <c r="V13" s="700" t="s">
        <v>18</v>
      </c>
      <c r="W13" s="701">
        <f t="shared" si="2"/>
        <v>100</v>
      </c>
      <c r="X13" s="702"/>
      <c r="Y13" s="3595"/>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96"/>
      <c r="Q14" s="1341">
        <f t="shared" si="6"/>
        <v>111</v>
      </c>
      <c r="R14" s="700" t="s">
        <v>18</v>
      </c>
      <c r="S14" s="701">
        <f t="shared" si="0"/>
        <v>100</v>
      </c>
      <c r="T14" s="700" t="s">
        <v>18</v>
      </c>
      <c r="U14" s="701">
        <f t="shared" si="1"/>
        <v>100</v>
      </c>
      <c r="V14" s="700" t="s">
        <v>18</v>
      </c>
      <c r="W14" s="701">
        <f t="shared" si="2"/>
        <v>100</v>
      </c>
      <c r="X14" s="702"/>
      <c r="Y14" s="3595"/>
      <c r="Z14" s="52">
        <f t="shared" si="7"/>
        <v>111</v>
      </c>
      <c r="AA14" s="703">
        <f t="shared" si="3"/>
        <v>1</v>
      </c>
      <c r="AB14" s="703">
        <f t="shared" si="4"/>
        <v>1</v>
      </c>
      <c r="AC14" s="703">
        <f t="shared" si="5"/>
        <v>1</v>
      </c>
    </row>
    <row r="15" spans="1:29" ht="15">
      <c r="A15" s="391" t="s">
        <v>1689</v>
      </c>
      <c r="B15" s="61" t="s">
        <v>1256</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2" t="s">
        <v>1690</v>
      </c>
      <c r="Q15" s="1350" t="str">
        <f t="shared" si="6"/>
        <v>居住社区成熟度</v>
      </c>
      <c r="R15" s="704" t="s">
        <v>18</v>
      </c>
      <c r="S15" s="705">
        <f t="shared" si="0"/>
        <v>100</v>
      </c>
      <c r="T15" s="704" t="s">
        <v>18</v>
      </c>
      <c r="U15" s="705">
        <f t="shared" si="1"/>
        <v>100</v>
      </c>
      <c r="V15" s="704" t="s">
        <v>18</v>
      </c>
      <c r="W15" s="705">
        <f t="shared" si="2"/>
        <v>100</v>
      </c>
      <c r="X15" s="1353"/>
      <c r="Y15" s="3704"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03"/>
      <c r="Q16" s="1350"/>
      <c r="R16" s="704"/>
      <c r="S16" s="705"/>
      <c r="T16" s="704"/>
      <c r="U16" s="705"/>
      <c r="V16" s="704"/>
      <c r="W16" s="705"/>
      <c r="X16" s="1353"/>
      <c r="Y16" s="3705"/>
      <c r="Z16" s="1354"/>
      <c r="AA16" s="1351">
        <v>1</v>
      </c>
      <c r="AB16" s="1351">
        <v>1</v>
      </c>
      <c r="AC16" s="1351">
        <v>1</v>
      </c>
    </row>
    <row r="17" spans="1:29" ht="128.25">
      <c r="A17" s="379"/>
      <c r="B17" s="402" t="s">
        <v>1258</v>
      </c>
      <c r="C17" s="1898" t="str">
        <f>估价对象房地状况!C6</f>
        <v>估价对象周边道路状况较好、有300、368、652路等公交线路及地铁10号线经过，公共交通通达情况较好、停车便捷程度一般，综合评价交通便捷度较好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3"/>
      <c r="Q17" s="1350" t="str">
        <f>B17</f>
        <v>交通便捷度</v>
      </c>
      <c r="R17" s="704" t="s">
        <v>18</v>
      </c>
      <c r="S17" s="705">
        <f>F17</f>
        <v>100</v>
      </c>
      <c r="T17" s="704" t="s">
        <v>18</v>
      </c>
      <c r="U17" s="705">
        <f>H17</f>
        <v>100</v>
      </c>
      <c r="V17" s="704" t="s">
        <v>18</v>
      </c>
      <c r="W17" s="705">
        <f>J17</f>
        <v>100</v>
      </c>
      <c r="X17" s="1353"/>
      <c r="Y17" s="370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03"/>
      <c r="Q18" s="1350"/>
      <c r="R18" s="704"/>
      <c r="S18" s="705"/>
      <c r="T18" s="704"/>
      <c r="U18" s="705"/>
      <c r="V18" s="704"/>
      <c r="W18" s="705"/>
      <c r="X18" s="1353"/>
      <c r="Y18" s="3705"/>
      <c r="Z18" s="1354"/>
      <c r="AA18" s="1351">
        <v>1</v>
      </c>
      <c r="AB18" s="1351">
        <v>1</v>
      </c>
      <c r="AC18" s="1351">
        <v>1</v>
      </c>
    </row>
    <row r="19" spans="1:29" ht="42.75">
      <c r="A19" s="379"/>
      <c r="B19" s="402" t="s">
        <v>1257</v>
      </c>
      <c r="C19" s="1898"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3"/>
      <c r="Q19" s="1350" t="str">
        <f>B19</f>
        <v>公共配套设施</v>
      </c>
      <c r="R19" s="704" t="s">
        <v>18</v>
      </c>
      <c r="S19" s="705">
        <f>F19</f>
        <v>100</v>
      </c>
      <c r="T19" s="704" t="s">
        <v>18</v>
      </c>
      <c r="U19" s="705">
        <f>H19</f>
        <v>100</v>
      </c>
      <c r="V19" s="704" t="s">
        <v>18</v>
      </c>
      <c r="W19" s="705">
        <f>J19</f>
        <v>100</v>
      </c>
      <c r="X19" s="1353"/>
      <c r="Y19" s="370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03"/>
      <c r="Q20" s="1350"/>
      <c r="R20" s="704"/>
      <c r="S20" s="705"/>
      <c r="T20" s="704"/>
      <c r="U20" s="705"/>
      <c r="V20" s="704"/>
      <c r="W20" s="705"/>
      <c r="X20" s="1353"/>
      <c r="Y20" s="3705"/>
      <c r="Z20" s="1354"/>
      <c r="AA20" s="1351">
        <v>1</v>
      </c>
      <c r="AB20" s="1351">
        <v>1</v>
      </c>
      <c r="AC20" s="1351">
        <v>1</v>
      </c>
    </row>
    <row r="21" spans="1:29" ht="28.5">
      <c r="A21" s="379"/>
      <c r="B21" s="1130" t="s">
        <v>1259</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3"/>
      <c r="Q21" s="1350" t="str">
        <f>B21</f>
        <v>基础设施水平</v>
      </c>
      <c r="R21" s="704" t="s">
        <v>14</v>
      </c>
      <c r="S21" s="705">
        <f>F21</f>
        <v>100</v>
      </c>
      <c r="T21" s="704" t="s">
        <v>14</v>
      </c>
      <c r="U21" s="705">
        <f>H21</f>
        <v>100</v>
      </c>
      <c r="V21" s="704" t="s">
        <v>14</v>
      </c>
      <c r="W21" s="705">
        <f>J21</f>
        <v>100</v>
      </c>
      <c r="X21" s="1353"/>
      <c r="Y21" s="3705"/>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703"/>
      <c r="Q22" s="1350"/>
      <c r="R22" s="704"/>
      <c r="S22" s="705"/>
      <c r="T22" s="704"/>
      <c r="U22" s="705"/>
      <c r="V22" s="704"/>
      <c r="W22" s="705"/>
      <c r="X22" s="1353"/>
      <c r="Y22" s="3705"/>
      <c r="Z22" s="1354"/>
      <c r="AA22" s="1351">
        <v>1</v>
      </c>
      <c r="AB22" s="1351">
        <v>1</v>
      </c>
      <c r="AC22" s="1351">
        <v>1</v>
      </c>
    </row>
    <row r="23" spans="1:29" ht="85.5">
      <c r="A23" s="379"/>
      <c r="B23" s="402" t="s">
        <v>1260</v>
      </c>
      <c r="C23" s="1898" t="str">
        <f>估价对象房地状况!C9</f>
        <v>区域自然环境：北京动物园、官园公园；人文环境：北京天文馆、北京建筑大学；综合评价环境状况邮编</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3"/>
      <c r="Q23" s="1350" t="str">
        <f>B23</f>
        <v>自然及人文环境</v>
      </c>
      <c r="R23" s="704" t="s">
        <v>18</v>
      </c>
      <c r="S23" s="705">
        <f>F23</f>
        <v>100</v>
      </c>
      <c r="T23" s="704" t="s">
        <v>18</v>
      </c>
      <c r="U23" s="705">
        <f>H23</f>
        <v>100</v>
      </c>
      <c r="V23" s="704" t="s">
        <v>18</v>
      </c>
      <c r="W23" s="705">
        <f>J23</f>
        <v>100</v>
      </c>
      <c r="X23" s="1353"/>
      <c r="Y23" s="370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03"/>
      <c r="Q24" s="1350"/>
      <c r="R24" s="704"/>
      <c r="S24" s="705"/>
      <c r="T24" s="704"/>
      <c r="U24" s="705"/>
      <c r="V24" s="704"/>
      <c r="W24" s="705"/>
      <c r="X24" s="1353"/>
      <c r="Y24" s="3705"/>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03"/>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05"/>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03"/>
      <c r="Q26" s="1350" t="str">
        <f t="shared" si="11"/>
        <v>朝向</v>
      </c>
      <c r="R26" s="704" t="s">
        <v>18</v>
      </c>
      <c r="S26" s="705">
        <f t="shared" si="12"/>
        <v>100</v>
      </c>
      <c r="T26" s="704" t="s">
        <v>18</v>
      </c>
      <c r="U26" s="705">
        <f t="shared" si="13"/>
        <v>100</v>
      </c>
      <c r="V26" s="704" t="s">
        <v>18</v>
      </c>
      <c r="W26" s="705">
        <f t="shared" si="14"/>
        <v>100</v>
      </c>
      <c r="X26" s="1353"/>
      <c r="Y26" s="3705"/>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03"/>
      <c r="Q27" s="1341">
        <f t="shared" si="11"/>
        <v>111</v>
      </c>
      <c r="R27" s="700" t="s">
        <v>18</v>
      </c>
      <c r="S27" s="701">
        <f t="shared" si="12"/>
        <v>100</v>
      </c>
      <c r="T27" s="700" t="s">
        <v>18</v>
      </c>
      <c r="U27" s="701">
        <f t="shared" si="13"/>
        <v>100</v>
      </c>
      <c r="V27" s="700" t="s">
        <v>18</v>
      </c>
      <c r="W27" s="701">
        <f t="shared" si="14"/>
        <v>100</v>
      </c>
      <c r="X27" s="702"/>
      <c r="Y27" s="3705"/>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03"/>
      <c r="Q28" s="1350">
        <f t="shared" si="11"/>
        <v>111</v>
      </c>
      <c r="R28" s="704" t="s">
        <v>18</v>
      </c>
      <c r="S28" s="705">
        <f t="shared" si="12"/>
        <v>100</v>
      </c>
      <c r="T28" s="704" t="s">
        <v>18</v>
      </c>
      <c r="U28" s="705">
        <f t="shared" si="13"/>
        <v>100</v>
      </c>
      <c r="V28" s="704" t="s">
        <v>18</v>
      </c>
      <c r="W28" s="705">
        <f t="shared" si="14"/>
        <v>100</v>
      </c>
      <c r="X28" s="1353"/>
      <c r="Y28" s="3705"/>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03"/>
      <c r="Q29" s="1350">
        <f t="shared" si="11"/>
        <v>111</v>
      </c>
      <c r="R29" s="704" t="s">
        <v>18</v>
      </c>
      <c r="S29" s="705">
        <f t="shared" si="12"/>
        <v>100</v>
      </c>
      <c r="T29" s="704" t="s">
        <v>18</v>
      </c>
      <c r="U29" s="705">
        <f t="shared" si="13"/>
        <v>100</v>
      </c>
      <c r="V29" s="704" t="s">
        <v>18</v>
      </c>
      <c r="W29" s="705">
        <f t="shared" si="14"/>
        <v>100</v>
      </c>
      <c r="X29" s="1353"/>
      <c r="Y29" s="3705"/>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03"/>
      <c r="Q30" s="1350">
        <f t="shared" si="11"/>
        <v>111</v>
      </c>
      <c r="R30" s="704" t="s">
        <v>18</v>
      </c>
      <c r="S30" s="705">
        <f t="shared" si="12"/>
        <v>100</v>
      </c>
      <c r="T30" s="704" t="s">
        <v>18</v>
      </c>
      <c r="U30" s="705">
        <f t="shared" si="13"/>
        <v>100</v>
      </c>
      <c r="V30" s="704" t="s">
        <v>18</v>
      </c>
      <c r="W30" s="705">
        <f t="shared" si="14"/>
        <v>100</v>
      </c>
      <c r="X30" s="1353"/>
      <c r="Y30" s="3705"/>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03"/>
      <c r="Q31" s="1350">
        <f t="shared" si="11"/>
        <v>111</v>
      </c>
      <c r="R31" s="704" t="s">
        <v>18</v>
      </c>
      <c r="S31" s="705">
        <f t="shared" si="12"/>
        <v>100</v>
      </c>
      <c r="T31" s="704" t="s">
        <v>18</v>
      </c>
      <c r="U31" s="705">
        <f t="shared" si="13"/>
        <v>100</v>
      </c>
      <c r="V31" s="704" t="s">
        <v>18</v>
      </c>
      <c r="W31" s="705">
        <f t="shared" si="14"/>
        <v>100</v>
      </c>
      <c r="X31" s="1353"/>
      <c r="Y31" s="3705"/>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06" t="s">
        <v>1695</v>
      </c>
      <c r="Q32" s="1350" t="str">
        <f t="shared" si="11"/>
        <v>建筑类型</v>
      </c>
      <c r="R32" s="704" t="s">
        <v>18</v>
      </c>
      <c r="S32" s="705">
        <f t="shared" si="12"/>
        <v>100</v>
      </c>
      <c r="T32" s="704" t="s">
        <v>18</v>
      </c>
      <c r="U32" s="705">
        <f t="shared" si="13"/>
        <v>100</v>
      </c>
      <c r="V32" s="704" t="s">
        <v>18</v>
      </c>
      <c r="W32" s="705">
        <f t="shared" si="14"/>
        <v>100</v>
      </c>
      <c r="X32" s="1353"/>
      <c r="Y32" s="3709"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07"/>
      <c r="Q33" s="706" t="str">
        <f t="shared" si="11"/>
        <v>项目建筑规模</v>
      </c>
      <c r="R33" s="707" t="s">
        <v>18</v>
      </c>
      <c r="S33" s="708" t="e">
        <f t="shared" si="12"/>
        <v>#N/A</v>
      </c>
      <c r="T33" s="707" t="s">
        <v>18</v>
      </c>
      <c r="U33" s="708" t="e">
        <f t="shared" si="13"/>
        <v>#N/A</v>
      </c>
      <c r="V33" s="707" t="s">
        <v>18</v>
      </c>
      <c r="W33" s="708" t="e">
        <f t="shared" si="14"/>
        <v>#N/A</v>
      </c>
      <c r="X33" s="709"/>
      <c r="Y33" s="3709"/>
      <c r="Z33" s="710"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07"/>
      <c r="Q34" s="1350" t="str">
        <f t="shared" si="11"/>
        <v>建筑结构</v>
      </c>
      <c r="R34" s="704" t="s">
        <v>18</v>
      </c>
      <c r="S34" s="705">
        <f t="shared" si="12"/>
        <v>100</v>
      </c>
      <c r="T34" s="704" t="s">
        <v>18</v>
      </c>
      <c r="U34" s="705">
        <f t="shared" si="13"/>
        <v>100</v>
      </c>
      <c r="V34" s="704" t="s">
        <v>18</v>
      </c>
      <c r="W34" s="705">
        <f t="shared" si="14"/>
        <v>100</v>
      </c>
      <c r="X34" s="1353"/>
      <c r="Y34" s="3709"/>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07"/>
      <c r="Q35" s="1350" t="str">
        <f t="shared" si="11"/>
        <v>建筑品质</v>
      </c>
      <c r="R35" s="704" t="s">
        <v>18</v>
      </c>
      <c r="S35" s="705">
        <f t="shared" si="12"/>
        <v>100</v>
      </c>
      <c r="T35" s="704" t="s">
        <v>18</v>
      </c>
      <c r="U35" s="705">
        <f t="shared" si="13"/>
        <v>100</v>
      </c>
      <c r="V35" s="704" t="s">
        <v>18</v>
      </c>
      <c r="W35" s="705">
        <f t="shared" si="14"/>
        <v>100</v>
      </c>
      <c r="X35" s="1353"/>
      <c r="Y35" s="3709"/>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07"/>
      <c r="Q36" s="1350" t="str">
        <f t="shared" si="11"/>
        <v>公共部分装修</v>
      </c>
      <c r="R36" s="704" t="s">
        <v>18</v>
      </c>
      <c r="S36" s="705">
        <f t="shared" si="12"/>
        <v>100</v>
      </c>
      <c r="T36" s="704" t="s">
        <v>18</v>
      </c>
      <c r="U36" s="705">
        <f t="shared" si="13"/>
        <v>100</v>
      </c>
      <c r="V36" s="704" t="s">
        <v>18</v>
      </c>
      <c r="W36" s="705">
        <f t="shared" si="14"/>
        <v>100</v>
      </c>
      <c r="X36" s="1353"/>
      <c r="Y36" s="3709"/>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7"/>
      <c r="Q37" s="1341" t="str">
        <f t="shared" si="11"/>
        <v>成新度</v>
      </c>
      <c r="R37" s="700" t="s">
        <v>18</v>
      </c>
      <c r="S37" s="701" t="e">
        <f t="shared" si="12"/>
        <v>#N/A</v>
      </c>
      <c r="T37" s="700" t="s">
        <v>18</v>
      </c>
      <c r="U37" s="701" t="e">
        <f t="shared" si="13"/>
        <v>#N/A</v>
      </c>
      <c r="V37" s="700" t="s">
        <v>18</v>
      </c>
      <c r="W37" s="701" t="e">
        <f t="shared" si="14"/>
        <v>#N/A</v>
      </c>
      <c r="X37" s="702"/>
      <c r="Y37" s="3709"/>
      <c r="Z37" s="52" t="str">
        <f t="shared" si="18"/>
        <v>成新度</v>
      </c>
      <c r="AA37" s="703" t="e">
        <f t="shared" si="15"/>
        <v>#N/A</v>
      </c>
      <c r="AB37" s="703" t="e">
        <f t="shared" si="16"/>
        <v>#N/A</v>
      </c>
      <c r="AC37" s="703"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07" t="s">
        <v>1695</v>
      </c>
      <c r="Q38" s="1350" t="str">
        <f t="shared" si="11"/>
        <v>物业管理</v>
      </c>
      <c r="R38" s="704" t="s">
        <v>18</v>
      </c>
      <c r="S38" s="705">
        <f t="shared" si="12"/>
        <v>100</v>
      </c>
      <c r="T38" s="704" t="s">
        <v>18</v>
      </c>
      <c r="U38" s="705">
        <f t="shared" si="13"/>
        <v>100</v>
      </c>
      <c r="V38" s="704" t="s">
        <v>18</v>
      </c>
      <c r="W38" s="705">
        <f t="shared" si="14"/>
        <v>100</v>
      </c>
      <c r="X38" s="1353"/>
      <c r="Y38" s="3709"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07"/>
      <c r="Q39" s="1350" t="str">
        <f t="shared" si="11"/>
        <v>市政基础设施</v>
      </c>
      <c r="R39" s="704" t="s">
        <v>18</v>
      </c>
      <c r="S39" s="705">
        <f t="shared" si="12"/>
        <v>100</v>
      </c>
      <c r="T39" s="704" t="s">
        <v>18</v>
      </c>
      <c r="U39" s="705">
        <f t="shared" si="13"/>
        <v>100</v>
      </c>
      <c r="V39" s="704" t="s">
        <v>18</v>
      </c>
      <c r="W39" s="705">
        <f t="shared" si="14"/>
        <v>100</v>
      </c>
      <c r="X39" s="1353"/>
      <c r="Y39" s="3709"/>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07"/>
      <c r="Q40" s="1350" t="str">
        <f t="shared" si="11"/>
        <v>房型</v>
      </c>
      <c r="R40" s="704" t="s">
        <v>18</v>
      </c>
      <c r="S40" s="705">
        <f t="shared" si="12"/>
        <v>100</v>
      </c>
      <c r="T40" s="704" t="s">
        <v>18</v>
      </c>
      <c r="U40" s="705">
        <f t="shared" si="13"/>
        <v>100</v>
      </c>
      <c r="V40" s="704" t="s">
        <v>18</v>
      </c>
      <c r="W40" s="705">
        <f t="shared" si="14"/>
        <v>100</v>
      </c>
      <c r="X40" s="1353"/>
      <c r="Y40" s="3709"/>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07"/>
      <c r="Q41" s="706" t="str">
        <f t="shared" si="11"/>
        <v>单套/主力户型建筑面积</v>
      </c>
      <c r="R41" s="707" t="s">
        <v>18</v>
      </c>
      <c r="S41" s="708">
        <f t="shared" si="12"/>
        <v>100</v>
      </c>
      <c r="T41" s="707" t="s">
        <v>18</v>
      </c>
      <c r="U41" s="708">
        <f t="shared" si="13"/>
        <v>100</v>
      </c>
      <c r="V41" s="707" t="s">
        <v>18</v>
      </c>
      <c r="W41" s="708">
        <f t="shared" si="14"/>
        <v>100</v>
      </c>
      <c r="X41" s="709"/>
      <c r="Y41" s="3709"/>
      <c r="Z41" s="710"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07"/>
      <c r="Q42" s="1350" t="str">
        <f t="shared" si="11"/>
        <v>内部装修</v>
      </c>
      <c r="R42" s="704" t="s">
        <v>18</v>
      </c>
      <c r="S42" s="705">
        <f t="shared" si="12"/>
        <v>100</v>
      </c>
      <c r="T42" s="704" t="s">
        <v>18</v>
      </c>
      <c r="U42" s="705">
        <f t="shared" si="13"/>
        <v>100</v>
      </c>
      <c r="V42" s="704" t="s">
        <v>18</v>
      </c>
      <c r="W42" s="705">
        <f t="shared" si="14"/>
        <v>100</v>
      </c>
      <c r="X42" s="1353"/>
      <c r="Y42" s="3709"/>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07"/>
      <c r="Q43" s="1350" t="str">
        <f t="shared" si="11"/>
        <v>内部装修维护情况</v>
      </c>
      <c r="R43" s="704" t="s">
        <v>18</v>
      </c>
      <c r="S43" s="705">
        <f t="shared" si="12"/>
        <v>100</v>
      </c>
      <c r="T43" s="704" t="s">
        <v>18</v>
      </c>
      <c r="U43" s="705">
        <f t="shared" si="13"/>
        <v>100</v>
      </c>
      <c r="V43" s="704" t="s">
        <v>18</v>
      </c>
      <c r="W43" s="705">
        <f t="shared" si="14"/>
        <v>100</v>
      </c>
      <c r="X43" s="1353"/>
      <c r="Y43" s="3709"/>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07"/>
      <c r="Q44" s="1341">
        <f t="shared" si="11"/>
        <v>111</v>
      </c>
      <c r="R44" s="700" t="s">
        <v>18</v>
      </c>
      <c r="S44" s="701">
        <f t="shared" si="12"/>
        <v>100</v>
      </c>
      <c r="T44" s="700" t="s">
        <v>18</v>
      </c>
      <c r="U44" s="701">
        <f t="shared" si="13"/>
        <v>100</v>
      </c>
      <c r="V44" s="700" t="s">
        <v>18</v>
      </c>
      <c r="W44" s="701">
        <f t="shared" si="14"/>
        <v>100</v>
      </c>
      <c r="X44" s="702"/>
      <c r="Y44" s="370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07"/>
      <c r="Q45" s="1350">
        <f t="shared" si="11"/>
        <v>111</v>
      </c>
      <c r="R45" s="704" t="s">
        <v>18</v>
      </c>
      <c r="S45" s="705">
        <f t="shared" si="12"/>
        <v>100</v>
      </c>
      <c r="T45" s="704" t="s">
        <v>18</v>
      </c>
      <c r="U45" s="705">
        <f t="shared" si="13"/>
        <v>100</v>
      </c>
      <c r="V45" s="704" t="s">
        <v>18</v>
      </c>
      <c r="W45" s="705">
        <f t="shared" si="14"/>
        <v>100</v>
      </c>
      <c r="X45" s="1353"/>
      <c r="Y45" s="370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08"/>
      <c r="Q46" s="1350">
        <f t="shared" si="11"/>
        <v>111</v>
      </c>
      <c r="R46" s="704" t="s">
        <v>17</v>
      </c>
      <c r="S46" s="705">
        <f t="shared" si="12"/>
        <v>100</v>
      </c>
      <c r="T46" s="704" t="s">
        <v>17</v>
      </c>
      <c r="U46" s="705">
        <f t="shared" si="13"/>
        <v>100</v>
      </c>
      <c r="V46" s="704" t="s">
        <v>17</v>
      </c>
      <c r="W46" s="705">
        <f t="shared" si="14"/>
        <v>100</v>
      </c>
      <c r="X46" s="1353"/>
      <c r="Y46" s="3710"/>
      <c r="Z46" s="1354">
        <f t="shared" si="18"/>
        <v>111</v>
      </c>
      <c r="AA46" s="1351">
        <f t="shared" si="15"/>
        <v>1</v>
      </c>
      <c r="AB46" s="1351">
        <f t="shared" si="16"/>
        <v>1</v>
      </c>
      <c r="AC46" s="1351">
        <f t="shared" si="17"/>
        <v>1</v>
      </c>
    </row>
    <row r="47" spans="1:29" ht="15">
      <c r="A47" s="430" t="s">
        <v>1707</v>
      </c>
      <c r="B47" s="431"/>
      <c r="C47" s="1153" t="s">
        <v>16</v>
      </c>
      <c r="D47" s="1154"/>
      <c r="E47" s="1155"/>
      <c r="F47" s="1156"/>
      <c r="G47" s="1157"/>
      <c r="H47" s="1158"/>
      <c r="I47" s="1155"/>
      <c r="J47" s="1158"/>
      <c r="K47" s="1912"/>
      <c r="L47" s="2721"/>
      <c r="M47" s="2722"/>
      <c r="N47" s="2713"/>
      <c r="O47" s="2722"/>
      <c r="P47" s="3697" t="str">
        <f>A47</f>
        <v>成交单价（元/平方米）</v>
      </c>
      <c r="Q47" s="3697"/>
      <c r="R47" s="3698">
        <f>E47</f>
        <v>0</v>
      </c>
      <c r="S47" s="3698"/>
      <c r="T47" s="3698">
        <f>G47</f>
        <v>0</v>
      </c>
      <c r="U47" s="3698"/>
      <c r="V47" s="3698">
        <f>I47</f>
        <v>0</v>
      </c>
      <c r="W47" s="3698"/>
      <c r="X47" s="689"/>
      <c r="Y47" s="711"/>
      <c r="Z47" s="689"/>
      <c r="AA47" s="689"/>
      <c r="AB47" s="689"/>
      <c r="AC47" s="689"/>
    </row>
    <row r="48" spans="1:29" ht="15.75" thickBot="1">
      <c r="A48" s="437" t="s">
        <v>1708</v>
      </c>
      <c r="B48" s="438"/>
      <c r="C48" s="1159" t="e">
        <f>R49</f>
        <v>#DIV/0!</v>
      </c>
      <c r="D48" s="2315" t="s">
        <v>2133</v>
      </c>
      <c r="E48" s="1160" t="e">
        <f>R48</f>
        <v>#DIV/0!</v>
      </c>
      <c r="F48" s="2316"/>
      <c r="G48" s="1159" t="e">
        <f>T48</f>
        <v>#DIV/0!</v>
      </c>
      <c r="H48" s="2316"/>
      <c r="I48" s="1160" t="e">
        <f>V48</f>
        <v>#DIV/0!</v>
      </c>
      <c r="J48" s="2316"/>
      <c r="K48" s="2317">
        <f>F48+H48+J48</f>
        <v>0</v>
      </c>
      <c r="L48" s="2721"/>
      <c r="M48" s="2722"/>
      <c r="N48" s="2722"/>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3"/>
      <c r="L49" s="2721"/>
      <c r="M49" s="2722"/>
      <c r="N49" s="2722"/>
      <c r="O49" s="2722"/>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1713</v>
      </c>
      <c r="B57" s="689"/>
      <c r="C57" s="694"/>
      <c r="D57" s="694"/>
      <c r="E57" s="694"/>
      <c r="F57" s="695"/>
      <c r="G57" s="695"/>
      <c r="H57" s="694"/>
      <c r="I57" s="694"/>
      <c r="J57" s="694"/>
      <c r="K57" s="940"/>
      <c r="L57" s="941"/>
      <c r="M57" s="939"/>
      <c r="N57" s="939"/>
      <c r="O57" s="939"/>
      <c r="P57" s="1916"/>
      <c r="Q57" s="453"/>
    </row>
    <row r="58" spans="1:29" s="457" customFormat="1" ht="15">
      <c r="A58" s="454" t="s">
        <v>1714</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1718</v>
      </c>
      <c r="B63" s="477" t="s">
        <v>1684</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1687</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1733</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1734</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1693</v>
      </c>
      <c r="B100" s="477" t="s">
        <v>1735</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1737</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1738</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1739</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1740</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1741</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1742</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1743</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5.75"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c r="B147" s="1927" t="s">
        <v>1763</v>
      </c>
    </row>
    <row r="148" spans="2:11">
      <c r="B148" s="192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0" priority="19" stopIfTrue="1" operator="containsText" text="超过">
      <formula>NOT(ISERROR(SEARCH("超过",F52)))</formula>
    </cfRule>
  </conditionalFormatting>
  <conditionalFormatting sqref="J54">
    <cfRule type="containsText" dxfId="139" priority="18" stopIfTrue="1" operator="containsText" text="超过">
      <formula>NOT(ISERROR(SEARCH("超过",J54)))</formula>
    </cfRule>
  </conditionalFormatting>
  <conditionalFormatting sqref="H54">
    <cfRule type="containsText" dxfId="138" priority="17" stopIfTrue="1" operator="containsText" text="超过">
      <formula>NOT(ISERROR(SEARCH("超过",H54)))</formula>
    </cfRule>
  </conditionalFormatting>
  <conditionalFormatting sqref="F54">
    <cfRule type="containsText" dxfId="137" priority="16" stopIfTrue="1" operator="containsText" text="超过">
      <formula>NOT(ISERROR(SEARCH("超过",F54)))</formula>
    </cfRule>
  </conditionalFormatting>
  <conditionalFormatting sqref="F53 H53 J53">
    <cfRule type="containsText" dxfId="136" priority="15" stopIfTrue="1" operator="containsText" text="超过">
      <formula>NOT(ISERROR(SEARCH("超过",F53)))</formula>
    </cfRule>
  </conditionalFormatting>
  <conditionalFormatting sqref="E52">
    <cfRule type="expression" dxfId="135" priority="14" stopIfTrue="1">
      <formula>$F$52="超过30%"</formula>
    </cfRule>
  </conditionalFormatting>
  <conditionalFormatting sqref="G54">
    <cfRule type="expression" dxfId="134" priority="12" stopIfTrue="1">
      <formula>$H$54="超过30%"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2">
    <cfRule type="expression" dxfId="131" priority="9" stopIfTrue="1">
      <formula>$H$52="超过30%"</formula>
    </cfRule>
  </conditionalFormatting>
  <conditionalFormatting sqref="G53">
    <cfRule type="expression" dxfId="130" priority="8" stopIfTrue="1">
      <formula>$H$53="超过20%"</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1825</v>
      </c>
      <c r="C1" s="1223" t="s">
        <v>1661</v>
      </c>
      <c r="D1" s="1224"/>
      <c r="E1" s="3430"/>
      <c r="F1" s="1877"/>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125.74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14" t="s">
        <v>1769</v>
      </c>
      <c r="D4" s="3715"/>
      <c r="E4" s="3716" t="s">
        <v>1770</v>
      </c>
      <c r="F4" s="3717"/>
      <c r="G4" s="3714" t="s">
        <v>1771</v>
      </c>
      <c r="H4" s="3715"/>
      <c r="I4" s="3714" t="s">
        <v>1772</v>
      </c>
      <c r="J4" s="3715"/>
      <c r="K4" s="559" t="s">
        <v>1773</v>
      </c>
      <c r="L4" s="912"/>
      <c r="M4" s="913"/>
      <c r="N4" s="913"/>
      <c r="O4" s="913"/>
      <c r="P4" s="3757" t="s">
        <v>1774</v>
      </c>
      <c r="Q4" s="3758"/>
      <c r="R4" s="3761" t="s">
        <v>1770</v>
      </c>
      <c r="S4" s="3762"/>
      <c r="T4" s="3761" t="s">
        <v>1771</v>
      </c>
      <c r="U4" s="3762"/>
      <c r="V4" s="3731" t="s">
        <v>1772</v>
      </c>
      <c r="W4" s="3731"/>
      <c r="X4" s="1353"/>
      <c r="Y4" s="3761" t="s">
        <v>1774</v>
      </c>
      <c r="Z4" s="3762"/>
      <c r="AA4" s="3756" t="s">
        <v>1770</v>
      </c>
      <c r="AB4" s="3745" t="s">
        <v>1771</v>
      </c>
      <c r="AC4" s="3756" t="s">
        <v>1772</v>
      </c>
    </row>
    <row r="5" spans="1:29" ht="15">
      <c r="A5" s="358"/>
      <c r="B5" s="359"/>
      <c r="C5" s="3740" t="s">
        <v>1672</v>
      </c>
      <c r="D5" s="3741"/>
      <c r="E5" s="3785" t="s">
        <v>1673</v>
      </c>
      <c r="F5" s="3735"/>
      <c r="G5" s="3740" t="s">
        <v>1674</v>
      </c>
      <c r="H5" s="3741"/>
      <c r="I5" s="3740" t="s">
        <v>1675</v>
      </c>
      <c r="J5" s="3741"/>
      <c r="K5" s="559"/>
      <c r="L5" s="912"/>
      <c r="M5" s="913"/>
      <c r="N5" s="913"/>
      <c r="O5" s="913"/>
      <c r="P5" s="3759"/>
      <c r="Q5" s="3721"/>
      <c r="R5" s="3726"/>
      <c r="S5" s="3727"/>
      <c r="T5" s="3726"/>
      <c r="U5" s="3727"/>
      <c r="V5" s="3731"/>
      <c r="W5" s="3731"/>
      <c r="X5" s="1353"/>
      <c r="Y5" s="3726"/>
      <c r="Z5" s="3727"/>
      <c r="AA5" s="3745"/>
      <c r="AB5" s="3745"/>
      <c r="AC5" s="3745"/>
    </row>
    <row r="6" spans="1:29" ht="15.75" thickBot="1">
      <c r="A6" s="360"/>
      <c r="B6" s="361"/>
      <c r="C6" s="3732" t="s">
        <v>1676</v>
      </c>
      <c r="D6" s="3733"/>
      <c r="E6" s="3742" t="s">
        <v>1676</v>
      </c>
      <c r="F6" s="3743"/>
      <c r="G6" s="3732" t="s">
        <v>1676</v>
      </c>
      <c r="H6" s="3733"/>
      <c r="I6" s="3732" t="s">
        <v>1676</v>
      </c>
      <c r="J6" s="3733"/>
      <c r="K6" s="559" t="s">
        <v>1677</v>
      </c>
      <c r="L6" s="912"/>
      <c r="M6" s="913"/>
      <c r="N6" s="913"/>
      <c r="O6" s="913"/>
      <c r="P6" s="3760"/>
      <c r="Q6" s="3723"/>
      <c r="R6" s="3726"/>
      <c r="S6" s="3727"/>
      <c r="T6" s="3728"/>
      <c r="U6" s="3729"/>
      <c r="V6" s="3731"/>
      <c r="W6" s="3731"/>
      <c r="X6" s="1353"/>
      <c r="Y6" s="3728"/>
      <c r="Z6" s="3729"/>
      <c r="AA6" s="3746"/>
      <c r="AB6" s="3746"/>
      <c r="AC6" s="3746"/>
    </row>
    <row r="7" spans="1:29" s="108" customFormat="1" ht="15.75" thickBot="1">
      <c r="A7" s="362" t="s">
        <v>1678</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738" t="s">
        <v>1679</v>
      </c>
      <c r="Q7" s="3739"/>
      <c r="R7" s="700" t="s">
        <v>14</v>
      </c>
      <c r="S7" s="701">
        <f t="shared" ref="S7:S15" si="0">F7</f>
        <v>0</v>
      </c>
      <c r="T7" s="700" t="s">
        <v>14</v>
      </c>
      <c r="U7" s="701">
        <f t="shared" ref="U7:U15" si="1">H7</f>
        <v>0</v>
      </c>
      <c r="V7" s="700" t="s">
        <v>14</v>
      </c>
      <c r="W7" s="701">
        <f t="shared" ref="W7:W15" si="2">J7</f>
        <v>0</v>
      </c>
      <c r="X7" s="702"/>
      <c r="Y7" s="3738" t="s">
        <v>1679</v>
      </c>
      <c r="Z7" s="3737"/>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8" t="s">
        <v>1682</v>
      </c>
      <c r="Q8" s="3737"/>
      <c r="R8" s="700" t="s">
        <v>14</v>
      </c>
      <c r="S8" s="701">
        <f t="shared" si="0"/>
        <v>100</v>
      </c>
      <c r="T8" s="700" t="s">
        <v>14</v>
      </c>
      <c r="U8" s="701">
        <f t="shared" si="1"/>
        <v>100</v>
      </c>
      <c r="V8" s="700" t="s">
        <v>14</v>
      </c>
      <c r="W8" s="701">
        <f t="shared" si="2"/>
        <v>100</v>
      </c>
      <c r="X8" s="702"/>
      <c r="Y8" s="3738" t="s">
        <v>1682</v>
      </c>
      <c r="Z8" s="3737"/>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7" t="s">
        <v>1685</v>
      </c>
      <c r="Q9" s="1341" t="str">
        <f t="shared" ref="Q9:Q15" si="6">B9</f>
        <v>用途</v>
      </c>
      <c r="R9" s="700" t="s">
        <v>14</v>
      </c>
      <c r="S9" s="701">
        <f t="shared" si="0"/>
        <v>100</v>
      </c>
      <c r="T9" s="700" t="s">
        <v>14</v>
      </c>
      <c r="U9" s="701">
        <f t="shared" si="1"/>
        <v>100</v>
      </c>
      <c r="V9" s="700" t="s">
        <v>14</v>
      </c>
      <c r="W9" s="701">
        <f t="shared" si="2"/>
        <v>100</v>
      </c>
      <c r="X9" s="702"/>
      <c r="Y9" s="3595"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97"/>
      <c r="Q10" s="1341"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7"/>
      <c r="Q11" s="1341" t="str">
        <f t="shared" si="6"/>
        <v>容积率</v>
      </c>
      <c r="R11" s="700" t="s">
        <v>14</v>
      </c>
      <c r="S11" s="701">
        <f t="shared" si="0"/>
        <v>100</v>
      </c>
      <c r="T11" s="700" t="s">
        <v>14</v>
      </c>
      <c r="U11" s="701">
        <f t="shared" si="1"/>
        <v>100</v>
      </c>
      <c r="V11" s="700" t="s">
        <v>14</v>
      </c>
      <c r="W11" s="701">
        <f t="shared" si="2"/>
        <v>100</v>
      </c>
      <c r="X11" s="702"/>
      <c r="Y11" s="3595"/>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97"/>
      <c r="Q12" s="1341">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97"/>
      <c r="Q13" s="1341">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97"/>
      <c r="Q14" s="1341">
        <f t="shared" si="6"/>
        <v>111</v>
      </c>
      <c r="R14" s="700" t="s">
        <v>14</v>
      </c>
      <c r="S14" s="701">
        <f t="shared" si="0"/>
        <v>100</v>
      </c>
      <c r="T14" s="700" t="s">
        <v>14</v>
      </c>
      <c r="U14" s="701">
        <f t="shared" si="1"/>
        <v>100</v>
      </c>
      <c r="V14" s="700" t="s">
        <v>14</v>
      </c>
      <c r="W14" s="701">
        <f t="shared" si="2"/>
        <v>100</v>
      </c>
      <c r="X14" s="702"/>
      <c r="Y14" s="3595"/>
      <c r="Z14" s="52">
        <f t="shared" si="7"/>
        <v>111</v>
      </c>
      <c r="AA14" s="703">
        <f t="shared" si="3"/>
        <v>1</v>
      </c>
      <c r="AB14" s="703">
        <f t="shared" si="4"/>
        <v>1</v>
      </c>
      <c r="AC14" s="703">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4" t="s">
        <v>1690</v>
      </c>
      <c r="Q15" s="1350" t="str">
        <f t="shared" si="6"/>
        <v>产业集聚程度</v>
      </c>
      <c r="R15" s="704" t="s">
        <v>14</v>
      </c>
      <c r="S15" s="705">
        <f t="shared" si="0"/>
        <v>100</v>
      </c>
      <c r="T15" s="704" t="s">
        <v>14</v>
      </c>
      <c r="U15" s="705">
        <f t="shared" si="1"/>
        <v>100</v>
      </c>
      <c r="V15" s="704" t="s">
        <v>14</v>
      </c>
      <c r="W15" s="705">
        <f t="shared" si="2"/>
        <v>100</v>
      </c>
      <c r="X15" s="1353"/>
      <c r="Y15" s="3704"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05"/>
      <c r="Q16" s="1350"/>
      <c r="R16" s="704"/>
      <c r="S16" s="705"/>
      <c r="T16" s="704"/>
      <c r="U16" s="705"/>
      <c r="V16" s="704"/>
      <c r="W16" s="705"/>
      <c r="X16" s="1353"/>
      <c r="Y16" s="3705"/>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5"/>
      <c r="Q17" s="1350" t="str">
        <f>B17</f>
        <v>交通便捷度</v>
      </c>
      <c r="R17" s="704" t="s">
        <v>14</v>
      </c>
      <c r="S17" s="705">
        <f>F17</f>
        <v>100</v>
      </c>
      <c r="T17" s="704" t="s">
        <v>14</v>
      </c>
      <c r="U17" s="705">
        <f>H17</f>
        <v>100</v>
      </c>
      <c r="V17" s="704" t="s">
        <v>14</v>
      </c>
      <c r="W17" s="705">
        <f>J17</f>
        <v>100</v>
      </c>
      <c r="X17" s="1353"/>
      <c r="Y17" s="370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05"/>
      <c r="Q18" s="1350"/>
      <c r="R18" s="704"/>
      <c r="S18" s="705"/>
      <c r="T18" s="704"/>
      <c r="U18" s="705"/>
      <c r="V18" s="704"/>
      <c r="W18" s="705"/>
      <c r="X18" s="1353"/>
      <c r="Y18" s="3705"/>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5"/>
      <c r="Q19" s="1350" t="str">
        <f>B19</f>
        <v>公共配套设施</v>
      </c>
      <c r="R19" s="704" t="s">
        <v>14</v>
      </c>
      <c r="S19" s="705">
        <f>F19</f>
        <v>100</v>
      </c>
      <c r="T19" s="704" t="s">
        <v>14</v>
      </c>
      <c r="U19" s="705">
        <f>H19</f>
        <v>100</v>
      </c>
      <c r="V19" s="704" t="s">
        <v>14</v>
      </c>
      <c r="W19" s="705">
        <f>J19</f>
        <v>100</v>
      </c>
      <c r="X19" s="1353"/>
      <c r="Y19" s="370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05"/>
      <c r="Q20" s="1350"/>
      <c r="R20" s="704"/>
      <c r="S20" s="705"/>
      <c r="T20" s="704"/>
      <c r="U20" s="705"/>
      <c r="V20" s="704"/>
      <c r="W20" s="705"/>
      <c r="X20" s="1353"/>
      <c r="Y20" s="3705"/>
      <c r="Z20" s="1354"/>
      <c r="AA20" s="1351">
        <v>1</v>
      </c>
      <c r="AB20" s="1351">
        <v>1</v>
      </c>
      <c r="AC20" s="1351">
        <v>1</v>
      </c>
    </row>
    <row r="21" spans="1:29" ht="28.5">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5"/>
      <c r="Q21" s="1350" t="str">
        <f>B21</f>
        <v>基础设施水平</v>
      </c>
      <c r="R21" s="704" t="s">
        <v>14</v>
      </c>
      <c r="S21" s="705">
        <f>F21</f>
        <v>100</v>
      </c>
      <c r="T21" s="704" t="s">
        <v>14</v>
      </c>
      <c r="U21" s="705">
        <f>H21</f>
        <v>100</v>
      </c>
      <c r="V21" s="704" t="s">
        <v>14</v>
      </c>
      <c r="W21" s="705">
        <f>J21</f>
        <v>100</v>
      </c>
      <c r="X21" s="1353"/>
      <c r="Y21" s="3705"/>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05"/>
      <c r="Q22" s="1350"/>
      <c r="R22" s="704"/>
      <c r="S22" s="705"/>
      <c r="T22" s="704"/>
      <c r="U22" s="705"/>
      <c r="V22" s="704"/>
      <c r="W22" s="705"/>
      <c r="X22" s="1353"/>
      <c r="Y22" s="3705"/>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5"/>
      <c r="Q23" s="1350" t="str">
        <f>B23</f>
        <v>环境质量</v>
      </c>
      <c r="R23" s="704" t="s">
        <v>14</v>
      </c>
      <c r="S23" s="705">
        <f>F23</f>
        <v>100</v>
      </c>
      <c r="T23" s="704" t="s">
        <v>14</v>
      </c>
      <c r="U23" s="705">
        <f>H23</f>
        <v>100</v>
      </c>
      <c r="V23" s="704" t="s">
        <v>14</v>
      </c>
      <c r="W23" s="705">
        <f>J23</f>
        <v>100</v>
      </c>
      <c r="X23" s="1353"/>
      <c r="Y23" s="3705"/>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05"/>
      <c r="Q24" s="1350"/>
      <c r="R24" s="704"/>
      <c r="S24" s="705"/>
      <c r="T24" s="704"/>
      <c r="U24" s="705"/>
      <c r="V24" s="704"/>
      <c r="W24" s="705"/>
      <c r="X24" s="1353"/>
      <c r="Y24" s="3705"/>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5"/>
      <c r="Q25" s="1350">
        <f>B25</f>
        <v>111</v>
      </c>
      <c r="R25" s="704" t="s">
        <v>14</v>
      </c>
      <c r="S25" s="705">
        <f>F25</f>
        <v>100</v>
      </c>
      <c r="T25" s="704" t="s">
        <v>14</v>
      </c>
      <c r="U25" s="705">
        <f>H25</f>
        <v>100</v>
      </c>
      <c r="V25" s="704" t="s">
        <v>14</v>
      </c>
      <c r="W25" s="705">
        <f>J25</f>
        <v>100</v>
      </c>
      <c r="X25" s="1353"/>
      <c r="Y25" s="3705"/>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5"/>
      <c r="Q26" s="1350">
        <f t="shared" ref="Q26:Q40" si="11">B26</f>
        <v>111</v>
      </c>
      <c r="R26" s="704" t="s">
        <v>14</v>
      </c>
      <c r="S26" s="705">
        <f>F26</f>
        <v>100</v>
      </c>
      <c r="T26" s="704" t="s">
        <v>14</v>
      </c>
      <c r="U26" s="705">
        <f>H26</f>
        <v>100</v>
      </c>
      <c r="V26" s="704" t="s">
        <v>14</v>
      </c>
      <c r="W26" s="705">
        <f>J26</f>
        <v>100</v>
      </c>
      <c r="X26" s="1353"/>
      <c r="Y26" s="3705"/>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5"/>
      <c r="Q27" s="1341">
        <f t="shared" si="11"/>
        <v>111</v>
      </c>
      <c r="R27" s="700" t="s">
        <v>14</v>
      </c>
      <c r="S27" s="701">
        <f>F27</f>
        <v>100</v>
      </c>
      <c r="T27" s="700" t="s">
        <v>14</v>
      </c>
      <c r="U27" s="701">
        <f>H27</f>
        <v>100</v>
      </c>
      <c r="V27" s="700" t="s">
        <v>14</v>
      </c>
      <c r="W27" s="701">
        <f>J27</f>
        <v>100</v>
      </c>
      <c r="X27" s="702"/>
      <c r="Y27" s="3705"/>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5"/>
      <c r="Q28" s="1350">
        <f t="shared" si="11"/>
        <v>111</v>
      </c>
      <c r="R28" s="704" t="s">
        <v>14</v>
      </c>
      <c r="S28" s="705">
        <f t="shared" ref="S28:S40" si="12">F28</f>
        <v>100</v>
      </c>
      <c r="T28" s="704" t="s">
        <v>14</v>
      </c>
      <c r="U28" s="705">
        <f t="shared" ref="U28:U40" si="13">H28</f>
        <v>100</v>
      </c>
      <c r="V28" s="704" t="s">
        <v>14</v>
      </c>
      <c r="W28" s="705">
        <f t="shared" ref="W28:W40" si="14">J28</f>
        <v>100</v>
      </c>
      <c r="X28" s="1353"/>
      <c r="Y28" s="3705"/>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86" t="s">
        <v>1695</v>
      </c>
      <c r="Q29" s="1350" t="str">
        <f t="shared" si="11"/>
        <v>建筑类型</v>
      </c>
      <c r="R29" s="704" t="s">
        <v>14</v>
      </c>
      <c r="S29" s="705">
        <f t="shared" si="12"/>
        <v>100</v>
      </c>
      <c r="T29" s="704" t="s">
        <v>14</v>
      </c>
      <c r="U29" s="705">
        <f t="shared" si="13"/>
        <v>100</v>
      </c>
      <c r="V29" s="704" t="s">
        <v>14</v>
      </c>
      <c r="W29" s="705">
        <f t="shared" si="14"/>
        <v>100</v>
      </c>
      <c r="X29" s="1353"/>
      <c r="Y29" s="3709"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9"/>
      <c r="Q30" s="706" t="str">
        <f t="shared" si="11"/>
        <v>项目建筑规模</v>
      </c>
      <c r="R30" s="707" t="s">
        <v>14</v>
      </c>
      <c r="S30" s="708" t="e">
        <f t="shared" si="12"/>
        <v>#N/A</v>
      </c>
      <c r="T30" s="707" t="s">
        <v>14</v>
      </c>
      <c r="U30" s="708" t="e">
        <f t="shared" si="13"/>
        <v>#N/A</v>
      </c>
      <c r="V30" s="707" t="s">
        <v>14</v>
      </c>
      <c r="W30" s="708" t="e">
        <f t="shared" si="14"/>
        <v>#N/A</v>
      </c>
      <c r="X30" s="709"/>
      <c r="Y30" s="3709"/>
      <c r="Z30" s="710"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9"/>
      <c r="Q31" s="1350" t="str">
        <f t="shared" si="11"/>
        <v>建筑结构</v>
      </c>
      <c r="R31" s="704" t="s">
        <v>14</v>
      </c>
      <c r="S31" s="705">
        <f t="shared" si="12"/>
        <v>100</v>
      </c>
      <c r="T31" s="704" t="s">
        <v>14</v>
      </c>
      <c r="U31" s="705">
        <f t="shared" si="13"/>
        <v>100</v>
      </c>
      <c r="V31" s="704" t="s">
        <v>14</v>
      </c>
      <c r="W31" s="705">
        <f t="shared" si="14"/>
        <v>100</v>
      </c>
      <c r="X31" s="1353"/>
      <c r="Y31" s="3709"/>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9"/>
      <c r="Q32" s="1350" t="str">
        <f t="shared" si="11"/>
        <v>公共部分装修</v>
      </c>
      <c r="R32" s="704" t="s">
        <v>14</v>
      </c>
      <c r="S32" s="705">
        <f t="shared" si="12"/>
        <v>100</v>
      </c>
      <c r="T32" s="704" t="s">
        <v>14</v>
      </c>
      <c r="U32" s="705">
        <f t="shared" si="13"/>
        <v>100</v>
      </c>
      <c r="V32" s="704" t="s">
        <v>14</v>
      </c>
      <c r="W32" s="705">
        <f t="shared" si="14"/>
        <v>100</v>
      </c>
      <c r="X32" s="1353"/>
      <c r="Y32" s="3709"/>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9"/>
      <c r="Q33" s="1350" t="str">
        <f t="shared" si="11"/>
        <v>成新度</v>
      </c>
      <c r="R33" s="704" t="s">
        <v>14</v>
      </c>
      <c r="S33" s="705" t="e">
        <f t="shared" si="12"/>
        <v>#N/A</v>
      </c>
      <c r="T33" s="704" t="s">
        <v>14</v>
      </c>
      <c r="U33" s="705" t="e">
        <f t="shared" si="13"/>
        <v>#N/A</v>
      </c>
      <c r="V33" s="704" t="s">
        <v>14</v>
      </c>
      <c r="W33" s="705" t="e">
        <f t="shared" si="14"/>
        <v>#N/A</v>
      </c>
      <c r="X33" s="1353"/>
      <c r="Y33" s="3709"/>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9"/>
      <c r="Q34" s="1341" t="str">
        <f t="shared" si="11"/>
        <v>物业管理</v>
      </c>
      <c r="R34" s="700" t="s">
        <v>14</v>
      </c>
      <c r="S34" s="701">
        <f t="shared" si="12"/>
        <v>100</v>
      </c>
      <c r="T34" s="700" t="s">
        <v>14</v>
      </c>
      <c r="U34" s="701">
        <f t="shared" si="13"/>
        <v>100</v>
      </c>
      <c r="V34" s="700" t="s">
        <v>14</v>
      </c>
      <c r="W34" s="701">
        <f t="shared" si="14"/>
        <v>100</v>
      </c>
      <c r="X34" s="702"/>
      <c r="Y34" s="3709"/>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9" t="s">
        <v>1695</v>
      </c>
      <c r="Q35" s="1350" t="str">
        <f t="shared" si="11"/>
        <v>市政基础设施</v>
      </c>
      <c r="R35" s="704" t="s">
        <v>14</v>
      </c>
      <c r="S35" s="705">
        <f t="shared" si="12"/>
        <v>100</v>
      </c>
      <c r="T35" s="704" t="s">
        <v>14</v>
      </c>
      <c r="U35" s="705">
        <f t="shared" si="13"/>
        <v>100</v>
      </c>
      <c r="V35" s="704" t="s">
        <v>14</v>
      </c>
      <c r="W35" s="705">
        <f t="shared" si="14"/>
        <v>100</v>
      </c>
      <c r="X35" s="1353"/>
      <c r="Y35" s="3709"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9"/>
      <c r="Q36" s="1350" t="str">
        <f t="shared" si="11"/>
        <v>内部装修</v>
      </c>
      <c r="R36" s="704" t="s">
        <v>14</v>
      </c>
      <c r="S36" s="705">
        <f t="shared" si="12"/>
        <v>100</v>
      </c>
      <c r="T36" s="704" t="s">
        <v>14</v>
      </c>
      <c r="U36" s="705">
        <f t="shared" si="13"/>
        <v>100</v>
      </c>
      <c r="V36" s="704" t="s">
        <v>14</v>
      </c>
      <c r="W36" s="705">
        <f t="shared" si="14"/>
        <v>100</v>
      </c>
      <c r="X36" s="1353"/>
      <c r="Y36" s="3709"/>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9"/>
      <c r="Q37" s="1350" t="str">
        <f t="shared" si="11"/>
        <v>内部装修状况</v>
      </c>
      <c r="R37" s="704" t="s">
        <v>14</v>
      </c>
      <c r="S37" s="705">
        <f t="shared" si="12"/>
        <v>100</v>
      </c>
      <c r="T37" s="704" t="s">
        <v>14</v>
      </c>
      <c r="U37" s="705">
        <f t="shared" si="13"/>
        <v>100</v>
      </c>
      <c r="V37" s="704" t="s">
        <v>14</v>
      </c>
      <c r="W37" s="705">
        <f t="shared" si="14"/>
        <v>100</v>
      </c>
      <c r="X37" s="1353"/>
      <c r="Y37" s="3709"/>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9"/>
      <c r="Q38" s="706">
        <f t="shared" si="11"/>
        <v>111</v>
      </c>
      <c r="R38" s="707" t="s">
        <v>14</v>
      </c>
      <c r="S38" s="708">
        <f t="shared" si="12"/>
        <v>100</v>
      </c>
      <c r="T38" s="707" t="s">
        <v>14</v>
      </c>
      <c r="U38" s="708">
        <f t="shared" si="13"/>
        <v>100</v>
      </c>
      <c r="V38" s="707" t="s">
        <v>14</v>
      </c>
      <c r="W38" s="708">
        <f t="shared" si="14"/>
        <v>100</v>
      </c>
      <c r="X38" s="709"/>
      <c r="Y38" s="3709"/>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9"/>
      <c r="Q39" s="1350">
        <f t="shared" si="11"/>
        <v>111</v>
      </c>
      <c r="R39" s="704" t="s">
        <v>14</v>
      </c>
      <c r="S39" s="705">
        <f t="shared" si="12"/>
        <v>100</v>
      </c>
      <c r="T39" s="704" t="s">
        <v>14</v>
      </c>
      <c r="U39" s="705">
        <f t="shared" si="13"/>
        <v>100</v>
      </c>
      <c r="V39" s="704" t="s">
        <v>14</v>
      </c>
      <c r="W39" s="705">
        <f t="shared" si="14"/>
        <v>100</v>
      </c>
      <c r="X39" s="1353"/>
      <c r="Y39" s="370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0"/>
      <c r="Q40" s="1350">
        <f t="shared" si="11"/>
        <v>111</v>
      </c>
      <c r="R40" s="704" t="s">
        <v>14</v>
      </c>
      <c r="S40" s="705">
        <f t="shared" si="12"/>
        <v>100</v>
      </c>
      <c r="T40" s="704" t="s">
        <v>14</v>
      </c>
      <c r="U40" s="705">
        <f t="shared" si="13"/>
        <v>100</v>
      </c>
      <c r="V40" s="704" t="s">
        <v>14</v>
      </c>
      <c r="W40" s="705">
        <f t="shared" si="14"/>
        <v>100</v>
      </c>
      <c r="X40" s="1353"/>
      <c r="Y40" s="3710"/>
      <c r="Z40" s="1354">
        <f t="shared" si="15"/>
        <v>111</v>
      </c>
      <c r="AA40" s="1351">
        <f t="shared" si="3"/>
        <v>1</v>
      </c>
      <c r="AB40" s="1351">
        <f t="shared" si="4"/>
        <v>1</v>
      </c>
      <c r="AC40" s="1351">
        <f t="shared" si="5"/>
        <v>1</v>
      </c>
    </row>
    <row r="41" spans="1:29" ht="15">
      <c r="A41" s="430" t="s">
        <v>1707</v>
      </c>
      <c r="B41" s="431"/>
      <c r="C41" s="1153" t="s">
        <v>0</v>
      </c>
      <c r="D41" s="1154"/>
      <c r="E41" s="1155"/>
      <c r="F41" s="1156"/>
      <c r="G41" s="1157"/>
      <c r="H41" s="1158"/>
      <c r="I41" s="1155"/>
      <c r="J41" s="1158"/>
      <c r="K41" s="713"/>
      <c r="L41" s="925"/>
      <c r="M41" s="926"/>
      <c r="N41" s="913"/>
      <c r="O41" s="926"/>
      <c r="P41" s="3697" t="str">
        <f>A41</f>
        <v>成交单价（元/平方米）</v>
      </c>
      <c r="Q41" s="3697"/>
      <c r="R41" s="3698">
        <f>E41</f>
        <v>0</v>
      </c>
      <c r="S41" s="3698"/>
      <c r="T41" s="3698">
        <f>G41</f>
        <v>0</v>
      </c>
      <c r="U41" s="3698"/>
      <c r="V41" s="3698">
        <f>I41</f>
        <v>0</v>
      </c>
      <c r="W41" s="3698"/>
      <c r="X41" s="689"/>
      <c r="Y41" s="711"/>
      <c r="Z41" s="689"/>
      <c r="AA41" s="689"/>
      <c r="AB41" s="689"/>
      <c r="AC41" s="689"/>
    </row>
    <row r="42" spans="1:29" ht="15.75" thickBot="1">
      <c r="A42" s="437" t="s">
        <v>1792</v>
      </c>
      <c r="B42" s="438"/>
      <c r="C42" s="1159" t="e">
        <f>R43</f>
        <v>#DIV/0!</v>
      </c>
      <c r="D42" s="2315" t="s">
        <v>2133</v>
      </c>
      <c r="E42" s="1160" t="e">
        <f>R42</f>
        <v>#DIV/0!</v>
      </c>
      <c r="F42" s="2316"/>
      <c r="G42" s="1159" t="e">
        <f>T42</f>
        <v>#DIV/0!</v>
      </c>
      <c r="H42" s="2316"/>
      <c r="I42" s="1160" t="e">
        <f>V42</f>
        <v>#DIV/0!</v>
      </c>
      <c r="J42" s="2316"/>
      <c r="K42" s="2318">
        <f>F42+H42+J42</f>
        <v>0</v>
      </c>
      <c r="L42" s="925"/>
      <c r="M42" s="926"/>
      <c r="N42" s="913"/>
      <c r="O42" s="926"/>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753" t="str">
        <f>A43</f>
        <v>估价对象XX用房的比较价值（楼面单价，元/平方米）</v>
      </c>
      <c r="Q43" s="3754"/>
      <c r="R43" s="3755" t="e">
        <f>IF(F1="售价",ROUND(IF(D42="简单平均",AVERAGE(R42:V42),R42*F42+T42*H42+V42*J42),0),ROUND(IF(D42="简单平均",AVERAGE(R42:V42),R42*F42+T42*H42+V42*J42),1))</f>
        <v>#DIV/0!</v>
      </c>
      <c r="S43" s="3755"/>
      <c r="T43" s="3755"/>
      <c r="U43" s="3755"/>
      <c r="V43" s="3755"/>
      <c r="W43" s="3755"/>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3329</v>
      </c>
      <c r="C1" s="1223" t="s">
        <v>1661</v>
      </c>
      <c r="D1" s="1224"/>
      <c r="E1" s="3430"/>
      <c r="F1" s="1877"/>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1768</v>
      </c>
      <c r="B4" s="356"/>
      <c r="C4" s="3714" t="s">
        <v>1769</v>
      </c>
      <c r="D4" s="3715"/>
      <c r="E4" s="3716" t="s">
        <v>1770</v>
      </c>
      <c r="F4" s="3717"/>
      <c r="G4" s="3714" t="s">
        <v>1771</v>
      </c>
      <c r="H4" s="3715"/>
      <c r="I4" s="3714" t="s">
        <v>1772</v>
      </c>
      <c r="J4" s="3715"/>
      <c r="K4" s="559" t="s">
        <v>1773</v>
      </c>
      <c r="L4" s="2712"/>
      <c r="M4" s="2713"/>
      <c r="N4" s="2713"/>
      <c r="O4" s="2713"/>
      <c r="P4" s="3757" t="s">
        <v>1774</v>
      </c>
      <c r="Q4" s="3758"/>
      <c r="R4" s="3761" t="s">
        <v>1770</v>
      </c>
      <c r="S4" s="3762"/>
      <c r="T4" s="3761" t="s">
        <v>1771</v>
      </c>
      <c r="U4" s="3762"/>
      <c r="V4" s="3731" t="s">
        <v>1772</v>
      </c>
      <c r="W4" s="3731"/>
      <c r="X4" s="1353"/>
      <c r="Y4" s="3761" t="s">
        <v>1774</v>
      </c>
      <c r="Z4" s="3762"/>
      <c r="AA4" s="3756" t="s">
        <v>1770</v>
      </c>
      <c r="AB4" s="3745" t="s">
        <v>1771</v>
      </c>
      <c r="AC4" s="3756" t="s">
        <v>1772</v>
      </c>
    </row>
    <row r="5" spans="1:29" ht="15">
      <c r="A5" s="358"/>
      <c r="B5" s="359"/>
      <c r="C5" s="3740" t="s">
        <v>1672</v>
      </c>
      <c r="D5" s="3741"/>
      <c r="E5" s="3785" t="s">
        <v>1673</v>
      </c>
      <c r="F5" s="3735"/>
      <c r="G5" s="3740" t="s">
        <v>1674</v>
      </c>
      <c r="H5" s="3741"/>
      <c r="I5" s="3740" t="s">
        <v>1675</v>
      </c>
      <c r="J5" s="3741"/>
      <c r="K5" s="559"/>
      <c r="L5" s="2712"/>
      <c r="M5" s="2713"/>
      <c r="N5" s="2713"/>
      <c r="O5" s="2713"/>
      <c r="P5" s="3759"/>
      <c r="Q5" s="3721"/>
      <c r="R5" s="3726"/>
      <c r="S5" s="3727"/>
      <c r="T5" s="3726"/>
      <c r="U5" s="3727"/>
      <c r="V5" s="3731"/>
      <c r="W5" s="3731"/>
      <c r="X5" s="1353"/>
      <c r="Y5" s="3726"/>
      <c r="Z5" s="3727"/>
      <c r="AA5" s="3745"/>
      <c r="AB5" s="3745"/>
      <c r="AC5" s="3745"/>
    </row>
    <row r="6" spans="1:29" ht="15.75" thickBot="1">
      <c r="A6" s="360"/>
      <c r="B6" s="361"/>
      <c r="C6" s="3732" t="s">
        <v>1676</v>
      </c>
      <c r="D6" s="3733"/>
      <c r="E6" s="3742" t="s">
        <v>1676</v>
      </c>
      <c r="F6" s="3743"/>
      <c r="G6" s="3732" t="s">
        <v>1676</v>
      </c>
      <c r="H6" s="3733"/>
      <c r="I6" s="3732" t="s">
        <v>1676</v>
      </c>
      <c r="J6" s="3733"/>
      <c r="K6" s="559" t="s">
        <v>1677</v>
      </c>
      <c r="L6" s="2712"/>
      <c r="M6" s="2713"/>
      <c r="N6" s="2713"/>
      <c r="O6" s="2713"/>
      <c r="P6" s="3760"/>
      <c r="Q6" s="3723"/>
      <c r="R6" s="3726"/>
      <c r="S6" s="3727"/>
      <c r="T6" s="3728"/>
      <c r="U6" s="3729"/>
      <c r="V6" s="3731"/>
      <c r="W6" s="3731"/>
      <c r="X6" s="1353"/>
      <c r="Y6" s="3728"/>
      <c r="Z6" s="3729"/>
      <c r="AA6" s="3746"/>
      <c r="AB6" s="3746"/>
      <c r="AC6" s="3746"/>
    </row>
    <row r="7" spans="1:29" s="108" customFormat="1" ht="15.75" thickBot="1">
      <c r="A7" s="362" t="s">
        <v>1678</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8" t="s">
        <v>1679</v>
      </c>
      <c r="Q7" s="3739"/>
      <c r="R7" s="700" t="s">
        <v>14</v>
      </c>
      <c r="S7" s="701">
        <f t="shared" ref="S7:S14" si="0">F7</f>
        <v>0</v>
      </c>
      <c r="T7" s="700" t="s">
        <v>14</v>
      </c>
      <c r="U7" s="701">
        <f t="shared" ref="U7:U14" si="1">H7</f>
        <v>0</v>
      </c>
      <c r="V7" s="700" t="s">
        <v>14</v>
      </c>
      <c r="W7" s="701">
        <f t="shared" ref="W7:W14" si="2">J7</f>
        <v>0</v>
      </c>
      <c r="X7" s="702"/>
      <c r="Y7" s="3738" t="s">
        <v>1679</v>
      </c>
      <c r="Z7" s="3737"/>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8" t="s">
        <v>1682</v>
      </c>
      <c r="Q8" s="3737"/>
      <c r="R8" s="700" t="s">
        <v>14</v>
      </c>
      <c r="S8" s="701">
        <f t="shared" si="0"/>
        <v>100</v>
      </c>
      <c r="T8" s="700" t="s">
        <v>14</v>
      </c>
      <c r="U8" s="701">
        <f t="shared" si="1"/>
        <v>100</v>
      </c>
      <c r="V8" s="700" t="s">
        <v>14</v>
      </c>
      <c r="W8" s="701">
        <f t="shared" si="2"/>
        <v>100</v>
      </c>
      <c r="X8" s="702"/>
      <c r="Y8" s="3738" t="s">
        <v>1682</v>
      </c>
      <c r="Z8" s="3737"/>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7" t="s">
        <v>1685</v>
      </c>
      <c r="Q9" s="1341" t="str">
        <f t="shared" ref="Q9:Q14" si="6">B9</f>
        <v>用途</v>
      </c>
      <c r="R9" s="700" t="s">
        <v>14</v>
      </c>
      <c r="S9" s="701">
        <f t="shared" si="0"/>
        <v>100</v>
      </c>
      <c r="T9" s="700" t="s">
        <v>14</v>
      </c>
      <c r="U9" s="701">
        <f t="shared" si="1"/>
        <v>100</v>
      </c>
      <c r="V9" s="700" t="s">
        <v>14</v>
      </c>
      <c r="W9" s="701">
        <f t="shared" si="2"/>
        <v>100</v>
      </c>
      <c r="X9" s="702"/>
      <c r="Y9" s="3595" t="s">
        <v>1686</v>
      </c>
      <c r="Z9" s="52" t="str">
        <f t="shared" ref="Z9:Z14" si="7">Q9</f>
        <v>用途</v>
      </c>
      <c r="AA9" s="703">
        <f t="shared" si="3"/>
        <v>1</v>
      </c>
      <c r="AB9" s="703">
        <f t="shared" si="4"/>
        <v>1</v>
      </c>
      <c r="AC9" s="703">
        <f t="shared" si="5"/>
        <v>1</v>
      </c>
    </row>
    <row r="10" spans="1:29" s="378" customFormat="1" ht="27">
      <c r="A10" s="588"/>
      <c r="B10" s="589"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7"/>
      <c r="Q10" s="1341"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7"/>
      <c r="Q11" s="1341">
        <f t="shared" si="6"/>
        <v>111</v>
      </c>
      <c r="R11" s="700" t="s">
        <v>14</v>
      </c>
      <c r="S11" s="701">
        <f t="shared" si="0"/>
        <v>100</v>
      </c>
      <c r="T11" s="700" t="s">
        <v>14</v>
      </c>
      <c r="U11" s="701">
        <f t="shared" si="1"/>
        <v>100</v>
      </c>
      <c r="V11" s="700" t="s">
        <v>14</v>
      </c>
      <c r="W11" s="701">
        <f t="shared" si="2"/>
        <v>100</v>
      </c>
      <c r="X11" s="702"/>
      <c r="Y11" s="359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7"/>
      <c r="Q12" s="1341">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7"/>
      <c r="Q13" s="1341">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703">
        <f t="shared" si="5"/>
        <v>1</v>
      </c>
    </row>
    <row r="14" spans="1:29" ht="142.5">
      <c r="A14" s="355" t="s">
        <v>1689</v>
      </c>
      <c r="B14" s="576" t="s">
        <v>1832</v>
      </c>
      <c r="C14" s="1969" t="str">
        <f>IF(B1="工业",估价对象房地状况!G4,估价对象房地状况!C6)</f>
        <v>估价对象周边道路状况较好、有300、368、652路等公交线路及地铁10号线经过，公共交通通达情况较好、停车便捷程度一般，综合评价交通便捷度较好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4" t="s">
        <v>1690</v>
      </c>
      <c r="Q14" s="1350" t="str">
        <f t="shared" si="6"/>
        <v>交通便捷度</v>
      </c>
      <c r="R14" s="704" t="s">
        <v>14</v>
      </c>
      <c r="S14" s="705">
        <f t="shared" si="0"/>
        <v>100</v>
      </c>
      <c r="T14" s="704" t="s">
        <v>14</v>
      </c>
      <c r="U14" s="705">
        <f t="shared" si="1"/>
        <v>100</v>
      </c>
      <c r="V14" s="704" t="s">
        <v>14</v>
      </c>
      <c r="W14" s="705">
        <f t="shared" si="2"/>
        <v>100</v>
      </c>
      <c r="X14" s="1353"/>
      <c r="Y14" s="3704" t="s">
        <v>1690</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705"/>
      <c r="Q15" s="1350"/>
      <c r="R15" s="704"/>
      <c r="S15" s="705"/>
      <c r="T15" s="704"/>
      <c r="U15" s="705"/>
      <c r="V15" s="704"/>
      <c r="W15" s="705"/>
      <c r="X15" s="1353"/>
      <c r="Y15" s="3705"/>
      <c r="Z15" s="1354"/>
      <c r="AA15" s="1351">
        <v>1</v>
      </c>
      <c r="AB15" s="1351">
        <v>1</v>
      </c>
      <c r="AC15" s="1351">
        <v>1</v>
      </c>
    </row>
    <row r="16" spans="1:29" ht="42.75">
      <c r="A16" s="358"/>
      <c r="B16" s="578" t="s">
        <v>1811</v>
      </c>
      <c r="C16" s="1898"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5"/>
      <c r="Q16" s="1350" t="str">
        <f>B16</f>
        <v>公共配套设施</v>
      </c>
      <c r="R16" s="704" t="s">
        <v>14</v>
      </c>
      <c r="S16" s="705">
        <f>F16</f>
        <v>100</v>
      </c>
      <c r="T16" s="704" t="s">
        <v>14</v>
      </c>
      <c r="U16" s="705">
        <f>H16</f>
        <v>100</v>
      </c>
      <c r="V16" s="704" t="s">
        <v>14</v>
      </c>
      <c r="W16" s="705">
        <f>J16</f>
        <v>100</v>
      </c>
      <c r="X16" s="1353"/>
      <c r="Y16" s="3705"/>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9"/>
      <c r="M17" s="2713"/>
      <c r="N17" s="2713"/>
      <c r="O17" s="2713"/>
      <c r="P17" s="3705"/>
      <c r="Q17" s="1350"/>
      <c r="R17" s="704"/>
      <c r="S17" s="705"/>
      <c r="T17" s="704"/>
      <c r="U17" s="705"/>
      <c r="V17" s="704"/>
      <c r="W17" s="705"/>
      <c r="X17" s="1353"/>
      <c r="Y17" s="3705"/>
      <c r="Z17" s="1354"/>
      <c r="AA17" s="1351">
        <v>1</v>
      </c>
      <c r="AB17" s="1351">
        <v>1</v>
      </c>
      <c r="AC17" s="1351">
        <v>1</v>
      </c>
    </row>
    <row r="18" spans="1:29" ht="42.75">
      <c r="A18" s="358"/>
      <c r="B18" s="580" t="s">
        <v>1812</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5"/>
      <c r="Q18" s="1350" t="str">
        <f>B18</f>
        <v>基础设施水平</v>
      </c>
      <c r="R18" s="704" t="s">
        <v>14</v>
      </c>
      <c r="S18" s="705">
        <f>F18</f>
        <v>100</v>
      </c>
      <c r="T18" s="704" t="s">
        <v>14</v>
      </c>
      <c r="U18" s="705">
        <f>H18</f>
        <v>100</v>
      </c>
      <c r="V18" s="704" t="s">
        <v>14</v>
      </c>
      <c r="W18" s="705">
        <f>J18</f>
        <v>100</v>
      </c>
      <c r="X18" s="1353"/>
      <c r="Y18" s="3705"/>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9"/>
      <c r="M19" s="2713"/>
      <c r="N19" s="2713"/>
      <c r="O19" s="2713"/>
      <c r="P19" s="3705"/>
      <c r="Q19" s="1350"/>
      <c r="R19" s="704"/>
      <c r="S19" s="705"/>
      <c r="T19" s="704"/>
      <c r="U19" s="705"/>
      <c r="V19" s="704"/>
      <c r="W19" s="705"/>
      <c r="X19" s="1353"/>
      <c r="Y19" s="3705"/>
      <c r="Z19" s="1354"/>
      <c r="AA19" s="1351">
        <v>1</v>
      </c>
      <c r="AB19" s="1351">
        <v>1</v>
      </c>
      <c r="AC19" s="1351">
        <v>1</v>
      </c>
    </row>
    <row r="20" spans="1:29" ht="99.75">
      <c r="A20" s="358"/>
      <c r="B20" s="578" t="s">
        <v>1833</v>
      </c>
      <c r="C20" s="1898" t="str">
        <f>IF(B1="工业",估价对象房地状况!G7,估价对象房地状况!C9)</f>
        <v>区域自然环境：北京动物园、官园公园；人文环境：北京天文馆、北京建筑大学；综合评价环境状况邮编</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5"/>
      <c r="Q20" s="1350" t="str">
        <f>B20</f>
        <v>自然及人文环境</v>
      </c>
      <c r="R20" s="704" t="s">
        <v>14</v>
      </c>
      <c r="S20" s="705">
        <f>F20</f>
        <v>100</v>
      </c>
      <c r="T20" s="704" t="s">
        <v>14</v>
      </c>
      <c r="U20" s="705">
        <f>H20</f>
        <v>100</v>
      </c>
      <c r="V20" s="704" t="s">
        <v>14</v>
      </c>
      <c r="W20" s="705">
        <f>J20</f>
        <v>100</v>
      </c>
      <c r="X20" s="1353"/>
      <c r="Y20" s="3705"/>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705"/>
      <c r="Q21" s="1350"/>
      <c r="R21" s="704"/>
      <c r="S21" s="705"/>
      <c r="T21" s="704"/>
      <c r="U21" s="705"/>
      <c r="V21" s="704"/>
      <c r="W21" s="705"/>
      <c r="X21" s="1353"/>
      <c r="Y21" s="3705"/>
      <c r="Z21" s="1354"/>
      <c r="AA21" s="1351">
        <v>1</v>
      </c>
      <c r="AB21" s="1351">
        <v>1</v>
      </c>
      <c r="AC21" s="1351">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5"/>
      <c r="Q22" s="1350" t="str">
        <f>B22</f>
        <v>楼层</v>
      </c>
      <c r="R22" s="704" t="s">
        <v>14</v>
      </c>
      <c r="S22" s="705">
        <f>F22</f>
        <v>100</v>
      </c>
      <c r="T22" s="704" t="s">
        <v>14</v>
      </c>
      <c r="U22" s="705">
        <f>H22</f>
        <v>100</v>
      </c>
      <c r="V22" s="704" t="s">
        <v>14</v>
      </c>
      <c r="W22" s="705">
        <f>J22</f>
        <v>100</v>
      </c>
      <c r="X22" s="1353"/>
      <c r="Y22" s="3705"/>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5"/>
      <c r="Q23" s="1350">
        <f>B23</f>
        <v>111</v>
      </c>
      <c r="R23" s="704" t="s">
        <v>14</v>
      </c>
      <c r="S23" s="705">
        <f>F23</f>
        <v>100</v>
      </c>
      <c r="T23" s="704" t="s">
        <v>14</v>
      </c>
      <c r="U23" s="705">
        <f>H23</f>
        <v>100</v>
      </c>
      <c r="V23" s="704" t="s">
        <v>14</v>
      </c>
      <c r="W23" s="705">
        <f>J23</f>
        <v>100</v>
      </c>
      <c r="X23" s="1353"/>
      <c r="Y23" s="3705"/>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5"/>
      <c r="Q24" s="1350">
        <f t="shared" ref="Q24:Q36" si="11">B24</f>
        <v>111</v>
      </c>
      <c r="R24" s="704" t="s">
        <v>14</v>
      </c>
      <c r="S24" s="705">
        <f>F24</f>
        <v>100</v>
      </c>
      <c r="T24" s="704" t="s">
        <v>14</v>
      </c>
      <c r="U24" s="705">
        <f>H24</f>
        <v>100</v>
      </c>
      <c r="V24" s="704" t="s">
        <v>14</v>
      </c>
      <c r="W24" s="705">
        <f>J24</f>
        <v>100</v>
      </c>
      <c r="X24" s="1353"/>
      <c r="Y24" s="3705"/>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705"/>
      <c r="Q25" s="1341">
        <f t="shared" si="11"/>
        <v>111</v>
      </c>
      <c r="R25" s="700" t="s">
        <v>14</v>
      </c>
      <c r="S25" s="701">
        <f>F25</f>
        <v>100</v>
      </c>
      <c r="T25" s="700" t="s">
        <v>14</v>
      </c>
      <c r="U25" s="701">
        <f>H25</f>
        <v>100</v>
      </c>
      <c r="V25" s="700" t="s">
        <v>14</v>
      </c>
      <c r="W25" s="701">
        <f>J25</f>
        <v>100</v>
      </c>
      <c r="X25" s="702"/>
      <c r="Y25" s="3705"/>
      <c r="Z25" s="52">
        <f>Q25</f>
        <v>111</v>
      </c>
      <c r="AA25" s="1351">
        <f>D25/F25</f>
        <v>1</v>
      </c>
      <c r="AB25" s="1351">
        <f>D25/H25</f>
        <v>1</v>
      </c>
      <c r="AC25" s="1351">
        <f>D25/J25</f>
        <v>1</v>
      </c>
    </row>
    <row r="26" spans="1:29" ht="28.5">
      <c r="A26" s="599"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6" t="s">
        <v>1695</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09" t="s">
        <v>1695</v>
      </c>
      <c r="Z26" s="1354" t="str">
        <f t="shared" ref="Z26:Z36" si="15">Q26</f>
        <v>配套类型</v>
      </c>
      <c r="AA26" s="1351" t="e">
        <f t="shared" si="3"/>
        <v>#DIV/0!</v>
      </c>
      <c r="AB26" s="1351" t="e">
        <f t="shared" si="4"/>
        <v>#DIV/0!</v>
      </c>
      <c r="AC26" s="1351"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709"/>
      <c r="Q27" s="706" t="str">
        <f t="shared" si="11"/>
        <v>项目停车位配比</v>
      </c>
      <c r="R27" s="707" t="s">
        <v>14</v>
      </c>
      <c r="S27" s="708">
        <f t="shared" si="12"/>
        <v>100</v>
      </c>
      <c r="T27" s="707" t="s">
        <v>14</v>
      </c>
      <c r="U27" s="708">
        <f t="shared" si="13"/>
        <v>100</v>
      </c>
      <c r="V27" s="707" t="s">
        <v>14</v>
      </c>
      <c r="W27" s="708">
        <f t="shared" si="14"/>
        <v>100</v>
      </c>
      <c r="X27" s="709"/>
      <c r="Y27" s="3709"/>
      <c r="Z27" s="710" t="str">
        <f t="shared" si="15"/>
        <v>项目停车位配比</v>
      </c>
      <c r="AA27" s="1351">
        <f t="shared" si="3"/>
        <v>1</v>
      </c>
      <c r="AB27" s="1351">
        <f t="shared" si="4"/>
        <v>1</v>
      </c>
      <c r="AC27" s="1351">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9"/>
      <c r="Q28" s="1350" t="str">
        <f t="shared" si="11"/>
        <v>公共部分装修</v>
      </c>
      <c r="R28" s="704" t="s">
        <v>14</v>
      </c>
      <c r="S28" s="705">
        <f t="shared" si="12"/>
        <v>100</v>
      </c>
      <c r="T28" s="704" t="s">
        <v>14</v>
      </c>
      <c r="U28" s="705">
        <f t="shared" si="13"/>
        <v>100</v>
      </c>
      <c r="V28" s="704" t="s">
        <v>14</v>
      </c>
      <c r="W28" s="705">
        <f t="shared" si="14"/>
        <v>100</v>
      </c>
      <c r="X28" s="1353"/>
      <c r="Y28" s="3709"/>
      <c r="Z28" s="1354" t="str">
        <f t="shared" si="15"/>
        <v>公共部分装修</v>
      </c>
      <c r="AA28" s="1351">
        <f t="shared" si="3"/>
        <v>1</v>
      </c>
      <c r="AB28" s="1351">
        <f t="shared" si="4"/>
        <v>1</v>
      </c>
      <c r="AC28" s="1351">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9"/>
      <c r="Q29" s="1350" t="str">
        <f t="shared" si="11"/>
        <v>成新率</v>
      </c>
      <c r="R29" s="704" t="s">
        <v>14</v>
      </c>
      <c r="S29" s="705" t="e">
        <f t="shared" si="12"/>
        <v>#N/A</v>
      </c>
      <c r="T29" s="704" t="s">
        <v>14</v>
      </c>
      <c r="U29" s="705" t="e">
        <f t="shared" si="13"/>
        <v>#N/A</v>
      </c>
      <c r="V29" s="704" t="s">
        <v>14</v>
      </c>
      <c r="W29" s="705" t="e">
        <f t="shared" si="14"/>
        <v>#N/A</v>
      </c>
      <c r="X29" s="1353"/>
      <c r="Y29" s="3709"/>
      <c r="Z29" s="1354" t="str">
        <f t="shared" si="15"/>
        <v>成新率</v>
      </c>
      <c r="AA29" s="1351" t="e">
        <f t="shared" si="3"/>
        <v>#N/A</v>
      </c>
      <c r="AB29" s="1351" t="e">
        <f t="shared" si="4"/>
        <v>#N/A</v>
      </c>
      <c r="AC29" s="1351"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709"/>
      <c r="Q30" s="1350" t="str">
        <f t="shared" si="11"/>
        <v>物业等级</v>
      </c>
      <c r="R30" s="704" t="s">
        <v>14</v>
      </c>
      <c r="S30" s="705">
        <f t="shared" si="12"/>
        <v>100</v>
      </c>
      <c r="T30" s="704" t="s">
        <v>14</v>
      </c>
      <c r="U30" s="705">
        <f t="shared" si="13"/>
        <v>100</v>
      </c>
      <c r="V30" s="704" t="s">
        <v>14</v>
      </c>
      <c r="W30" s="705">
        <f t="shared" si="14"/>
        <v>100</v>
      </c>
      <c r="X30" s="1353"/>
      <c r="Y30" s="3709"/>
      <c r="Z30" s="1354" t="str">
        <f t="shared" si="15"/>
        <v>物业等级</v>
      </c>
      <c r="AA30" s="1351">
        <f t="shared" si="3"/>
        <v>1</v>
      </c>
      <c r="AB30" s="1351">
        <f t="shared" si="4"/>
        <v>1</v>
      </c>
      <c r="AC30" s="1351">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9"/>
      <c r="Q31" s="1341" t="str">
        <f t="shared" si="11"/>
        <v>停车位面积</v>
      </c>
      <c r="R31" s="700" t="s">
        <v>14</v>
      </c>
      <c r="S31" s="701" t="e">
        <f t="shared" si="12"/>
        <v>#N/A</v>
      </c>
      <c r="T31" s="700" t="s">
        <v>14</v>
      </c>
      <c r="U31" s="701" t="e">
        <f t="shared" si="13"/>
        <v>#N/A</v>
      </c>
      <c r="V31" s="700" t="s">
        <v>14</v>
      </c>
      <c r="W31" s="701" t="e">
        <f t="shared" si="14"/>
        <v>#N/A</v>
      </c>
      <c r="X31" s="702"/>
      <c r="Y31" s="3709"/>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9" t="s">
        <v>1695</v>
      </c>
      <c r="Q32" s="1350" t="str">
        <f t="shared" si="11"/>
        <v>车位类型</v>
      </c>
      <c r="R32" s="704" t="s">
        <v>14</v>
      </c>
      <c r="S32" s="705">
        <f t="shared" si="12"/>
        <v>100</v>
      </c>
      <c r="T32" s="704" t="s">
        <v>14</v>
      </c>
      <c r="U32" s="705">
        <f t="shared" si="13"/>
        <v>100</v>
      </c>
      <c r="V32" s="704" t="s">
        <v>14</v>
      </c>
      <c r="W32" s="705">
        <f t="shared" si="14"/>
        <v>100</v>
      </c>
      <c r="X32" s="1353"/>
      <c r="Y32" s="3709" t="s">
        <v>1695</v>
      </c>
      <c r="Z32" s="1354" t="str">
        <f t="shared" si="15"/>
        <v>车位类型</v>
      </c>
      <c r="AA32" s="1351">
        <f t="shared" si="3"/>
        <v>1</v>
      </c>
      <c r="AB32" s="1351">
        <f t="shared" si="4"/>
        <v>1</v>
      </c>
      <c r="AC32" s="1351">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9"/>
      <c r="Q33" s="1350" t="str">
        <f t="shared" si="11"/>
        <v>是否直接入户</v>
      </c>
      <c r="R33" s="704" t="s">
        <v>14</v>
      </c>
      <c r="S33" s="705">
        <f t="shared" si="12"/>
        <v>100</v>
      </c>
      <c r="T33" s="704" t="s">
        <v>14</v>
      </c>
      <c r="U33" s="705">
        <f t="shared" si="13"/>
        <v>100</v>
      </c>
      <c r="V33" s="704" t="s">
        <v>14</v>
      </c>
      <c r="W33" s="705">
        <f t="shared" si="14"/>
        <v>100</v>
      </c>
      <c r="X33" s="1353"/>
      <c r="Y33" s="3709"/>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9"/>
      <c r="Q34" s="1350">
        <f t="shared" si="11"/>
        <v>111</v>
      </c>
      <c r="R34" s="704" t="s">
        <v>14</v>
      </c>
      <c r="S34" s="705">
        <f t="shared" si="12"/>
        <v>100</v>
      </c>
      <c r="T34" s="704" t="s">
        <v>14</v>
      </c>
      <c r="U34" s="705">
        <f t="shared" si="13"/>
        <v>100</v>
      </c>
      <c r="V34" s="704" t="s">
        <v>14</v>
      </c>
      <c r="W34" s="705">
        <f t="shared" si="14"/>
        <v>100</v>
      </c>
      <c r="X34" s="1353"/>
      <c r="Y34" s="3709"/>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9"/>
      <c r="Q35" s="706">
        <f t="shared" si="11"/>
        <v>111</v>
      </c>
      <c r="R35" s="707" t="s">
        <v>14</v>
      </c>
      <c r="S35" s="708">
        <f t="shared" si="12"/>
        <v>100</v>
      </c>
      <c r="T35" s="707" t="s">
        <v>14</v>
      </c>
      <c r="U35" s="708">
        <f t="shared" si="13"/>
        <v>100</v>
      </c>
      <c r="V35" s="707" t="s">
        <v>14</v>
      </c>
      <c r="W35" s="708">
        <f t="shared" si="14"/>
        <v>100</v>
      </c>
      <c r="X35" s="709"/>
      <c r="Y35" s="3709"/>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9"/>
      <c r="Q36" s="1350">
        <f t="shared" si="11"/>
        <v>111</v>
      </c>
      <c r="R36" s="704" t="s">
        <v>14</v>
      </c>
      <c r="S36" s="705">
        <f t="shared" si="12"/>
        <v>100</v>
      </c>
      <c r="T36" s="704" t="s">
        <v>14</v>
      </c>
      <c r="U36" s="705">
        <f t="shared" si="13"/>
        <v>100</v>
      </c>
      <c r="V36" s="704" t="s">
        <v>14</v>
      </c>
      <c r="W36" s="705">
        <f t="shared" si="14"/>
        <v>100</v>
      </c>
      <c r="X36" s="1353"/>
      <c r="Y36" s="3709"/>
      <c r="Z36" s="1354">
        <f t="shared" si="15"/>
        <v>111</v>
      </c>
      <c r="AA36" s="1351">
        <f t="shared" si="3"/>
        <v>1</v>
      </c>
      <c r="AB36" s="1351">
        <f t="shared" si="4"/>
        <v>1</v>
      </c>
      <c r="AC36" s="1351">
        <f t="shared" si="5"/>
        <v>1</v>
      </c>
    </row>
    <row r="37" spans="1:29" ht="15">
      <c r="A37" s="430" t="s">
        <v>1843</v>
      </c>
      <c r="B37" s="1971" t="s">
        <v>3350</v>
      </c>
      <c r="C37" s="1153" t="s">
        <v>0</v>
      </c>
      <c r="D37" s="1154"/>
      <c r="E37" s="1155"/>
      <c r="F37" s="1156"/>
      <c r="G37" s="1157"/>
      <c r="H37" s="1158"/>
      <c r="I37" s="1155"/>
      <c r="J37" s="1158"/>
      <c r="K37" s="567"/>
      <c r="L37" s="2721"/>
      <c r="M37" s="2722"/>
      <c r="N37" s="2713"/>
      <c r="O37" s="2722"/>
      <c r="P37" s="3697" t="str">
        <f>A37</f>
        <v>成交单价</v>
      </c>
      <c r="Q37" s="3697"/>
      <c r="R37" s="3698">
        <f>E37</f>
        <v>0</v>
      </c>
      <c r="S37" s="3698"/>
      <c r="T37" s="3698">
        <f>G37</f>
        <v>0</v>
      </c>
      <c r="U37" s="3698"/>
      <c r="V37" s="3698">
        <f>I37</f>
        <v>0</v>
      </c>
      <c r="W37" s="3698"/>
      <c r="X37" s="689"/>
      <c r="Y37" s="711"/>
      <c r="Z37" s="689"/>
      <c r="AA37" s="689"/>
      <c r="AB37" s="689"/>
      <c r="AC37" s="689"/>
    </row>
    <row r="38" spans="1:29" ht="15.75" thickBot="1">
      <c r="A38" s="437" t="s">
        <v>1844</v>
      </c>
      <c r="B38" s="438" t="str">
        <f>B37</f>
        <v>元/平方米</v>
      </c>
      <c r="C38" s="1159" t="e">
        <f>R39</f>
        <v>#DIV/0!</v>
      </c>
      <c r="D38" s="2315" t="s">
        <v>2133</v>
      </c>
      <c r="E38" s="1160" t="e">
        <f>R38</f>
        <v>#DIV/0!</v>
      </c>
      <c r="F38" s="2316"/>
      <c r="G38" s="1159" t="e">
        <f>T38</f>
        <v>#DIV/0!</v>
      </c>
      <c r="H38" s="2316"/>
      <c r="I38" s="1160" t="e">
        <f>V38</f>
        <v>#DIV/0!</v>
      </c>
      <c r="J38" s="2316"/>
      <c r="K38" s="2318">
        <f>F38+H38+J38</f>
        <v>0</v>
      </c>
      <c r="L38" s="2721"/>
      <c r="M38" s="2722"/>
      <c r="N38" s="2722"/>
      <c r="O38" s="2722"/>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21"/>
      <c r="M39" s="2722"/>
      <c r="N39" s="2722"/>
      <c r="O39" s="2722"/>
      <c r="P39" s="3753" t="str">
        <f>A39</f>
        <v>估价对象XX用房的比较价值（楼面单价，元/平方米）</v>
      </c>
      <c r="Q39" s="3754"/>
      <c r="R39" s="3787" t="e">
        <f>IF(F1="售价",ROUND(IF(D38="简单平均",AVERAGE(R38:W38),R38*F38+T38*H38+V38*J38),0),ROUND(IF(D38="简单平均",AVERAGE(R38:V38),R38*F38+T38*H38+V38*J38),1))</f>
        <v>#DIV/0!</v>
      </c>
      <c r="S39" s="3787"/>
      <c r="T39" s="3787"/>
      <c r="U39" s="3787"/>
      <c r="V39" s="3787"/>
      <c r="W39" s="3787"/>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1849</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7" t="s">
        <v>1798</v>
      </c>
      <c r="D67" s="607" t="s">
        <v>1799</v>
      </c>
      <c r="E67" s="607" t="s">
        <v>1800</v>
      </c>
      <c r="F67" s="607" t="s">
        <v>1801</v>
      </c>
      <c r="G67" s="607" t="s">
        <v>1802</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3330</v>
      </c>
      <c r="C1" s="1223" t="s">
        <v>1661</v>
      </c>
      <c r="D1" s="1224"/>
      <c r="E1" s="3430"/>
      <c r="F1" s="1877"/>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1768</v>
      </c>
      <c r="B4" s="356"/>
      <c r="C4" s="3714" t="s">
        <v>1769</v>
      </c>
      <c r="D4" s="3715"/>
      <c r="E4" s="3716" t="s">
        <v>1770</v>
      </c>
      <c r="F4" s="3717"/>
      <c r="G4" s="3714" t="s">
        <v>1771</v>
      </c>
      <c r="H4" s="3715"/>
      <c r="I4" s="3714" t="s">
        <v>1772</v>
      </c>
      <c r="J4" s="3715"/>
      <c r="K4" s="559" t="s">
        <v>1773</v>
      </c>
      <c r="L4" s="2712"/>
      <c r="M4" s="2713"/>
      <c r="N4" s="2713"/>
      <c r="O4" s="2713"/>
      <c r="P4" s="3757" t="s">
        <v>1774</v>
      </c>
      <c r="Q4" s="3758"/>
      <c r="R4" s="3761" t="s">
        <v>1770</v>
      </c>
      <c r="S4" s="3762"/>
      <c r="T4" s="3761" t="s">
        <v>1771</v>
      </c>
      <c r="U4" s="3762"/>
      <c r="V4" s="3731" t="s">
        <v>1772</v>
      </c>
      <c r="W4" s="3731"/>
      <c r="X4" s="1353"/>
      <c r="Y4" s="3761" t="s">
        <v>1774</v>
      </c>
      <c r="Z4" s="3762"/>
      <c r="AA4" s="3756" t="s">
        <v>1770</v>
      </c>
      <c r="AB4" s="3745" t="s">
        <v>1771</v>
      </c>
      <c r="AC4" s="3756" t="s">
        <v>1772</v>
      </c>
    </row>
    <row r="5" spans="1:29" ht="15">
      <c r="A5" s="358"/>
      <c r="B5" s="359"/>
      <c r="C5" s="3740" t="s">
        <v>1672</v>
      </c>
      <c r="D5" s="3741"/>
      <c r="E5" s="3785" t="s">
        <v>1673</v>
      </c>
      <c r="F5" s="3735"/>
      <c r="G5" s="3740" t="s">
        <v>1674</v>
      </c>
      <c r="H5" s="3741"/>
      <c r="I5" s="3740" t="s">
        <v>1675</v>
      </c>
      <c r="J5" s="3741"/>
      <c r="K5" s="559"/>
      <c r="L5" s="2712"/>
      <c r="M5" s="2713"/>
      <c r="N5" s="2713"/>
      <c r="O5" s="2713"/>
      <c r="P5" s="3759"/>
      <c r="Q5" s="3721"/>
      <c r="R5" s="3726"/>
      <c r="S5" s="3727"/>
      <c r="T5" s="3726"/>
      <c r="U5" s="3727"/>
      <c r="V5" s="3731"/>
      <c r="W5" s="3731"/>
      <c r="X5" s="1353"/>
      <c r="Y5" s="3726"/>
      <c r="Z5" s="3727"/>
      <c r="AA5" s="3745"/>
      <c r="AB5" s="3745"/>
      <c r="AC5" s="3745"/>
    </row>
    <row r="6" spans="1:29" ht="15.75" thickBot="1">
      <c r="A6" s="360"/>
      <c r="B6" s="361"/>
      <c r="C6" s="3732" t="s">
        <v>1676</v>
      </c>
      <c r="D6" s="3733"/>
      <c r="E6" s="3742" t="s">
        <v>1676</v>
      </c>
      <c r="F6" s="3743"/>
      <c r="G6" s="3732" t="s">
        <v>1676</v>
      </c>
      <c r="H6" s="3733"/>
      <c r="I6" s="3732" t="s">
        <v>1676</v>
      </c>
      <c r="J6" s="3733"/>
      <c r="K6" s="559" t="s">
        <v>1677</v>
      </c>
      <c r="L6" s="2712"/>
      <c r="M6" s="2713"/>
      <c r="N6" s="2713"/>
      <c r="O6" s="2713"/>
      <c r="P6" s="3760"/>
      <c r="Q6" s="3723"/>
      <c r="R6" s="3726"/>
      <c r="S6" s="3727"/>
      <c r="T6" s="3728"/>
      <c r="U6" s="3729"/>
      <c r="V6" s="3731"/>
      <c r="W6" s="3731"/>
      <c r="X6" s="1353"/>
      <c r="Y6" s="3728"/>
      <c r="Z6" s="3729"/>
      <c r="AA6" s="3746"/>
      <c r="AB6" s="3746"/>
      <c r="AC6" s="3746"/>
    </row>
    <row r="7" spans="1:29" s="108" customFormat="1" ht="15.75" thickBot="1">
      <c r="A7" s="362" t="s">
        <v>1678</v>
      </c>
      <c r="B7" s="363"/>
      <c r="C7" s="364">
        <f>'数据-取费表'!B2</f>
        <v>45210</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38" t="s">
        <v>1679</v>
      </c>
      <c r="Q7" s="3739"/>
      <c r="R7" s="700" t="s">
        <v>14</v>
      </c>
      <c r="S7" s="701">
        <f t="shared" ref="S7:S14" si="0">F7</f>
        <v>0</v>
      </c>
      <c r="T7" s="700" t="s">
        <v>14</v>
      </c>
      <c r="U7" s="701">
        <f t="shared" ref="U7:U14" si="1">H7</f>
        <v>0</v>
      </c>
      <c r="V7" s="700" t="s">
        <v>14</v>
      </c>
      <c r="W7" s="701">
        <f t="shared" ref="W7:W14" si="2">J7</f>
        <v>0</v>
      </c>
      <c r="X7" s="702"/>
      <c r="Y7" s="3738" t="s">
        <v>1679</v>
      </c>
      <c r="Z7" s="3737"/>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8" t="s">
        <v>1682</v>
      </c>
      <c r="Q8" s="3737"/>
      <c r="R8" s="700" t="s">
        <v>14</v>
      </c>
      <c r="S8" s="701">
        <f t="shared" si="0"/>
        <v>100</v>
      </c>
      <c r="T8" s="700" t="s">
        <v>14</v>
      </c>
      <c r="U8" s="701">
        <f t="shared" si="1"/>
        <v>100</v>
      </c>
      <c r="V8" s="700" t="s">
        <v>14</v>
      </c>
      <c r="W8" s="701">
        <f t="shared" si="2"/>
        <v>100</v>
      </c>
      <c r="X8" s="702"/>
      <c r="Y8" s="3738" t="s">
        <v>1682</v>
      </c>
      <c r="Z8" s="3737"/>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7" t="s">
        <v>1685</v>
      </c>
      <c r="Q9" s="1341" t="str">
        <f t="shared" ref="Q9:Q14" si="6">B9</f>
        <v>用途</v>
      </c>
      <c r="R9" s="700" t="s">
        <v>14</v>
      </c>
      <c r="S9" s="701">
        <f t="shared" si="0"/>
        <v>100</v>
      </c>
      <c r="T9" s="700" t="s">
        <v>14</v>
      </c>
      <c r="U9" s="701">
        <f t="shared" si="1"/>
        <v>100</v>
      </c>
      <c r="V9" s="700" t="s">
        <v>14</v>
      </c>
      <c r="W9" s="701">
        <f t="shared" si="2"/>
        <v>100</v>
      </c>
      <c r="X9" s="702"/>
      <c r="Y9" s="3595" t="s">
        <v>1686</v>
      </c>
      <c r="Z9" s="52" t="str">
        <f t="shared" ref="Z9:Z14" si="7">Q9</f>
        <v>用途</v>
      </c>
      <c r="AA9" s="703">
        <f t="shared" si="3"/>
        <v>1</v>
      </c>
      <c r="AB9" s="703">
        <f t="shared" si="4"/>
        <v>1</v>
      </c>
      <c r="AC9" s="703">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7"/>
      <c r="Q10" s="1341"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7"/>
      <c r="Q11" s="1341">
        <f t="shared" si="6"/>
        <v>111</v>
      </c>
      <c r="R11" s="700" t="s">
        <v>14</v>
      </c>
      <c r="S11" s="701">
        <f t="shared" si="0"/>
        <v>100</v>
      </c>
      <c r="T11" s="700" t="s">
        <v>14</v>
      </c>
      <c r="U11" s="701">
        <f t="shared" si="1"/>
        <v>100</v>
      </c>
      <c r="V11" s="700" t="s">
        <v>14</v>
      </c>
      <c r="W11" s="701">
        <f t="shared" si="2"/>
        <v>100</v>
      </c>
      <c r="X11" s="702"/>
      <c r="Y11" s="3595"/>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7"/>
      <c r="Q12" s="1341">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697"/>
      <c r="Q13" s="1341">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703">
        <f t="shared" si="5"/>
        <v>1</v>
      </c>
    </row>
    <row r="14" spans="1:29" ht="142.5">
      <c r="A14" s="391" t="s">
        <v>1689</v>
      </c>
      <c r="B14" s="61" t="s">
        <v>1832</v>
      </c>
      <c r="C14" s="1969" t="str">
        <f>IF(B1="工业",估价对象房地状况!G4,估价对象房地状况!C6)</f>
        <v>估价对象周边道路状况较好、有300、368、652路等公交线路及地铁10号线经过，公共交通通达情况较好、停车便捷程度一般，综合评价交通便捷度较好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4" t="s">
        <v>1690</v>
      </c>
      <c r="Q14" s="1350" t="str">
        <f t="shared" si="6"/>
        <v>交通便捷度</v>
      </c>
      <c r="R14" s="704" t="s">
        <v>14</v>
      </c>
      <c r="S14" s="705">
        <f t="shared" si="0"/>
        <v>100</v>
      </c>
      <c r="T14" s="704" t="s">
        <v>14</v>
      </c>
      <c r="U14" s="705">
        <f t="shared" si="1"/>
        <v>100</v>
      </c>
      <c r="V14" s="704" t="s">
        <v>14</v>
      </c>
      <c r="W14" s="705">
        <f t="shared" si="2"/>
        <v>100</v>
      </c>
      <c r="X14" s="1353"/>
      <c r="Y14" s="3704"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05"/>
      <c r="Q15" s="1350"/>
      <c r="R15" s="704"/>
      <c r="S15" s="705"/>
      <c r="T15" s="704"/>
      <c r="U15" s="705"/>
      <c r="V15" s="704"/>
      <c r="W15" s="705"/>
      <c r="X15" s="1353"/>
      <c r="Y15" s="3705"/>
      <c r="Z15" s="1354"/>
      <c r="AA15" s="1351">
        <v>1</v>
      </c>
      <c r="AB15" s="1351">
        <v>1</v>
      </c>
      <c r="AC15" s="1351">
        <v>1</v>
      </c>
    </row>
    <row r="16" spans="1:29" ht="42.75">
      <c r="A16" s="379"/>
      <c r="B16" s="402" t="s">
        <v>1811</v>
      </c>
      <c r="C16" s="1898"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5"/>
      <c r="Q16" s="1350" t="str">
        <f>B16</f>
        <v>公共配套设施</v>
      </c>
      <c r="R16" s="704" t="s">
        <v>14</v>
      </c>
      <c r="S16" s="705">
        <f>F16</f>
        <v>100</v>
      </c>
      <c r="T16" s="704" t="s">
        <v>14</v>
      </c>
      <c r="U16" s="705">
        <f>H16</f>
        <v>100</v>
      </c>
      <c r="V16" s="704" t="s">
        <v>14</v>
      </c>
      <c r="W16" s="705">
        <f>J16</f>
        <v>100</v>
      </c>
      <c r="X16" s="1353"/>
      <c r="Y16" s="370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05"/>
      <c r="Q17" s="1350"/>
      <c r="R17" s="704"/>
      <c r="S17" s="705"/>
      <c r="T17" s="704"/>
      <c r="U17" s="705"/>
      <c r="V17" s="704"/>
      <c r="W17" s="705"/>
      <c r="X17" s="1353"/>
      <c r="Y17" s="3705"/>
      <c r="Z17" s="1354"/>
      <c r="AA17" s="1351">
        <v>1</v>
      </c>
      <c r="AB17" s="1351">
        <v>1</v>
      </c>
      <c r="AC17" s="1351">
        <v>1</v>
      </c>
    </row>
    <row r="18" spans="1:29" ht="42.75">
      <c r="A18" s="379"/>
      <c r="B18" s="1130" t="s">
        <v>1812</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5"/>
      <c r="Q18" s="1350" t="str">
        <f>B18</f>
        <v>基础设施水平</v>
      </c>
      <c r="R18" s="704" t="s">
        <v>14</v>
      </c>
      <c r="S18" s="705">
        <f>F18</f>
        <v>100</v>
      </c>
      <c r="T18" s="704" t="s">
        <v>14</v>
      </c>
      <c r="U18" s="705">
        <f>H18</f>
        <v>100</v>
      </c>
      <c r="V18" s="704" t="s">
        <v>14</v>
      </c>
      <c r="W18" s="705">
        <f>J18</f>
        <v>100</v>
      </c>
      <c r="X18" s="1353"/>
      <c r="Y18" s="3705"/>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1"/>
      <c r="P19" s="3705"/>
      <c r="Q19" s="1350"/>
      <c r="R19" s="704"/>
      <c r="S19" s="705"/>
      <c r="T19" s="704"/>
      <c r="U19" s="705"/>
      <c r="V19" s="704"/>
      <c r="W19" s="705"/>
      <c r="X19" s="1353"/>
      <c r="Y19" s="3705"/>
      <c r="Z19" s="1354"/>
      <c r="AA19" s="1351">
        <v>1</v>
      </c>
      <c r="AB19" s="1351">
        <v>1</v>
      </c>
      <c r="AC19" s="1351">
        <v>1</v>
      </c>
    </row>
    <row r="20" spans="1:29" ht="99.75">
      <c r="A20" s="379"/>
      <c r="B20" s="402" t="s">
        <v>1833</v>
      </c>
      <c r="C20" s="1898" t="str">
        <f>IF(B1="工业",估价对象房地状况!G7,估价对象房地状况!C9)</f>
        <v>区域自然环境：北京动物园、官园公园；人文环境：北京天文馆、北京建筑大学；综合评价环境状况邮编</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5"/>
      <c r="Q20" s="1350" t="str">
        <f>B20</f>
        <v>自然及人文环境</v>
      </c>
      <c r="R20" s="704" t="s">
        <v>14</v>
      </c>
      <c r="S20" s="705">
        <f>F20</f>
        <v>100</v>
      </c>
      <c r="T20" s="704" t="s">
        <v>14</v>
      </c>
      <c r="U20" s="705">
        <f>H20</f>
        <v>100</v>
      </c>
      <c r="V20" s="704" t="s">
        <v>14</v>
      </c>
      <c r="W20" s="705">
        <f>J20</f>
        <v>100</v>
      </c>
      <c r="X20" s="1353"/>
      <c r="Y20" s="370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05"/>
      <c r="Q21" s="1350"/>
      <c r="R21" s="704"/>
      <c r="S21" s="705"/>
      <c r="T21" s="704"/>
      <c r="U21" s="705"/>
      <c r="V21" s="704"/>
      <c r="W21" s="705"/>
      <c r="X21" s="1353"/>
      <c r="Y21" s="3705"/>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5"/>
      <c r="Q22" s="1350" t="str">
        <f>B22</f>
        <v>楼层</v>
      </c>
      <c r="R22" s="704" t="s">
        <v>14</v>
      </c>
      <c r="S22" s="705">
        <f>F22</f>
        <v>100</v>
      </c>
      <c r="T22" s="704" t="s">
        <v>14</v>
      </c>
      <c r="U22" s="705">
        <f>H22</f>
        <v>100</v>
      </c>
      <c r="V22" s="704" t="s">
        <v>14</v>
      </c>
      <c r="W22" s="705">
        <f>J22</f>
        <v>100</v>
      </c>
      <c r="X22" s="1353"/>
      <c r="Y22" s="370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5"/>
      <c r="Q23" s="1350">
        <f>B23</f>
        <v>111</v>
      </c>
      <c r="R23" s="704" t="s">
        <v>14</v>
      </c>
      <c r="S23" s="705">
        <f>F23</f>
        <v>100</v>
      </c>
      <c r="T23" s="704" t="s">
        <v>14</v>
      </c>
      <c r="U23" s="705">
        <f>H23</f>
        <v>100</v>
      </c>
      <c r="V23" s="704" t="s">
        <v>14</v>
      </c>
      <c r="W23" s="705">
        <f>J23</f>
        <v>100</v>
      </c>
      <c r="X23" s="1353"/>
      <c r="Y23" s="370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5"/>
      <c r="Q24" s="1350">
        <f t="shared" ref="Q24:Q34" si="11">B24</f>
        <v>111</v>
      </c>
      <c r="R24" s="704" t="s">
        <v>14</v>
      </c>
      <c r="S24" s="705">
        <f>F24</f>
        <v>100</v>
      </c>
      <c r="T24" s="704" t="s">
        <v>14</v>
      </c>
      <c r="U24" s="705">
        <f>H24</f>
        <v>100</v>
      </c>
      <c r="V24" s="704" t="s">
        <v>14</v>
      </c>
      <c r="W24" s="705">
        <f>J24</f>
        <v>100</v>
      </c>
      <c r="X24" s="1353"/>
      <c r="Y24" s="3705"/>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4"/>
      <c r="M25" s="2715"/>
      <c r="N25" s="2715"/>
      <c r="O25" s="2769"/>
      <c r="P25" s="3705"/>
      <c r="Q25" s="1341">
        <f t="shared" si="11"/>
        <v>111</v>
      </c>
      <c r="R25" s="700" t="s">
        <v>14</v>
      </c>
      <c r="S25" s="701">
        <f>F25</f>
        <v>100</v>
      </c>
      <c r="T25" s="700" t="s">
        <v>14</v>
      </c>
      <c r="U25" s="701">
        <f>H25</f>
        <v>100</v>
      </c>
      <c r="V25" s="700" t="s">
        <v>14</v>
      </c>
      <c r="W25" s="701">
        <f>J25</f>
        <v>100</v>
      </c>
      <c r="X25" s="702"/>
      <c r="Y25" s="3705"/>
      <c r="Z25" s="52">
        <f>Q25</f>
        <v>111</v>
      </c>
      <c r="AA25" s="1351">
        <f>D25/F25</f>
        <v>1</v>
      </c>
      <c r="AB25" s="1351">
        <f>D25/H25</f>
        <v>1</v>
      </c>
      <c r="AC25" s="1351">
        <f>D25/J25</f>
        <v>1</v>
      </c>
    </row>
    <row r="26" spans="1:29" ht="28.5">
      <c r="A26" s="417" t="s">
        <v>1693</v>
      </c>
      <c r="B26" s="63" t="s">
        <v>1837</v>
      </c>
      <c r="C26" s="1965"/>
      <c r="D26" s="418">
        <v>100</v>
      </c>
      <c r="E26" s="1965"/>
      <c r="F26" s="614">
        <f>SUMIF(77:77,E26,78:78)-SUMIF(77:77,C26,78:78)+100</f>
        <v>100</v>
      </c>
      <c r="G26" s="1965"/>
      <c r="H26" s="418">
        <f>SUMIF(77:77,G26,78:78)-SUMIF(77:77,C26,78:78)+100</f>
        <v>100</v>
      </c>
      <c r="I26" s="1965"/>
      <c r="J26" s="418">
        <f>SUMIF(77:77,I26,78:78)-SUMIF(77:77,C26,78:78)+100</f>
        <v>100</v>
      </c>
      <c r="K26" s="561"/>
      <c r="L26" s="2719"/>
      <c r="M26" s="2713"/>
      <c r="N26" s="2713"/>
      <c r="O26" s="2771"/>
      <c r="P26" s="3786" t="s">
        <v>1695</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09"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9"/>
      <c r="Q27" s="706" t="str">
        <f t="shared" si="11"/>
        <v>成新率</v>
      </c>
      <c r="R27" s="707" t="s">
        <v>14</v>
      </c>
      <c r="S27" s="708" t="e">
        <f t="shared" si="12"/>
        <v>#N/A</v>
      </c>
      <c r="T27" s="707" t="s">
        <v>14</v>
      </c>
      <c r="U27" s="708" t="e">
        <f t="shared" si="13"/>
        <v>#N/A</v>
      </c>
      <c r="V27" s="707" t="s">
        <v>14</v>
      </c>
      <c r="W27" s="708" t="e">
        <f t="shared" si="14"/>
        <v>#N/A</v>
      </c>
      <c r="X27" s="709"/>
      <c r="Y27" s="3709"/>
      <c r="Z27" s="710"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9"/>
      <c r="Q28" s="1350" t="str">
        <f t="shared" si="11"/>
        <v>物业等级</v>
      </c>
      <c r="R28" s="704" t="s">
        <v>14</v>
      </c>
      <c r="S28" s="705">
        <f t="shared" si="12"/>
        <v>100</v>
      </c>
      <c r="T28" s="704" t="s">
        <v>14</v>
      </c>
      <c r="U28" s="705">
        <f t="shared" si="13"/>
        <v>100</v>
      </c>
      <c r="V28" s="704" t="s">
        <v>14</v>
      </c>
      <c r="W28" s="705">
        <f t="shared" si="14"/>
        <v>100</v>
      </c>
      <c r="X28" s="1353"/>
      <c r="Y28" s="3709"/>
      <c r="Z28" s="1354" t="str">
        <f t="shared" si="15"/>
        <v>物业等级</v>
      </c>
      <c r="AA28" s="1351">
        <f t="shared" si="3"/>
        <v>1</v>
      </c>
      <c r="AB28" s="1351">
        <f t="shared" si="4"/>
        <v>1</v>
      </c>
      <c r="AC28" s="1351">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709"/>
      <c r="Q29" s="1350" t="str">
        <f t="shared" si="11"/>
        <v>有无电梯</v>
      </c>
      <c r="R29" s="704" t="s">
        <v>14</v>
      </c>
      <c r="S29" s="705">
        <f t="shared" si="12"/>
        <v>100</v>
      </c>
      <c r="T29" s="704" t="s">
        <v>14</v>
      </c>
      <c r="U29" s="705">
        <f t="shared" si="13"/>
        <v>100</v>
      </c>
      <c r="V29" s="704" t="s">
        <v>14</v>
      </c>
      <c r="W29" s="705">
        <f t="shared" si="14"/>
        <v>100</v>
      </c>
      <c r="X29" s="1353"/>
      <c r="Y29" s="3709"/>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9"/>
      <c r="Q30" s="1350" t="str">
        <f t="shared" si="11"/>
        <v>建筑面积</v>
      </c>
      <c r="R30" s="704" t="s">
        <v>14</v>
      </c>
      <c r="S30" s="705" t="e">
        <f t="shared" si="12"/>
        <v>#N/A</v>
      </c>
      <c r="T30" s="704" t="s">
        <v>14</v>
      </c>
      <c r="U30" s="705" t="e">
        <f t="shared" si="13"/>
        <v>#N/A</v>
      </c>
      <c r="V30" s="704" t="s">
        <v>14</v>
      </c>
      <c r="W30" s="705" t="e">
        <f t="shared" si="14"/>
        <v>#N/A</v>
      </c>
      <c r="X30" s="1353"/>
      <c r="Y30" s="3709"/>
      <c r="Z30" s="1354" t="str">
        <f t="shared" si="15"/>
        <v>建筑面积</v>
      </c>
      <c r="AA30" s="1351" t="e">
        <f t="shared" si="3"/>
        <v>#N/A</v>
      </c>
      <c r="AB30" s="1351" t="e">
        <f t="shared" si="4"/>
        <v>#N/A</v>
      </c>
      <c r="AC30" s="1351"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709"/>
      <c r="Q31" s="1341" t="str">
        <f t="shared" si="11"/>
        <v>是否封闭</v>
      </c>
      <c r="R31" s="700" t="s">
        <v>14</v>
      </c>
      <c r="S31" s="701">
        <f t="shared" si="12"/>
        <v>100</v>
      </c>
      <c r="T31" s="700" t="s">
        <v>14</v>
      </c>
      <c r="U31" s="701">
        <f t="shared" si="13"/>
        <v>100</v>
      </c>
      <c r="V31" s="700" t="s">
        <v>14</v>
      </c>
      <c r="W31" s="701">
        <f t="shared" si="14"/>
        <v>100</v>
      </c>
      <c r="X31" s="702"/>
      <c r="Y31" s="3709"/>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9" t="s">
        <v>1695</v>
      </c>
      <c r="Q32" s="1350">
        <f t="shared" si="11"/>
        <v>111</v>
      </c>
      <c r="R32" s="704" t="s">
        <v>14</v>
      </c>
      <c r="S32" s="705">
        <f t="shared" si="12"/>
        <v>100</v>
      </c>
      <c r="T32" s="704" t="s">
        <v>14</v>
      </c>
      <c r="U32" s="705">
        <f t="shared" si="13"/>
        <v>100</v>
      </c>
      <c r="V32" s="704" t="s">
        <v>14</v>
      </c>
      <c r="W32" s="705">
        <f t="shared" si="14"/>
        <v>100</v>
      </c>
      <c r="X32" s="1353"/>
      <c r="Y32" s="3709"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9"/>
      <c r="Q33" s="1350">
        <f t="shared" si="11"/>
        <v>111</v>
      </c>
      <c r="R33" s="704" t="s">
        <v>14</v>
      </c>
      <c r="S33" s="705">
        <f t="shared" si="12"/>
        <v>100</v>
      </c>
      <c r="T33" s="704" t="s">
        <v>14</v>
      </c>
      <c r="U33" s="705">
        <f t="shared" si="13"/>
        <v>100</v>
      </c>
      <c r="V33" s="704" t="s">
        <v>14</v>
      </c>
      <c r="W33" s="705">
        <f t="shared" si="14"/>
        <v>100</v>
      </c>
      <c r="X33" s="1353"/>
      <c r="Y33" s="370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09"/>
      <c r="Q34" s="1350">
        <f t="shared" si="11"/>
        <v>111</v>
      </c>
      <c r="R34" s="704" t="s">
        <v>14</v>
      </c>
      <c r="S34" s="705">
        <f t="shared" si="12"/>
        <v>100</v>
      </c>
      <c r="T34" s="704" t="s">
        <v>14</v>
      </c>
      <c r="U34" s="705">
        <f t="shared" si="13"/>
        <v>100</v>
      </c>
      <c r="V34" s="704" t="s">
        <v>14</v>
      </c>
      <c r="W34" s="705">
        <f t="shared" si="14"/>
        <v>100</v>
      </c>
      <c r="X34" s="1353"/>
      <c r="Y34" s="3709"/>
      <c r="Z34" s="1354">
        <f t="shared" si="15"/>
        <v>111</v>
      </c>
      <c r="AA34" s="1351">
        <f t="shared" si="3"/>
        <v>1</v>
      </c>
      <c r="AB34" s="1351">
        <f t="shared" si="4"/>
        <v>1</v>
      </c>
      <c r="AC34" s="1351">
        <f t="shared" si="5"/>
        <v>1</v>
      </c>
    </row>
    <row r="35" spans="1:30" ht="15">
      <c r="A35" s="430" t="s">
        <v>1707</v>
      </c>
      <c r="B35" s="431"/>
      <c r="C35" s="1153" t="s">
        <v>0</v>
      </c>
      <c r="D35" s="1154"/>
      <c r="E35" s="1155"/>
      <c r="F35" s="1156"/>
      <c r="G35" s="1157"/>
      <c r="H35" s="1158"/>
      <c r="I35" s="1155"/>
      <c r="J35" s="1158"/>
      <c r="K35" s="713"/>
      <c r="L35" s="2721"/>
      <c r="M35" s="2722"/>
      <c r="N35" s="2713"/>
      <c r="O35" s="2722"/>
      <c r="P35" s="3697" t="str">
        <f>A35</f>
        <v>成交单价（元/平方米）</v>
      </c>
      <c r="Q35" s="3697"/>
      <c r="R35" s="3698">
        <f>E35</f>
        <v>0</v>
      </c>
      <c r="S35" s="3698"/>
      <c r="T35" s="3698">
        <f>G35</f>
        <v>0</v>
      </c>
      <c r="U35" s="3698"/>
      <c r="V35" s="3698">
        <f>I35</f>
        <v>0</v>
      </c>
      <c r="W35" s="3698"/>
      <c r="X35" s="689"/>
      <c r="Y35" s="711"/>
      <c r="Z35" s="689"/>
      <c r="AA35" s="689"/>
      <c r="AB35" s="689"/>
      <c r="AC35" s="689"/>
    </row>
    <row r="36" spans="1:30" ht="15.75" thickBot="1">
      <c r="A36" s="437" t="s">
        <v>1792</v>
      </c>
      <c r="B36" s="438"/>
      <c r="C36" s="1159" t="e">
        <f>R37</f>
        <v>#DIV/0!</v>
      </c>
      <c r="D36" s="2315" t="s">
        <v>2133</v>
      </c>
      <c r="E36" s="1160" t="e">
        <f>R36</f>
        <v>#DIV/0!</v>
      </c>
      <c r="F36" s="2316"/>
      <c r="G36" s="1159" t="e">
        <f>T36</f>
        <v>#DIV/0!</v>
      </c>
      <c r="H36" s="2316"/>
      <c r="I36" s="1160" t="e">
        <f>V36</f>
        <v>#DIV/0!</v>
      </c>
      <c r="J36" s="2316"/>
      <c r="K36" s="2318">
        <f>F36+H36+J36</f>
        <v>0</v>
      </c>
      <c r="L36" s="2721"/>
      <c r="M36" s="2722"/>
      <c r="N36" s="2713"/>
      <c r="O36" s="2722"/>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21"/>
      <c r="M37" s="2722"/>
      <c r="N37" s="2722"/>
      <c r="O37" s="2722"/>
      <c r="P37" s="3753" t="str">
        <f>A37</f>
        <v>估价对象XX用房的比较价值（楼面单价，元/平方米）</v>
      </c>
      <c r="Q37" s="3754"/>
      <c r="R37" s="3787" t="e">
        <f>IF(F1="售价",ROUND(IF(D36="简单平均",AVERAGE(R36:W36),R36*F36+T36*H36+V36*J36),0),ROUND(IF(D36="简单平均",AVERAGE(R36:V36),R36*F36+T36*H36+V36*J36),1))</f>
        <v>#DIV/0!</v>
      </c>
      <c r="S37" s="3787"/>
      <c r="T37" s="3787"/>
      <c r="U37" s="3787"/>
      <c r="V37" s="3787"/>
      <c r="W37" s="3787"/>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1797</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7" t="s">
        <v>1798</v>
      </c>
      <c r="D65" s="607" t="s">
        <v>1799</v>
      </c>
      <c r="E65" s="607" t="s">
        <v>1800</v>
      </c>
      <c r="F65" s="607" t="s">
        <v>1801</v>
      </c>
      <c r="G65" s="607" t="s">
        <v>1802</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4" priority="18" stopIfTrue="1" operator="containsText" text="超过">
      <formula>NOT(ISERROR(SEARCH("超过",F40)))</formula>
    </cfRule>
  </conditionalFormatting>
  <conditionalFormatting sqref="J42">
    <cfRule type="containsText" dxfId="83" priority="17" stopIfTrue="1" operator="containsText" text="超过">
      <formula>NOT(ISERROR(SEARCH("超过",J42)))</formula>
    </cfRule>
  </conditionalFormatting>
  <conditionalFormatting sqref="H42">
    <cfRule type="containsText" dxfId="82" priority="16" stopIfTrue="1" operator="containsText" text="超过">
      <formula>NOT(ISERROR(SEARCH("超过",H42)))</formula>
    </cfRule>
  </conditionalFormatting>
  <conditionalFormatting sqref="F42">
    <cfRule type="containsText" dxfId="81" priority="15" stopIfTrue="1" operator="containsText" text="超过">
      <formula>NOT(ISERROR(SEARCH("超过",F42)))</formula>
    </cfRule>
  </conditionalFormatting>
  <conditionalFormatting sqref="F41 H41 J41">
    <cfRule type="containsText" dxfId="80" priority="14" stopIfTrue="1" operator="containsText" text="超过">
      <formula>NOT(ISERROR(SEARCH("超过",F41)))</formula>
    </cfRule>
  </conditionalFormatting>
  <conditionalFormatting sqref="E40">
    <cfRule type="expression" dxfId="79" priority="13" stopIfTrue="1">
      <formula>$F$40="超过30%"</formula>
    </cfRule>
  </conditionalFormatting>
  <conditionalFormatting sqref="G42">
    <cfRule type="expression" dxfId="78" priority="12" stopIfTrue="1">
      <formula>$H$54+$H$42="超过30%"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G40">
    <cfRule type="expression" dxfId="75" priority="9" stopIfTrue="1">
      <formula>$H$52+$H$40="超过30%"</formula>
    </cfRule>
  </conditionalFormatting>
  <conditionalFormatting sqref="G41">
    <cfRule type="expression" dxfId="74" priority="8" stopIfTrue="1">
      <formula>$H$53+$H$41="超过20%"</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F36">
    <cfRule type="expression" dxfId="70" priority="4">
      <formula>$D$36="简单平均"</formula>
    </cfRule>
  </conditionalFormatting>
  <conditionalFormatting sqref="H36">
    <cfRule type="expression" dxfId="69" priority="3">
      <formula>$D$36="简单平均"</formula>
    </cfRule>
  </conditionalFormatting>
  <conditionalFormatting sqref="J36">
    <cfRule type="expression" dxfId="68" priority="2">
      <formula>$D$36="简单平均"</formula>
    </cfRule>
  </conditionalFormatting>
  <conditionalFormatting sqref="F7:F34 H7:H34 J7:J34">
    <cfRule type="cellIs" dxfId="6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1768</v>
      </c>
      <c r="B4" s="356"/>
      <c r="C4" s="3714" t="s">
        <v>1769</v>
      </c>
      <c r="D4" s="3715"/>
      <c r="E4" s="3716" t="s">
        <v>1770</v>
      </c>
      <c r="F4" s="3717"/>
      <c r="G4" s="3714" t="s">
        <v>1771</v>
      </c>
      <c r="H4" s="3715"/>
      <c r="I4" s="3714" t="s">
        <v>1772</v>
      </c>
      <c r="J4" s="3715"/>
      <c r="K4" s="559" t="s">
        <v>1773</v>
      </c>
      <c r="L4" s="2712"/>
      <c r="M4" s="2713"/>
      <c r="N4" s="2713"/>
      <c r="O4" s="2713"/>
      <c r="P4" s="3757" t="s">
        <v>1774</v>
      </c>
      <c r="Q4" s="3758"/>
      <c r="R4" s="3761" t="s">
        <v>1770</v>
      </c>
      <c r="S4" s="3762"/>
      <c r="T4" s="3761" t="s">
        <v>1771</v>
      </c>
      <c r="U4" s="3762"/>
      <c r="V4" s="3731" t="s">
        <v>1772</v>
      </c>
      <c r="W4" s="3731"/>
      <c r="X4" s="1353"/>
      <c r="Y4" s="3761" t="s">
        <v>1774</v>
      </c>
      <c r="Z4" s="3762"/>
      <c r="AA4" s="3756" t="s">
        <v>1770</v>
      </c>
      <c r="AB4" s="3745" t="s">
        <v>1771</v>
      </c>
      <c r="AC4" s="3756" t="s">
        <v>1772</v>
      </c>
    </row>
    <row r="5" spans="1:30" ht="15">
      <c r="A5" s="358"/>
      <c r="B5" s="359"/>
      <c r="C5" s="3740" t="s">
        <v>1672</v>
      </c>
      <c r="D5" s="3741"/>
      <c r="E5" s="3785" t="s">
        <v>1673</v>
      </c>
      <c r="F5" s="3735"/>
      <c r="G5" s="3740" t="s">
        <v>1674</v>
      </c>
      <c r="H5" s="3741"/>
      <c r="I5" s="3740" t="s">
        <v>1675</v>
      </c>
      <c r="J5" s="3741"/>
      <c r="K5" s="559"/>
      <c r="L5" s="2712"/>
      <c r="M5" s="2713"/>
      <c r="N5" s="2713"/>
      <c r="O5" s="2713"/>
      <c r="P5" s="3759"/>
      <c r="Q5" s="3721"/>
      <c r="R5" s="3726"/>
      <c r="S5" s="3727"/>
      <c r="T5" s="3726"/>
      <c r="U5" s="3727"/>
      <c r="V5" s="3731"/>
      <c r="W5" s="3731"/>
      <c r="X5" s="1353"/>
      <c r="Y5" s="3726"/>
      <c r="Z5" s="3727"/>
      <c r="AA5" s="3745"/>
      <c r="AB5" s="3745"/>
      <c r="AC5" s="3745"/>
    </row>
    <row r="6" spans="1:30" ht="15.75" thickBot="1">
      <c r="A6" s="360"/>
      <c r="B6" s="361"/>
      <c r="C6" s="3732" t="s">
        <v>1676</v>
      </c>
      <c r="D6" s="3733"/>
      <c r="E6" s="3742" t="s">
        <v>1676</v>
      </c>
      <c r="F6" s="3743"/>
      <c r="G6" s="3732" t="s">
        <v>1676</v>
      </c>
      <c r="H6" s="3733"/>
      <c r="I6" s="3732" t="s">
        <v>1676</v>
      </c>
      <c r="J6" s="3733"/>
      <c r="K6" s="559" t="s">
        <v>1677</v>
      </c>
      <c r="L6" s="2712"/>
      <c r="M6" s="2713"/>
      <c r="N6" s="2713"/>
      <c r="O6" s="2713"/>
      <c r="P6" s="3760"/>
      <c r="Q6" s="3723"/>
      <c r="R6" s="3726"/>
      <c r="S6" s="3727"/>
      <c r="T6" s="3728"/>
      <c r="U6" s="3729"/>
      <c r="V6" s="3731"/>
      <c r="W6" s="3731"/>
      <c r="X6" s="1353"/>
      <c r="Y6" s="3728"/>
      <c r="Z6" s="3729"/>
      <c r="AA6" s="3746"/>
      <c r="AB6" s="3746"/>
      <c r="AC6" s="3746"/>
    </row>
    <row r="7" spans="1:30" s="108" customFormat="1" ht="15.75" thickBot="1">
      <c r="A7" s="362" t="s">
        <v>1678</v>
      </c>
      <c r="B7" s="363"/>
      <c r="C7" s="364">
        <f>'数据-取费表'!B2</f>
        <v>45210</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38" t="s">
        <v>1679</v>
      </c>
      <c r="Q7" s="3739"/>
      <c r="R7" s="700" t="s">
        <v>14</v>
      </c>
      <c r="S7" s="701">
        <f t="shared" ref="S7:S15" si="0">F7</f>
        <v>0</v>
      </c>
      <c r="T7" s="700" t="s">
        <v>14</v>
      </c>
      <c r="U7" s="701">
        <f t="shared" ref="U7:U15" si="1">H7</f>
        <v>0</v>
      </c>
      <c r="V7" s="700" t="s">
        <v>14</v>
      </c>
      <c r="W7" s="701">
        <f t="shared" ref="W7:W15" si="2">J7</f>
        <v>0</v>
      </c>
      <c r="X7" s="702"/>
      <c r="Y7" s="3738" t="s">
        <v>1679</v>
      </c>
      <c r="Z7" s="3737"/>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8" t="s">
        <v>1682</v>
      </c>
      <c r="Q8" s="3737"/>
      <c r="R8" s="700" t="s">
        <v>14</v>
      </c>
      <c r="S8" s="701">
        <f t="shared" si="0"/>
        <v>0</v>
      </c>
      <c r="T8" s="700" t="s">
        <v>14</v>
      </c>
      <c r="U8" s="701">
        <f t="shared" si="1"/>
        <v>0</v>
      </c>
      <c r="V8" s="700" t="s">
        <v>14</v>
      </c>
      <c r="W8" s="701">
        <f t="shared" si="2"/>
        <v>0</v>
      </c>
      <c r="X8" s="702"/>
      <c r="Y8" s="3738" t="s">
        <v>1682</v>
      </c>
      <c r="Z8" s="3737"/>
      <c r="AA8" s="703" t="e">
        <f t="shared" ref="AA8:AA45" si="3">D8/F8</f>
        <v>#DIV/0!</v>
      </c>
      <c r="AB8" s="703" t="e">
        <f t="shared" ref="AB8:AB45" si="4">D8/H8</f>
        <v>#DIV/0!</v>
      </c>
      <c r="AC8" s="703"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697" t="s">
        <v>1685</v>
      </c>
      <c r="Q9" s="1341" t="str">
        <f t="shared" ref="Q9:Q15" si="6">B9</f>
        <v>用途</v>
      </c>
      <c r="R9" s="700" t="s">
        <v>14</v>
      </c>
      <c r="S9" s="701">
        <f t="shared" si="0"/>
        <v>100</v>
      </c>
      <c r="T9" s="700" t="s">
        <v>14</v>
      </c>
      <c r="U9" s="701">
        <f t="shared" si="1"/>
        <v>100</v>
      </c>
      <c r="V9" s="700" t="s">
        <v>14</v>
      </c>
      <c r="W9" s="701">
        <f t="shared" si="2"/>
        <v>100</v>
      </c>
      <c r="X9" s="702"/>
      <c r="Y9" s="3595"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110</v>
      </c>
      <c r="G10" s="414"/>
      <c r="H10" s="127">
        <f>ROUND(100/'数据-取费表'!G16,0)</f>
        <v>110</v>
      </c>
      <c r="I10" s="414"/>
      <c r="J10" s="127">
        <f>ROUND(100/'数据-取费表'!G16,0)</f>
        <v>110</v>
      </c>
      <c r="K10" s="619"/>
      <c r="L10" s="2716"/>
      <c r="M10" s="2717"/>
      <c r="N10" s="2717"/>
      <c r="O10" s="2770"/>
      <c r="P10" s="3697"/>
      <c r="Q10" s="1341" t="str">
        <f t="shared" si="6"/>
        <v>土地使用年限（年）</v>
      </c>
      <c r="R10" s="700" t="s">
        <v>14</v>
      </c>
      <c r="S10" s="701">
        <f t="shared" si="0"/>
        <v>110</v>
      </c>
      <c r="T10" s="700" t="s">
        <v>14</v>
      </c>
      <c r="U10" s="701">
        <f t="shared" si="1"/>
        <v>110</v>
      </c>
      <c r="V10" s="700" t="s">
        <v>14</v>
      </c>
      <c r="W10" s="701">
        <f t="shared" si="2"/>
        <v>110</v>
      </c>
      <c r="X10" s="702"/>
      <c r="Y10" s="3595"/>
      <c r="Z10" s="52" t="str">
        <f t="shared" si="7"/>
        <v>土地使用年限（年）</v>
      </c>
      <c r="AA10" s="703">
        <f t="shared" si="3"/>
        <v>0.90909090909090906</v>
      </c>
      <c r="AB10" s="703">
        <f t="shared" si="4"/>
        <v>0.90909090909090906</v>
      </c>
      <c r="AC10" s="703">
        <f t="shared" si="5"/>
        <v>0.90909090909090906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8"/>
      <c r="M11" s="2713"/>
      <c r="N11" s="2713"/>
      <c r="O11" s="2771"/>
      <c r="P11" s="3697"/>
      <c r="Q11" s="1341" t="str">
        <f t="shared" si="6"/>
        <v>容积率</v>
      </c>
      <c r="R11" s="700" t="s">
        <v>14</v>
      </c>
      <c r="S11" s="701" t="e">
        <f t="shared" si="0"/>
        <v>#N/A</v>
      </c>
      <c r="T11" s="700" t="s">
        <v>14</v>
      </c>
      <c r="U11" s="701" t="e">
        <f t="shared" si="1"/>
        <v>#N/A</v>
      </c>
      <c r="V11" s="700" t="s">
        <v>14</v>
      </c>
      <c r="W11" s="701" t="e">
        <f t="shared" si="2"/>
        <v>#N/A</v>
      </c>
      <c r="X11" s="702"/>
      <c r="Y11" s="3595"/>
      <c r="Z11" s="52" t="str">
        <f t="shared" si="7"/>
        <v>容积率</v>
      </c>
      <c r="AA11" s="703" t="e">
        <f t="shared" si="3"/>
        <v>#N/A</v>
      </c>
      <c r="AB11" s="703" t="e">
        <f t="shared" si="4"/>
        <v>#N/A</v>
      </c>
      <c r="AC11" s="703"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697"/>
      <c r="Q12" s="1341" t="str">
        <f t="shared" si="6"/>
        <v>配建</v>
      </c>
      <c r="R12" s="700" t="s">
        <v>14</v>
      </c>
      <c r="S12" s="701">
        <f t="shared" si="0"/>
        <v>100</v>
      </c>
      <c r="T12" s="700" t="s">
        <v>14</v>
      </c>
      <c r="U12" s="701">
        <f t="shared" si="1"/>
        <v>100</v>
      </c>
      <c r="V12" s="700" t="s">
        <v>14</v>
      </c>
      <c r="W12" s="701">
        <f t="shared" si="2"/>
        <v>100</v>
      </c>
      <c r="X12" s="702"/>
      <c r="Y12" s="3595"/>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9"/>
      <c r="M13" s="2713"/>
      <c r="N13" s="2713"/>
      <c r="O13" s="2771"/>
      <c r="P13" s="3697"/>
      <c r="Q13" s="1341">
        <f t="shared" si="6"/>
        <v>111</v>
      </c>
      <c r="R13" s="700" t="s">
        <v>14</v>
      </c>
      <c r="S13" s="701">
        <f t="shared" si="0"/>
        <v>100</v>
      </c>
      <c r="T13" s="700" t="s">
        <v>14</v>
      </c>
      <c r="U13" s="701">
        <f t="shared" si="1"/>
        <v>100</v>
      </c>
      <c r="V13" s="700" t="s">
        <v>14</v>
      </c>
      <c r="W13" s="701">
        <f t="shared" si="2"/>
        <v>100</v>
      </c>
      <c r="X13" s="702"/>
      <c r="Y13" s="3595"/>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697"/>
      <c r="Q14" s="1341">
        <f t="shared" si="6"/>
        <v>111</v>
      </c>
      <c r="R14" s="700" t="s">
        <v>14</v>
      </c>
      <c r="S14" s="701">
        <f t="shared" si="0"/>
        <v>100</v>
      </c>
      <c r="T14" s="700" t="s">
        <v>14</v>
      </c>
      <c r="U14" s="701">
        <f t="shared" si="1"/>
        <v>100</v>
      </c>
      <c r="V14" s="700" t="s">
        <v>14</v>
      </c>
      <c r="W14" s="701">
        <f t="shared" si="2"/>
        <v>100</v>
      </c>
      <c r="X14" s="702"/>
      <c r="Y14" s="3595"/>
      <c r="Z14" s="52">
        <f t="shared" si="7"/>
        <v>111</v>
      </c>
      <c r="AA14" s="703">
        <f>D14/F14</f>
        <v>1</v>
      </c>
      <c r="AB14" s="703">
        <f>D14/H14</f>
        <v>1</v>
      </c>
      <c r="AC14" s="703">
        <f>D14/J14</f>
        <v>1</v>
      </c>
    </row>
    <row r="15" spans="1:30" ht="15">
      <c r="A15" s="391" t="s">
        <v>1689</v>
      </c>
      <c r="B15" s="61" t="s">
        <v>1256</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704" t="s">
        <v>1690</v>
      </c>
      <c r="Q15" s="1350" t="str">
        <f t="shared" si="6"/>
        <v>居住社区成熟度</v>
      </c>
      <c r="R15" s="704" t="s">
        <v>14</v>
      </c>
      <c r="S15" s="705">
        <f t="shared" si="0"/>
        <v>100</v>
      </c>
      <c r="T15" s="704" t="s">
        <v>14</v>
      </c>
      <c r="U15" s="705">
        <f t="shared" si="1"/>
        <v>100</v>
      </c>
      <c r="V15" s="704" t="s">
        <v>14</v>
      </c>
      <c r="W15" s="705">
        <f t="shared" si="2"/>
        <v>100</v>
      </c>
      <c r="X15" s="1353"/>
      <c r="Y15" s="3704"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9"/>
      <c r="M16" s="2713"/>
      <c r="N16" s="2713"/>
      <c r="O16" s="2771"/>
      <c r="P16" s="3705"/>
      <c r="Q16" s="1350"/>
      <c r="R16" s="704"/>
      <c r="S16" s="705"/>
      <c r="T16" s="704"/>
      <c r="U16" s="705"/>
      <c r="V16" s="704"/>
      <c r="W16" s="705"/>
      <c r="X16" s="1353"/>
      <c r="Y16" s="3705"/>
      <c r="Z16" s="1354"/>
      <c r="AA16" s="1351">
        <v>1</v>
      </c>
      <c r="AB16" s="1351">
        <v>1</v>
      </c>
      <c r="AC16" s="1351">
        <v>1</v>
      </c>
    </row>
    <row r="17" spans="1:29" ht="85.5">
      <c r="A17" s="379"/>
      <c r="B17" s="402" t="s">
        <v>1776</v>
      </c>
      <c r="C17" s="1953" t="str">
        <f>估价对象房地状况!C16</f>
        <v>估价对象周边商业氛围成熟度一般，有新业广场等，人流量一般，商业繁华度一般</v>
      </c>
      <c r="D17" s="401">
        <v>100</v>
      </c>
      <c r="E17" s="403"/>
      <c r="F17" s="401">
        <f>SUMIF(89:89,E18,90:90)-SUMIF(89:89,C18,90:90)+100</f>
        <v>100</v>
      </c>
      <c r="G17" s="403"/>
      <c r="H17" s="406">
        <f>SUMIF(89:89,G18,90:90)-SUMIF(89:89,C18,90:90)+100</f>
        <v>100</v>
      </c>
      <c r="I17" s="405"/>
      <c r="J17" s="406">
        <f>SUMIF(89:89,I18,90:90)-SUMIF(89:89,C18,90:90)+100</f>
        <v>100</v>
      </c>
      <c r="K17" s="620"/>
      <c r="L17" s="2719"/>
      <c r="M17" s="2713"/>
      <c r="N17" s="2713"/>
      <c r="O17" s="2771"/>
      <c r="P17" s="3705"/>
      <c r="Q17" s="1350" t="str">
        <f>B17</f>
        <v>商业繁华度</v>
      </c>
      <c r="R17" s="704" t="s">
        <v>14</v>
      </c>
      <c r="S17" s="705">
        <f>F17</f>
        <v>100</v>
      </c>
      <c r="T17" s="704" t="s">
        <v>14</v>
      </c>
      <c r="U17" s="705">
        <f>H17</f>
        <v>100</v>
      </c>
      <c r="V17" s="704" t="s">
        <v>14</v>
      </c>
      <c r="W17" s="705">
        <f>J17</f>
        <v>100</v>
      </c>
      <c r="X17" s="1353"/>
      <c r="Y17" s="370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9"/>
      <c r="M18" s="2713"/>
      <c r="N18" s="2713"/>
      <c r="O18" s="2771"/>
      <c r="P18" s="3705"/>
      <c r="Q18" s="1350"/>
      <c r="R18" s="704"/>
      <c r="S18" s="705"/>
      <c r="T18" s="704"/>
      <c r="U18" s="705"/>
      <c r="V18" s="704"/>
      <c r="W18" s="705"/>
      <c r="X18" s="1353"/>
      <c r="Y18" s="3705"/>
      <c r="Z18" s="1354"/>
      <c r="AA18" s="1351">
        <v>1</v>
      </c>
      <c r="AB18" s="1351">
        <v>1</v>
      </c>
      <c r="AC18" s="1351">
        <v>1</v>
      </c>
    </row>
    <row r="19" spans="1:29" ht="15">
      <c r="A19" s="379"/>
      <c r="B19" s="402" t="s">
        <v>1810</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705"/>
      <c r="Q19" s="1350" t="str">
        <f>B19</f>
        <v>办公集聚程度</v>
      </c>
      <c r="R19" s="704" t="s">
        <v>14</v>
      </c>
      <c r="S19" s="705">
        <f>F19</f>
        <v>100</v>
      </c>
      <c r="T19" s="704" t="s">
        <v>14</v>
      </c>
      <c r="U19" s="705">
        <f>H19</f>
        <v>100</v>
      </c>
      <c r="V19" s="704" t="s">
        <v>14</v>
      </c>
      <c r="W19" s="705">
        <f>J19</f>
        <v>100</v>
      </c>
      <c r="X19" s="1353"/>
      <c r="Y19" s="370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9"/>
      <c r="M20" s="2713"/>
      <c r="N20" s="2713"/>
      <c r="O20" s="2771"/>
      <c r="P20" s="3705"/>
      <c r="Q20" s="1350"/>
      <c r="R20" s="704"/>
      <c r="S20" s="705"/>
      <c r="T20" s="704"/>
      <c r="U20" s="705"/>
      <c r="V20" s="704"/>
      <c r="W20" s="705"/>
      <c r="X20" s="1353"/>
      <c r="Y20" s="3705"/>
      <c r="Z20" s="1354"/>
      <c r="AA20" s="1351">
        <v>1</v>
      </c>
      <c r="AB20" s="1351">
        <v>1</v>
      </c>
      <c r="AC20" s="1351">
        <v>1</v>
      </c>
    </row>
    <row r="21" spans="1:29" ht="142.5">
      <c r="A21" s="379"/>
      <c r="B21" s="402" t="s">
        <v>1832</v>
      </c>
      <c r="C21" s="1898" t="str">
        <f>估价对象房地状况!C18</f>
        <v>估价对象周边道路状况较好、有300、368、652路等公交线路及地铁10号线经过，公共交通通达情况较好、停车便捷程度一般，综合评价交通便捷度较好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9"/>
      <c r="M21" s="2713"/>
      <c r="N21" s="2713"/>
      <c r="O21" s="2771"/>
      <c r="P21" s="3705"/>
      <c r="Q21" s="1350" t="str">
        <f>B21</f>
        <v>交通便捷度</v>
      </c>
      <c r="R21" s="704" t="s">
        <v>14</v>
      </c>
      <c r="S21" s="705">
        <f>F21</f>
        <v>100</v>
      </c>
      <c r="T21" s="704" t="s">
        <v>14</v>
      </c>
      <c r="U21" s="705">
        <f>H21</f>
        <v>100</v>
      </c>
      <c r="V21" s="704" t="s">
        <v>14</v>
      </c>
      <c r="W21" s="705">
        <f>J21</f>
        <v>100</v>
      </c>
      <c r="X21" s="1353"/>
      <c r="Y21" s="3705"/>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19"/>
      <c r="L22" s="2719"/>
      <c r="M22" s="2713"/>
      <c r="N22" s="2713"/>
      <c r="O22" s="2771"/>
      <c r="P22" s="3705"/>
      <c r="Q22" s="1350"/>
      <c r="R22" s="704"/>
      <c r="S22" s="705"/>
      <c r="T22" s="704"/>
      <c r="U22" s="705"/>
      <c r="V22" s="704"/>
      <c r="W22" s="705"/>
      <c r="X22" s="1353"/>
      <c r="Y22" s="3705"/>
      <c r="Z22" s="1354"/>
      <c r="AA22" s="1351">
        <v>1</v>
      </c>
      <c r="AB22" s="1351">
        <v>1</v>
      </c>
      <c r="AC22" s="1351">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9"/>
      <c r="M23" s="2713"/>
      <c r="N23" s="2713"/>
      <c r="O23" s="2771"/>
      <c r="P23" s="3705"/>
      <c r="Q23" s="1350" t="str">
        <f t="shared" ref="Q23:Q37" si="8">B23</f>
        <v>区域土地利用方向</v>
      </c>
      <c r="R23" s="704" t="s">
        <v>14</v>
      </c>
      <c r="S23" s="705">
        <f>F23</f>
        <v>100</v>
      </c>
      <c r="T23" s="704" t="s">
        <v>14</v>
      </c>
      <c r="U23" s="705">
        <f>H23</f>
        <v>100</v>
      </c>
      <c r="V23" s="704" t="s">
        <v>14</v>
      </c>
      <c r="W23" s="705">
        <f>J23</f>
        <v>100</v>
      </c>
      <c r="X23" s="1353"/>
      <c r="Y23" s="370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9"/>
      <c r="M24" s="2713"/>
      <c r="N24" s="2713"/>
      <c r="O24" s="2771"/>
      <c r="P24" s="3705"/>
      <c r="Q24" s="1350"/>
      <c r="R24" s="704"/>
      <c r="S24" s="705"/>
      <c r="T24" s="704"/>
      <c r="U24" s="705"/>
      <c r="V24" s="704"/>
      <c r="W24" s="705"/>
      <c r="X24" s="1353"/>
      <c r="Y24" s="3705"/>
      <c r="Z24" s="1354"/>
      <c r="AA24" s="1351"/>
      <c r="AB24" s="1351"/>
      <c r="AC24" s="1351"/>
    </row>
    <row r="25" spans="1:29" ht="99.75">
      <c r="A25" s="358"/>
      <c r="B25" s="1130" t="s">
        <v>1871</v>
      </c>
      <c r="C25" s="1953" t="str">
        <f>估价对象房地状况!C20</f>
        <v>区域自然环境：北京动物园、官园公园；人文环境：北京天文馆、北京建筑大学；综合评价环境状况邮编</v>
      </c>
      <c r="D25" s="401">
        <v>100</v>
      </c>
      <c r="E25" s="403"/>
      <c r="F25" s="401">
        <f>SUMIF(97:97,E26,98:98)-SUMIF(97:97,C26,98:98)+100</f>
        <v>100</v>
      </c>
      <c r="G25" s="403"/>
      <c r="H25" s="401">
        <f>SUMIF(97:97,G26,98:98)-SUMIF(97:97,C26,98:98)+100</f>
        <v>100</v>
      </c>
      <c r="I25" s="405"/>
      <c r="J25" s="401">
        <f>SUMIF(97:97,I26,98:98)-SUMIF(97:97,C26,98:98)+100</f>
        <v>100</v>
      </c>
      <c r="K25" s="620"/>
      <c r="L25" s="2719"/>
      <c r="M25" s="2713"/>
      <c r="N25" s="2713"/>
      <c r="O25" s="2771"/>
      <c r="P25" s="3705"/>
      <c r="Q25" s="1350" t="str">
        <f t="shared" si="8"/>
        <v>自然及人文环境状况</v>
      </c>
      <c r="R25" s="704" t="s">
        <v>14</v>
      </c>
      <c r="S25" s="705">
        <f>F25</f>
        <v>100</v>
      </c>
      <c r="T25" s="704" t="s">
        <v>14</v>
      </c>
      <c r="U25" s="705">
        <f>H25</f>
        <v>100</v>
      </c>
      <c r="V25" s="704" t="s">
        <v>14</v>
      </c>
      <c r="W25" s="705">
        <f>J25</f>
        <v>100</v>
      </c>
      <c r="X25" s="1353"/>
      <c r="Y25" s="370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9"/>
      <c r="M26" s="2713"/>
      <c r="N26" s="2713"/>
      <c r="O26" s="2771"/>
      <c r="P26" s="3705"/>
      <c r="Q26" s="1350"/>
      <c r="R26" s="704"/>
      <c r="S26" s="705"/>
      <c r="T26" s="704"/>
      <c r="U26" s="705"/>
      <c r="V26" s="704"/>
      <c r="W26" s="705"/>
      <c r="X26" s="1353"/>
      <c r="Y26" s="3705"/>
      <c r="Z26" s="1354"/>
      <c r="AA26" s="1351">
        <v>1</v>
      </c>
      <c r="AB26" s="1351">
        <v>1</v>
      </c>
      <c r="AC26" s="1351">
        <v>1</v>
      </c>
    </row>
    <row r="27" spans="1:29" s="108" customFormat="1" ht="42.75">
      <c r="A27" s="596"/>
      <c r="B27" s="1130" t="s">
        <v>1777</v>
      </c>
      <c r="C27" s="1898"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4"/>
      <c r="M27" s="2715"/>
      <c r="N27" s="2715"/>
      <c r="O27" s="2769"/>
      <c r="P27" s="3705"/>
      <c r="Q27" s="1341" t="str">
        <f t="shared" si="8"/>
        <v>公共配套设施</v>
      </c>
      <c r="R27" s="700" t="s">
        <v>14</v>
      </c>
      <c r="S27" s="701">
        <f>F27</f>
        <v>100</v>
      </c>
      <c r="T27" s="700" t="s">
        <v>14</v>
      </c>
      <c r="U27" s="701">
        <f>H27</f>
        <v>100</v>
      </c>
      <c r="V27" s="700" t="s">
        <v>14</v>
      </c>
      <c r="W27" s="701">
        <f>J27</f>
        <v>100</v>
      </c>
      <c r="X27" s="702"/>
      <c r="Y27" s="3705"/>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4"/>
      <c r="M28" s="2715"/>
      <c r="N28" s="2715"/>
      <c r="O28" s="2769"/>
      <c r="P28" s="3705"/>
      <c r="Q28" s="1341"/>
      <c r="R28" s="700"/>
      <c r="S28" s="701"/>
      <c r="T28" s="700"/>
      <c r="U28" s="701"/>
      <c r="V28" s="700"/>
      <c r="W28" s="701"/>
      <c r="X28" s="702"/>
      <c r="Y28" s="3705"/>
      <c r="Z28" s="52"/>
      <c r="AA28" s="1351">
        <v>1</v>
      </c>
      <c r="AB28" s="1351">
        <v>1</v>
      </c>
      <c r="AC28" s="1351">
        <v>1</v>
      </c>
    </row>
    <row r="29" spans="1:29" s="108" customFormat="1" ht="42.75">
      <c r="A29" s="596"/>
      <c r="B29" s="1130" t="s">
        <v>1778</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4"/>
      <c r="M29" s="2715"/>
      <c r="N29" s="2715"/>
      <c r="O29" s="2769"/>
      <c r="P29" s="3705"/>
      <c r="Q29" s="1341" t="str">
        <f t="shared" ref="Q29" si="9">B29</f>
        <v>基础设施水平</v>
      </c>
      <c r="R29" s="700" t="s">
        <v>14</v>
      </c>
      <c r="S29" s="701">
        <f>F29</f>
        <v>100</v>
      </c>
      <c r="T29" s="700" t="s">
        <v>14</v>
      </c>
      <c r="U29" s="701">
        <f>H29</f>
        <v>100</v>
      </c>
      <c r="V29" s="700" t="s">
        <v>14</v>
      </c>
      <c r="W29" s="701">
        <f>J29</f>
        <v>100</v>
      </c>
      <c r="X29" s="702"/>
      <c r="Y29" s="3705"/>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4"/>
      <c r="M30" s="2715"/>
      <c r="N30" s="2715"/>
      <c r="O30" s="2769"/>
      <c r="P30" s="3705"/>
      <c r="Q30" s="1341"/>
      <c r="R30" s="700"/>
      <c r="S30" s="701"/>
      <c r="T30" s="700"/>
      <c r="U30" s="701"/>
      <c r="V30" s="700"/>
      <c r="W30" s="701"/>
      <c r="X30" s="702"/>
      <c r="Y30" s="3705"/>
      <c r="Z30" s="52"/>
      <c r="AA30" s="1351">
        <v>1</v>
      </c>
      <c r="AB30" s="1351">
        <v>1</v>
      </c>
      <c r="AC30" s="1351">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705"/>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05"/>
      <c r="Z31" s="1354" t="str">
        <f t="shared" ref="Z31:Z45" si="13">Q31</f>
        <v>临街状况</v>
      </c>
      <c r="AA31" s="1351">
        <f t="shared" si="3"/>
        <v>1</v>
      </c>
      <c r="AB31" s="1351">
        <f t="shared" si="4"/>
        <v>1</v>
      </c>
      <c r="AC31" s="1351">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705"/>
      <c r="Q32" s="1350" t="str">
        <f t="shared" si="8"/>
        <v>毗邻道路的类型与等级</v>
      </c>
      <c r="R32" s="704" t="s">
        <v>14</v>
      </c>
      <c r="S32" s="705">
        <f t="shared" si="10"/>
        <v>100</v>
      </c>
      <c r="T32" s="704" t="s">
        <v>14</v>
      </c>
      <c r="U32" s="705">
        <f t="shared" si="11"/>
        <v>100</v>
      </c>
      <c r="V32" s="704" t="s">
        <v>14</v>
      </c>
      <c r="W32" s="705">
        <f t="shared" si="12"/>
        <v>100</v>
      </c>
      <c r="X32" s="1353"/>
      <c r="Y32" s="370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05"/>
      <c r="Q33" s="1350"/>
      <c r="R33" s="704"/>
      <c r="S33" s="705"/>
      <c r="T33" s="704"/>
      <c r="U33" s="705"/>
      <c r="V33" s="704"/>
      <c r="W33" s="705"/>
      <c r="X33" s="1353"/>
      <c r="Y33" s="3705"/>
      <c r="Z33" s="1354"/>
      <c r="AA33" s="1351">
        <v>1</v>
      </c>
      <c r="AB33" s="1351">
        <v>1</v>
      </c>
      <c r="AC33" s="1351">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705"/>
      <c r="Q34" s="1350" t="str">
        <f t="shared" si="8"/>
        <v>土地级别</v>
      </c>
      <c r="R34" s="704" t="s">
        <v>14</v>
      </c>
      <c r="S34" s="705">
        <f t="shared" si="10"/>
        <v>100</v>
      </c>
      <c r="T34" s="704" t="s">
        <v>14</v>
      </c>
      <c r="U34" s="705">
        <f t="shared" si="11"/>
        <v>100</v>
      </c>
      <c r="V34" s="704" t="s">
        <v>14</v>
      </c>
      <c r="W34" s="705">
        <f t="shared" si="12"/>
        <v>100</v>
      </c>
      <c r="X34" s="1353"/>
      <c r="Y34" s="3705"/>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705"/>
      <c r="Q35" s="1350">
        <f t="shared" si="8"/>
        <v>111</v>
      </c>
      <c r="R35" s="704" t="s">
        <v>14</v>
      </c>
      <c r="S35" s="705">
        <f t="shared" si="10"/>
        <v>100</v>
      </c>
      <c r="T35" s="704" t="s">
        <v>14</v>
      </c>
      <c r="U35" s="705">
        <f t="shared" si="11"/>
        <v>100</v>
      </c>
      <c r="V35" s="704" t="s">
        <v>14</v>
      </c>
      <c r="W35" s="705">
        <f t="shared" si="12"/>
        <v>100</v>
      </c>
      <c r="X35" s="1353"/>
      <c r="Y35" s="3705"/>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786" t="s">
        <v>1695</v>
      </c>
      <c r="Q36" s="1350">
        <f t="shared" si="8"/>
        <v>111</v>
      </c>
      <c r="R36" s="704" t="s">
        <v>14</v>
      </c>
      <c r="S36" s="705">
        <f t="shared" si="10"/>
        <v>100</v>
      </c>
      <c r="T36" s="704" t="s">
        <v>14</v>
      </c>
      <c r="U36" s="705">
        <f t="shared" si="11"/>
        <v>100</v>
      </c>
      <c r="V36" s="704" t="s">
        <v>14</v>
      </c>
      <c r="W36" s="705">
        <f t="shared" si="12"/>
        <v>100</v>
      </c>
      <c r="X36" s="1353"/>
      <c r="Y36" s="3709" t="s">
        <v>1695</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709"/>
      <c r="Q37" s="1350">
        <f t="shared" si="8"/>
        <v>111</v>
      </c>
      <c r="R37" s="707" t="s">
        <v>14</v>
      </c>
      <c r="S37" s="708">
        <f t="shared" si="10"/>
        <v>100</v>
      </c>
      <c r="T37" s="707" t="s">
        <v>14</v>
      </c>
      <c r="U37" s="708">
        <f t="shared" si="11"/>
        <v>100</v>
      </c>
      <c r="V37" s="707" t="s">
        <v>14</v>
      </c>
      <c r="W37" s="708">
        <f t="shared" si="12"/>
        <v>100</v>
      </c>
      <c r="X37" s="709"/>
      <c r="Y37" s="3709"/>
      <c r="Z37" s="710">
        <f t="shared" si="13"/>
        <v>111</v>
      </c>
      <c r="AA37" s="1351">
        <f t="shared" si="3"/>
        <v>1</v>
      </c>
      <c r="AB37" s="1351">
        <f t="shared" si="4"/>
        <v>1</v>
      </c>
      <c r="AC37" s="1351">
        <f t="shared" si="5"/>
        <v>1</v>
      </c>
    </row>
    <row r="38" spans="1:29" ht="15">
      <c r="A38" s="423" t="s">
        <v>1693</v>
      </c>
      <c r="B38" s="407" t="s">
        <v>1873</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9"/>
      <c r="M38" s="2713"/>
      <c r="N38" s="2713"/>
      <c r="O38" s="2771"/>
      <c r="P38" s="3709"/>
      <c r="Q38" s="1350" t="str">
        <f>B38</f>
        <v>宗地面积</v>
      </c>
      <c r="R38" s="704" t="s">
        <v>14</v>
      </c>
      <c r="S38" s="705" t="e">
        <f t="shared" si="10"/>
        <v>#N/A</v>
      </c>
      <c r="T38" s="704" t="s">
        <v>14</v>
      </c>
      <c r="U38" s="705" t="e">
        <f t="shared" si="11"/>
        <v>#N/A</v>
      </c>
      <c r="V38" s="704" t="s">
        <v>14</v>
      </c>
      <c r="W38" s="705" t="e">
        <f t="shared" si="12"/>
        <v>#N/A</v>
      </c>
      <c r="X38" s="1353"/>
      <c r="Y38" s="3709"/>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09"/>
      <c r="Q39" s="1350" t="str">
        <f t="shared" ref="Q39:Q45" si="14">B39</f>
        <v>宗地形状</v>
      </c>
      <c r="R39" s="704" t="s">
        <v>14</v>
      </c>
      <c r="S39" s="705">
        <f t="shared" si="10"/>
        <v>100</v>
      </c>
      <c r="T39" s="704" t="s">
        <v>14</v>
      </c>
      <c r="U39" s="705">
        <f t="shared" si="11"/>
        <v>100</v>
      </c>
      <c r="V39" s="704" t="s">
        <v>14</v>
      </c>
      <c r="W39" s="705">
        <f t="shared" si="12"/>
        <v>100</v>
      </c>
      <c r="X39" s="1353"/>
      <c r="Y39" s="3709"/>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09"/>
      <c r="Q40" s="1350" t="str">
        <f t="shared" si="14"/>
        <v>临街宽度及深度</v>
      </c>
      <c r="R40" s="704" t="s">
        <v>14</v>
      </c>
      <c r="S40" s="705">
        <f t="shared" si="10"/>
        <v>100</v>
      </c>
      <c r="T40" s="704" t="s">
        <v>14</v>
      </c>
      <c r="U40" s="705">
        <f t="shared" si="11"/>
        <v>100</v>
      </c>
      <c r="V40" s="704" t="s">
        <v>14</v>
      </c>
      <c r="W40" s="705">
        <f t="shared" si="12"/>
        <v>100</v>
      </c>
      <c r="X40" s="1353"/>
      <c r="Y40" s="3709"/>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09"/>
      <c r="Q41" s="1350" t="str">
        <f t="shared" si="14"/>
        <v>宗地开发程度</v>
      </c>
      <c r="R41" s="700" t="s">
        <v>14</v>
      </c>
      <c r="S41" s="701">
        <f t="shared" si="10"/>
        <v>100</v>
      </c>
      <c r="T41" s="700" t="s">
        <v>14</v>
      </c>
      <c r="U41" s="701">
        <f t="shared" si="11"/>
        <v>100</v>
      </c>
      <c r="V41" s="700" t="s">
        <v>14</v>
      </c>
      <c r="W41" s="701">
        <f t="shared" si="12"/>
        <v>100</v>
      </c>
      <c r="X41" s="702"/>
      <c r="Y41" s="3709"/>
      <c r="Z41" s="52" t="str">
        <f t="shared" si="13"/>
        <v>宗地开发程度</v>
      </c>
      <c r="AA41" s="703">
        <f t="shared" si="3"/>
        <v>1</v>
      </c>
      <c r="AB41" s="703">
        <f t="shared" si="4"/>
        <v>1</v>
      </c>
      <c r="AC41" s="703">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09" t="s">
        <v>1695</v>
      </c>
      <c r="Q42" s="1350" t="str">
        <f t="shared" si="14"/>
        <v>工程地质条件</v>
      </c>
      <c r="R42" s="704" t="s">
        <v>14</v>
      </c>
      <c r="S42" s="705">
        <f t="shared" si="10"/>
        <v>100</v>
      </c>
      <c r="T42" s="704" t="s">
        <v>14</v>
      </c>
      <c r="U42" s="705">
        <f t="shared" si="11"/>
        <v>100</v>
      </c>
      <c r="V42" s="704" t="s">
        <v>14</v>
      </c>
      <c r="W42" s="705">
        <f t="shared" si="12"/>
        <v>100</v>
      </c>
      <c r="X42" s="1353"/>
      <c r="Y42" s="3709" t="s">
        <v>1695</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709"/>
      <c r="Q43" s="1350">
        <f t="shared" si="14"/>
        <v>111</v>
      </c>
      <c r="R43" s="704" t="s">
        <v>14</v>
      </c>
      <c r="S43" s="705">
        <f t="shared" si="10"/>
        <v>100</v>
      </c>
      <c r="T43" s="704" t="s">
        <v>14</v>
      </c>
      <c r="U43" s="705">
        <f t="shared" si="11"/>
        <v>100</v>
      </c>
      <c r="V43" s="704" t="s">
        <v>14</v>
      </c>
      <c r="W43" s="705">
        <f t="shared" si="12"/>
        <v>100</v>
      </c>
      <c r="X43" s="1353"/>
      <c r="Y43" s="3709"/>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709"/>
      <c r="Q44" s="1350">
        <f t="shared" si="14"/>
        <v>111</v>
      </c>
      <c r="R44" s="704" t="s">
        <v>14</v>
      </c>
      <c r="S44" s="705">
        <f t="shared" si="10"/>
        <v>100</v>
      </c>
      <c r="T44" s="704" t="s">
        <v>14</v>
      </c>
      <c r="U44" s="705">
        <f t="shared" si="11"/>
        <v>100</v>
      </c>
      <c r="V44" s="704" t="s">
        <v>14</v>
      </c>
      <c r="W44" s="705">
        <f t="shared" si="12"/>
        <v>100</v>
      </c>
      <c r="X44" s="1353"/>
      <c r="Y44" s="3709"/>
      <c r="Z44" s="1354">
        <f t="shared" si="13"/>
        <v>111</v>
      </c>
      <c r="AA44" s="1351">
        <f t="shared" si="3"/>
        <v>1</v>
      </c>
      <c r="AB44" s="1351">
        <f t="shared" si="4"/>
        <v>1</v>
      </c>
      <c r="AC44" s="1351">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709"/>
      <c r="Q45" s="1350">
        <f t="shared" si="14"/>
        <v>111</v>
      </c>
      <c r="R45" s="707" t="s">
        <v>14</v>
      </c>
      <c r="S45" s="708">
        <f t="shared" si="10"/>
        <v>100</v>
      </c>
      <c r="T45" s="707" t="s">
        <v>14</v>
      </c>
      <c r="U45" s="708">
        <f t="shared" si="11"/>
        <v>100</v>
      </c>
      <c r="V45" s="707" t="s">
        <v>14</v>
      </c>
      <c r="W45" s="708">
        <f t="shared" si="12"/>
        <v>100</v>
      </c>
      <c r="X45" s="709"/>
      <c r="Y45" s="3709"/>
      <c r="Z45" s="710">
        <f t="shared" si="13"/>
        <v>111</v>
      </c>
      <c r="AA45" s="1351">
        <f t="shared" si="3"/>
        <v>1</v>
      </c>
      <c r="AB45" s="1351">
        <f t="shared" si="4"/>
        <v>1</v>
      </c>
      <c r="AC45" s="1351">
        <f t="shared" si="5"/>
        <v>1</v>
      </c>
    </row>
    <row r="46" spans="1:29" ht="15">
      <c r="A46" s="430" t="s">
        <v>1843</v>
      </c>
      <c r="B46" s="1980" t="s">
        <v>1878</v>
      </c>
      <c r="C46" s="629" t="s">
        <v>0</v>
      </c>
      <c r="D46" s="432"/>
      <c r="E46" s="433"/>
      <c r="F46" s="434"/>
      <c r="G46" s="435"/>
      <c r="H46" s="436"/>
      <c r="I46" s="433"/>
      <c r="J46" s="436"/>
      <c r="K46" s="713"/>
      <c r="L46" s="2721"/>
      <c r="M46" s="2722"/>
      <c r="N46" s="2713"/>
      <c r="O46" s="2722"/>
      <c r="P46" s="3697" t="str">
        <f>A46</f>
        <v>成交单价</v>
      </c>
      <c r="Q46" s="3697"/>
      <c r="R46" s="3731">
        <f>E46</f>
        <v>0</v>
      </c>
      <c r="S46" s="3731"/>
      <c r="T46" s="3731">
        <f>G46</f>
        <v>0</v>
      </c>
      <c r="U46" s="3731"/>
      <c r="V46" s="3731">
        <f>I46</f>
        <v>0</v>
      </c>
      <c r="W46" s="3731"/>
      <c r="X46" s="689"/>
      <c r="Y46" s="711"/>
      <c r="Z46" s="689"/>
      <c r="AA46" s="689"/>
      <c r="AB46" s="689"/>
      <c r="AC46" s="689"/>
    </row>
    <row r="47" spans="1:29" ht="15.75" thickBot="1">
      <c r="A47" s="437" t="s">
        <v>1792</v>
      </c>
      <c r="B47" s="630"/>
      <c r="C47" s="440" t="e">
        <f>R48</f>
        <v>#DIV/0!</v>
      </c>
      <c r="D47" s="2315" t="s">
        <v>2133</v>
      </c>
      <c r="E47" s="440" t="e">
        <f>R47</f>
        <v>#DIV/0!</v>
      </c>
      <c r="F47" s="2316"/>
      <c r="G47" s="439" t="e">
        <f>T47</f>
        <v>#DIV/0!</v>
      </c>
      <c r="H47" s="2316"/>
      <c r="I47" s="440" t="e">
        <f>V47</f>
        <v>#DIV/0!</v>
      </c>
      <c r="J47" s="2316"/>
      <c r="K47" s="2318">
        <f>F47+H47+J47</f>
        <v>0</v>
      </c>
      <c r="L47" s="2721"/>
      <c r="M47" s="2722"/>
      <c r="N47" s="2722"/>
      <c r="O47" s="2722"/>
      <c r="P47" s="3697" t="str">
        <f>A47</f>
        <v>比较价值（元/平方米）</v>
      </c>
      <c r="Q47" s="3697"/>
      <c r="R47" s="3788" t="e">
        <f>ROUND(PRODUCT(R46,AA7:AA45),0)</f>
        <v>#DIV/0!</v>
      </c>
      <c r="S47" s="3788"/>
      <c r="T47" s="3788" t="e">
        <f>ROUND(PRODUCT(T46,AB7:AB45),0)</f>
        <v>#DIV/0!</v>
      </c>
      <c r="U47" s="3788"/>
      <c r="V47" s="3788" t="e">
        <f>ROUND(PRODUCT(V46,AC7:AC45),0)</f>
        <v>#DIV/0!</v>
      </c>
      <c r="W47" s="3788"/>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1"/>
      <c r="M48" s="2722"/>
      <c r="N48" s="2722"/>
      <c r="O48" s="2722"/>
      <c r="P48" s="3753" t="str">
        <f>A48</f>
        <v>估价对象XX用房的比较价值（楼面单价，元/平方米）</v>
      </c>
      <c r="Q48" s="3754"/>
      <c r="R48" s="3789" t="e">
        <f>ROUND(IF(D47="简单平均",AVERAGE(R47:W47),R47*F47+T47*H47+V47*J47),0)</f>
        <v>#DIV/0!</v>
      </c>
      <c r="S48" s="3789"/>
      <c r="T48" s="3789"/>
      <c r="U48" s="3789"/>
      <c r="V48" s="3789"/>
      <c r="W48" s="3789"/>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1880</v>
      </c>
      <c r="B55" s="632" t="s">
        <v>1881</v>
      </c>
      <c r="C55" s="1981" t="s">
        <v>1882</v>
      </c>
      <c r="D55" s="1982" t="s">
        <v>1883</v>
      </c>
      <c r="E55" s="633" t="s">
        <v>1884</v>
      </c>
      <c r="F55" s="889" t="s">
        <v>1885</v>
      </c>
      <c r="G55" s="3714" t="s">
        <v>1886</v>
      </c>
      <c r="H55" s="3790"/>
      <c r="I55" s="135" t="s">
        <v>1887</v>
      </c>
      <c r="J55" s="1983">
        <f>项目基本情况!F35</f>
        <v>0</v>
      </c>
      <c r="K55" s="1984" t="s">
        <v>1888</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1889</v>
      </c>
      <c r="B56" s="636" t="e">
        <f>C48</f>
        <v>#DIV/0!</v>
      </c>
      <c r="C56" s="637">
        <v>1</v>
      </c>
      <c r="D56" s="943">
        <v>1</v>
      </c>
      <c r="E56" s="637">
        <f>'数据-汇总表'!E8+'数据-汇总表'!E9</f>
        <v>125.74</v>
      </c>
      <c r="F56" s="885" t="e">
        <f t="shared" ref="F56:F64" si="15">ROUND(B56*E56/10000,0)</f>
        <v>#DIV/0!</v>
      </c>
      <c r="G56" s="3696"/>
      <c r="H56" s="3697"/>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1890</v>
      </c>
      <c r="B57" s="218" t="e">
        <f>ROUND($C$48*C57*D57,0)</f>
        <v>#DIV/0!</v>
      </c>
      <c r="C57" s="171">
        <f t="shared" ref="C57:C64" si="16">IF($C$55="北京市系数",I57,J57)</f>
        <v>0</v>
      </c>
      <c r="D57" s="944">
        <v>0.25</v>
      </c>
      <c r="E57" s="641"/>
      <c r="F57" s="885" t="e">
        <f t="shared" si="15"/>
        <v>#DIV/0!</v>
      </c>
      <c r="G57" s="3003" t="s">
        <v>1891</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1892</v>
      </c>
      <c r="B58" s="218" t="e">
        <f t="shared" ref="B58:B64" si="17">ROUND($C$48*C58*D58,0)</f>
        <v>#DIV/0!</v>
      </c>
      <c r="C58" s="171">
        <f t="shared" si="16"/>
        <v>0</v>
      </c>
      <c r="D58" s="944">
        <v>0.25</v>
      </c>
      <c r="E58" s="641"/>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1893</v>
      </c>
      <c r="B59" s="218" t="e">
        <f t="shared" si="17"/>
        <v>#DIV/0!</v>
      </c>
      <c r="C59" s="171">
        <f t="shared" si="16"/>
        <v>0</v>
      </c>
      <c r="D59" s="944">
        <v>0.25</v>
      </c>
      <c r="E59" s="641"/>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1894</v>
      </c>
      <c r="B60" s="218" t="e">
        <f t="shared" si="17"/>
        <v>#DIV/0!</v>
      </c>
      <c r="C60" s="171">
        <f t="shared" si="16"/>
        <v>0</v>
      </c>
      <c r="D60" s="944">
        <v>0.25</v>
      </c>
      <c r="E60" s="217">
        <f>'数据-汇总表'!E11</f>
        <v>0</v>
      </c>
      <c r="F60" s="885" t="e">
        <f t="shared" si="15"/>
        <v>#DIV/0!</v>
      </c>
      <c r="G60" s="1985" t="s">
        <v>1895</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1896</v>
      </c>
      <c r="B61" s="218" t="e">
        <f t="shared" si="17"/>
        <v>#DIV/0!</v>
      </c>
      <c r="C61" s="171">
        <f t="shared" si="16"/>
        <v>0</v>
      </c>
      <c r="D61" s="944">
        <v>0.25</v>
      </c>
      <c r="E61" s="217">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1900</v>
      </c>
      <c r="B63" s="218" t="e">
        <f t="shared" si="17"/>
        <v>#DIV/0!</v>
      </c>
      <c r="C63" s="171">
        <f t="shared" si="16"/>
        <v>0</v>
      </c>
      <c r="D63" s="944">
        <v>0.25</v>
      </c>
      <c r="E63" s="217">
        <f>'数据-汇总表'!E14</f>
        <v>0</v>
      </c>
      <c r="F63" s="885" t="e">
        <f t="shared" si="15"/>
        <v>#DIV/0!</v>
      </c>
      <c r="G63" s="1985" t="s">
        <v>1891</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1901</v>
      </c>
      <c r="B64" s="218" t="e">
        <f t="shared" si="17"/>
        <v>#DIV/0!</v>
      </c>
      <c r="C64" s="171">
        <f t="shared" si="16"/>
        <v>0</v>
      </c>
      <c r="D64" s="944">
        <v>0.25</v>
      </c>
      <c r="E64" s="217">
        <f>'数据-汇总表'!E15</f>
        <v>0</v>
      </c>
      <c r="F64" s="885" t="e">
        <f t="shared" si="15"/>
        <v>#DIV/0!</v>
      </c>
      <c r="G64" s="1986" t="s">
        <v>1895</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1902</v>
      </c>
      <c r="B65" s="643" t="s">
        <v>22</v>
      </c>
      <c r="C65" s="643" t="s">
        <v>23</v>
      </c>
      <c r="D65" s="643" t="s">
        <v>392</v>
      </c>
      <c r="E65" s="643">
        <f>IF(B46="楼面地价",SUM(E56:E64),'数据-汇总表'!D3)</f>
        <v>125.74</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2"/>
      <c r="Q67" s="2722"/>
      <c r="R67" s="2722"/>
      <c r="S67" s="2722"/>
      <c r="T67" s="2722"/>
      <c r="U67" s="2722"/>
      <c r="V67" s="2722"/>
      <c r="W67" s="2722"/>
      <c r="X67" s="2722"/>
      <c r="Y67" s="2722"/>
      <c r="Z67" s="2722"/>
      <c r="AA67" s="2722"/>
      <c r="AB67" s="2722"/>
      <c r="AC67" s="2722"/>
    </row>
    <row r="68" spans="1:29" ht="21.75" thickBot="1">
      <c r="A68" s="693" t="s">
        <v>1797</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7" t="s">
        <v>1903</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3"/>
      <c r="Q69" s="2738"/>
      <c r="R69" s="2738"/>
      <c r="S69" s="2738"/>
      <c r="T69" s="2738"/>
      <c r="U69" s="2738"/>
      <c r="V69" s="2738"/>
      <c r="W69" s="2738"/>
      <c r="X69" s="2738"/>
      <c r="Y69" s="2738"/>
      <c r="Z69" s="2738"/>
      <c r="AA69" s="2738"/>
      <c r="AB69" s="2738"/>
      <c r="AC69" s="2738"/>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66" priority="18" stopIfTrue="1" operator="containsText" text="超过">
      <formula>NOT(ISERROR(SEARCH("超过",F51)))</formula>
    </cfRule>
  </conditionalFormatting>
  <conditionalFormatting sqref="J53">
    <cfRule type="containsText" dxfId="65" priority="17" stopIfTrue="1" operator="containsText" text="超过">
      <formula>NOT(ISERROR(SEARCH("超过",J53)))</formula>
    </cfRule>
  </conditionalFormatting>
  <conditionalFormatting sqref="H53">
    <cfRule type="containsText" dxfId="64" priority="16" stopIfTrue="1" operator="containsText" text="超过">
      <formula>NOT(ISERROR(SEARCH("超过",H53)))</formula>
    </cfRule>
  </conditionalFormatting>
  <conditionalFormatting sqref="F53">
    <cfRule type="containsText" dxfId="63" priority="15" stopIfTrue="1" operator="containsText" text="超过">
      <formula>NOT(ISERROR(SEARCH("超过",F53)))</formula>
    </cfRule>
  </conditionalFormatting>
  <conditionalFormatting sqref="F52 H52 J52">
    <cfRule type="containsText" dxfId="62" priority="14" stopIfTrue="1" operator="containsText" text="超过">
      <formula>NOT(ISERROR(SEARCH("超过",F52)))</formula>
    </cfRule>
  </conditionalFormatting>
  <conditionalFormatting sqref="E51">
    <cfRule type="expression" dxfId="61" priority="13" stopIfTrue="1">
      <formula>$F$51="超过30%"</formula>
    </cfRule>
  </conditionalFormatting>
  <conditionalFormatting sqref="G53">
    <cfRule type="expression" dxfId="60" priority="12" stopIfTrue="1">
      <formula>$H$53="超过30%"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F7:F45 H7:H45 J7:J45">
    <cfRule type="cellIs" dxfId="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1768</v>
      </c>
      <c r="B4" s="356"/>
      <c r="C4" s="3714" t="s">
        <v>1769</v>
      </c>
      <c r="D4" s="3715"/>
      <c r="E4" s="3716" t="s">
        <v>1770</v>
      </c>
      <c r="F4" s="3717"/>
      <c r="G4" s="3714" t="s">
        <v>1771</v>
      </c>
      <c r="H4" s="3715"/>
      <c r="I4" s="3714" t="s">
        <v>1772</v>
      </c>
      <c r="J4" s="3715"/>
      <c r="K4" s="559" t="s">
        <v>1773</v>
      </c>
      <c r="L4" s="2712"/>
      <c r="M4" s="2713"/>
      <c r="N4" s="2713"/>
      <c r="O4" s="2713"/>
      <c r="P4" s="3757" t="s">
        <v>1774</v>
      </c>
      <c r="Q4" s="3758"/>
      <c r="R4" s="3761" t="s">
        <v>1770</v>
      </c>
      <c r="S4" s="3762"/>
      <c r="T4" s="3761" t="s">
        <v>1771</v>
      </c>
      <c r="U4" s="3762"/>
      <c r="V4" s="3731" t="s">
        <v>1772</v>
      </c>
      <c r="W4" s="3731"/>
      <c r="X4" s="1353"/>
      <c r="Y4" s="3761" t="s">
        <v>1774</v>
      </c>
      <c r="Z4" s="3762"/>
      <c r="AA4" s="3756" t="s">
        <v>1770</v>
      </c>
      <c r="AB4" s="3745" t="s">
        <v>1771</v>
      </c>
      <c r="AC4" s="3756" t="s">
        <v>1772</v>
      </c>
    </row>
    <row r="5" spans="1:29" ht="15">
      <c r="A5" s="358"/>
      <c r="B5" s="359"/>
      <c r="C5" s="3740" t="s">
        <v>1672</v>
      </c>
      <c r="D5" s="3741"/>
      <c r="E5" s="3785" t="s">
        <v>1673</v>
      </c>
      <c r="F5" s="3735"/>
      <c r="G5" s="3740" t="s">
        <v>1674</v>
      </c>
      <c r="H5" s="3741"/>
      <c r="I5" s="3740" t="s">
        <v>1675</v>
      </c>
      <c r="J5" s="3741"/>
      <c r="K5" s="559"/>
      <c r="L5" s="2712"/>
      <c r="M5" s="2713"/>
      <c r="N5" s="2713"/>
      <c r="O5" s="2713"/>
      <c r="P5" s="3759"/>
      <c r="Q5" s="3721"/>
      <c r="R5" s="3726"/>
      <c r="S5" s="3727"/>
      <c r="T5" s="3726"/>
      <c r="U5" s="3727"/>
      <c r="V5" s="3731"/>
      <c r="W5" s="3731"/>
      <c r="X5" s="1353"/>
      <c r="Y5" s="3726"/>
      <c r="Z5" s="3727"/>
      <c r="AA5" s="3745"/>
      <c r="AB5" s="3745"/>
      <c r="AC5" s="3745"/>
    </row>
    <row r="6" spans="1:29" ht="15.75" thickBot="1">
      <c r="A6" s="360"/>
      <c r="B6" s="361"/>
      <c r="C6" s="3791" t="s">
        <v>1918</v>
      </c>
      <c r="D6" s="3792"/>
      <c r="E6" s="3793" t="s">
        <v>1918</v>
      </c>
      <c r="F6" s="3794"/>
      <c r="G6" s="3791" t="s">
        <v>1918</v>
      </c>
      <c r="H6" s="3792"/>
      <c r="I6" s="3791" t="s">
        <v>1918</v>
      </c>
      <c r="J6" s="3792"/>
      <c r="K6" s="559" t="s">
        <v>1677</v>
      </c>
      <c r="L6" s="2712"/>
      <c r="M6" s="2713"/>
      <c r="N6" s="2713"/>
      <c r="O6" s="2713"/>
      <c r="P6" s="3760"/>
      <c r="Q6" s="3723"/>
      <c r="R6" s="3726"/>
      <c r="S6" s="3727"/>
      <c r="T6" s="3728"/>
      <c r="U6" s="3729"/>
      <c r="V6" s="3731"/>
      <c r="W6" s="3731"/>
      <c r="X6" s="1353"/>
      <c r="Y6" s="3728"/>
      <c r="Z6" s="3729"/>
      <c r="AA6" s="3746"/>
      <c r="AB6" s="3746"/>
      <c r="AC6" s="3746"/>
    </row>
    <row r="7" spans="1:29" s="108" customFormat="1" ht="15.75" thickBot="1">
      <c r="A7" s="362" t="s">
        <v>1678</v>
      </c>
      <c r="B7" s="363"/>
      <c r="C7" s="364">
        <f>'数据-取费表'!B2</f>
        <v>45210</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38" t="s">
        <v>1679</v>
      </c>
      <c r="Q7" s="3739"/>
      <c r="R7" s="700" t="s">
        <v>14</v>
      </c>
      <c r="S7" s="701">
        <f t="shared" ref="S7:S15" si="0">F7</f>
        <v>0</v>
      </c>
      <c r="T7" s="700" t="s">
        <v>14</v>
      </c>
      <c r="U7" s="701">
        <f t="shared" ref="U7:U15" si="1">H7</f>
        <v>0</v>
      </c>
      <c r="V7" s="700" t="s">
        <v>14</v>
      </c>
      <c r="W7" s="701">
        <f t="shared" ref="W7:W15" si="2">J7</f>
        <v>0</v>
      </c>
      <c r="X7" s="702"/>
      <c r="Y7" s="3738" t="s">
        <v>1679</v>
      </c>
      <c r="Z7" s="3737"/>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8" t="s">
        <v>1682</v>
      </c>
      <c r="Q8" s="3737"/>
      <c r="R8" s="700" t="s">
        <v>14</v>
      </c>
      <c r="S8" s="701">
        <f t="shared" si="0"/>
        <v>0</v>
      </c>
      <c r="T8" s="700" t="s">
        <v>14</v>
      </c>
      <c r="U8" s="701">
        <f t="shared" si="1"/>
        <v>0</v>
      </c>
      <c r="V8" s="700" t="s">
        <v>14</v>
      </c>
      <c r="W8" s="701">
        <f t="shared" si="2"/>
        <v>0</v>
      </c>
      <c r="X8" s="702"/>
      <c r="Y8" s="3738" t="s">
        <v>1682</v>
      </c>
      <c r="Z8" s="3737"/>
      <c r="AA8" s="703" t="e">
        <f t="shared" ref="AA8:AA40" si="3">D8/F8</f>
        <v>#DIV/0!</v>
      </c>
      <c r="AB8" s="703" t="e">
        <f t="shared" ref="AB8:AB40" si="4">D8/H8</f>
        <v>#DIV/0!</v>
      </c>
      <c r="AC8" s="703"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697" t="s">
        <v>1685</v>
      </c>
      <c r="Q9" s="1341" t="str">
        <f t="shared" ref="Q9:Q15" si="6">B9</f>
        <v>用途</v>
      </c>
      <c r="R9" s="700" t="s">
        <v>14</v>
      </c>
      <c r="S9" s="701">
        <f t="shared" si="0"/>
        <v>100</v>
      </c>
      <c r="T9" s="700" t="s">
        <v>14</v>
      </c>
      <c r="U9" s="701">
        <f t="shared" si="1"/>
        <v>100</v>
      </c>
      <c r="V9" s="700" t="s">
        <v>14</v>
      </c>
      <c r="W9" s="701">
        <f t="shared" si="2"/>
        <v>100</v>
      </c>
      <c r="X9" s="702"/>
      <c r="Y9" s="3595"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110</v>
      </c>
      <c r="G10" s="383"/>
      <c r="H10" s="127">
        <f>ROUND(100/'数据-取费表'!G16,0)</f>
        <v>110</v>
      </c>
      <c r="I10" s="383"/>
      <c r="J10" s="127">
        <f>ROUND(100/'数据-取费表'!G16,0)</f>
        <v>110</v>
      </c>
      <c r="K10" s="619"/>
      <c r="L10" s="2716"/>
      <c r="M10" s="2717"/>
      <c r="N10" s="2717"/>
      <c r="O10" s="2770"/>
      <c r="P10" s="3697"/>
      <c r="Q10" s="1341" t="str">
        <f t="shared" si="6"/>
        <v>土地使用年限（年）</v>
      </c>
      <c r="R10" s="700" t="s">
        <v>14</v>
      </c>
      <c r="S10" s="701">
        <f t="shared" si="0"/>
        <v>110</v>
      </c>
      <c r="T10" s="700" t="s">
        <v>14</v>
      </c>
      <c r="U10" s="701">
        <f t="shared" si="1"/>
        <v>110</v>
      </c>
      <c r="V10" s="700" t="s">
        <v>14</v>
      </c>
      <c r="W10" s="701">
        <f t="shared" si="2"/>
        <v>110</v>
      </c>
      <c r="X10" s="702"/>
      <c r="Y10" s="3595"/>
      <c r="Z10" s="52" t="str">
        <f t="shared" si="7"/>
        <v>土地使用年限（年）</v>
      </c>
      <c r="AA10" s="703">
        <f t="shared" si="3"/>
        <v>0.90909090909090906</v>
      </c>
      <c r="AB10" s="703">
        <f t="shared" si="4"/>
        <v>0.90909090909090906</v>
      </c>
      <c r="AC10" s="703">
        <f t="shared" si="5"/>
        <v>0.90909090909090906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8"/>
      <c r="M11" s="2713"/>
      <c r="N11" s="2713"/>
      <c r="O11" s="2771"/>
      <c r="P11" s="3697"/>
      <c r="Q11" s="1341" t="str">
        <f t="shared" si="6"/>
        <v>容积率</v>
      </c>
      <c r="R11" s="700" t="s">
        <v>14</v>
      </c>
      <c r="S11" s="701" t="e">
        <f t="shared" si="0"/>
        <v>#N/A</v>
      </c>
      <c r="T11" s="700" t="s">
        <v>14</v>
      </c>
      <c r="U11" s="701" t="e">
        <f t="shared" si="1"/>
        <v>#N/A</v>
      </c>
      <c r="V11" s="700" t="s">
        <v>14</v>
      </c>
      <c r="W11" s="701" t="e">
        <f t="shared" si="2"/>
        <v>#N/A</v>
      </c>
      <c r="X11" s="702"/>
      <c r="Y11" s="3595"/>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697"/>
      <c r="Q12" s="1341">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697"/>
      <c r="Q13" s="1341">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697"/>
      <c r="Q14" s="1341">
        <f t="shared" si="6"/>
        <v>111</v>
      </c>
      <c r="R14" s="700" t="s">
        <v>14</v>
      </c>
      <c r="S14" s="701">
        <f t="shared" si="0"/>
        <v>100</v>
      </c>
      <c r="T14" s="700" t="s">
        <v>14</v>
      </c>
      <c r="U14" s="701">
        <f t="shared" si="1"/>
        <v>100</v>
      </c>
      <c r="V14" s="700" t="s">
        <v>14</v>
      </c>
      <c r="W14" s="701">
        <f t="shared" si="2"/>
        <v>100</v>
      </c>
      <c r="X14" s="702"/>
      <c r="Y14" s="3595"/>
      <c r="Z14" s="52">
        <f t="shared" si="7"/>
        <v>111</v>
      </c>
      <c r="AA14" s="703">
        <f t="shared" si="3"/>
        <v>1</v>
      </c>
      <c r="AB14" s="703">
        <f t="shared" si="4"/>
        <v>1</v>
      </c>
      <c r="AC14" s="703">
        <f t="shared" si="5"/>
        <v>1</v>
      </c>
    </row>
    <row r="15" spans="1:29" ht="57">
      <c r="A15" s="391" t="s">
        <v>1689</v>
      </c>
      <c r="B15" s="576"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9"/>
      <c r="M15" s="2713"/>
      <c r="N15" s="2713"/>
      <c r="O15" s="2771"/>
      <c r="P15" s="3704" t="s">
        <v>1690</v>
      </c>
      <c r="Q15" s="1350" t="str">
        <f t="shared" si="6"/>
        <v>产业集聚程度</v>
      </c>
      <c r="R15" s="704" t="s">
        <v>14</v>
      </c>
      <c r="S15" s="705">
        <f t="shared" si="0"/>
        <v>100</v>
      </c>
      <c r="T15" s="704" t="s">
        <v>14</v>
      </c>
      <c r="U15" s="705">
        <f t="shared" si="1"/>
        <v>100</v>
      </c>
      <c r="V15" s="704" t="s">
        <v>14</v>
      </c>
      <c r="W15" s="705">
        <f t="shared" si="2"/>
        <v>100</v>
      </c>
      <c r="X15" s="1353"/>
      <c r="Y15" s="3704" t="s">
        <v>1690</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9"/>
      <c r="M16" s="2713"/>
      <c r="N16" s="2713"/>
      <c r="O16" s="2771"/>
      <c r="P16" s="3705"/>
      <c r="Q16" s="1350"/>
      <c r="R16" s="704"/>
      <c r="S16" s="705"/>
      <c r="T16" s="704"/>
      <c r="U16" s="705"/>
      <c r="V16" s="704"/>
      <c r="W16" s="705"/>
      <c r="X16" s="1353"/>
      <c r="Y16" s="3705"/>
      <c r="Z16" s="1354"/>
      <c r="AA16" s="1351">
        <v>1</v>
      </c>
      <c r="AB16" s="1351">
        <v>1</v>
      </c>
      <c r="AC16" s="1351">
        <v>1</v>
      </c>
    </row>
    <row r="17" spans="1:29" ht="85.5">
      <c r="A17" s="379"/>
      <c r="B17" s="578"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9"/>
      <c r="M17" s="2713"/>
      <c r="N17" s="2713"/>
      <c r="O17" s="2771"/>
      <c r="P17" s="3705"/>
      <c r="Q17" s="1350" t="str">
        <f>B17</f>
        <v>交通便捷度</v>
      </c>
      <c r="R17" s="704" t="s">
        <v>14</v>
      </c>
      <c r="S17" s="705">
        <f>F17</f>
        <v>100</v>
      </c>
      <c r="T17" s="704" t="s">
        <v>14</v>
      </c>
      <c r="U17" s="705">
        <f>H17</f>
        <v>100</v>
      </c>
      <c r="V17" s="704" t="s">
        <v>14</v>
      </c>
      <c r="W17" s="705">
        <f>J17</f>
        <v>100</v>
      </c>
      <c r="X17" s="1353"/>
      <c r="Y17" s="3705"/>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9"/>
      <c r="M18" s="2713"/>
      <c r="N18" s="2713"/>
      <c r="O18" s="2771"/>
      <c r="P18" s="3705"/>
      <c r="Q18" s="1350"/>
      <c r="R18" s="704"/>
      <c r="S18" s="705"/>
      <c r="T18" s="704"/>
      <c r="U18" s="705"/>
      <c r="V18" s="704"/>
      <c r="W18" s="705"/>
      <c r="X18" s="1353"/>
      <c r="Y18" s="3705"/>
      <c r="Z18" s="1354"/>
      <c r="AA18" s="1351">
        <v>1</v>
      </c>
      <c r="AB18" s="1351">
        <v>1</v>
      </c>
      <c r="AC18" s="1351">
        <v>1</v>
      </c>
    </row>
    <row r="19" spans="1:29" ht="15">
      <c r="A19" s="379"/>
      <c r="B19" s="578"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9"/>
      <c r="M19" s="2713"/>
      <c r="N19" s="2713"/>
      <c r="O19" s="2771"/>
      <c r="P19" s="3705"/>
      <c r="Q19" s="1350" t="str">
        <f t="shared" ref="Q19:Q33" si="8">B19</f>
        <v>区域土地利用方向</v>
      </c>
      <c r="R19" s="704" t="s">
        <v>14</v>
      </c>
      <c r="S19" s="705">
        <f>F19</f>
        <v>100</v>
      </c>
      <c r="T19" s="704" t="s">
        <v>14</v>
      </c>
      <c r="U19" s="705">
        <f>H19</f>
        <v>100</v>
      </c>
      <c r="V19" s="704" t="s">
        <v>14</v>
      </c>
      <c r="W19" s="705">
        <f>J19</f>
        <v>100</v>
      </c>
      <c r="X19" s="1353"/>
      <c r="Y19" s="3705"/>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9"/>
      <c r="M20" s="2713"/>
      <c r="N20" s="2713"/>
      <c r="O20" s="2771"/>
      <c r="P20" s="3705"/>
      <c r="Q20" s="1350"/>
      <c r="R20" s="704"/>
      <c r="S20" s="705"/>
      <c r="T20" s="704"/>
      <c r="U20" s="705"/>
      <c r="V20" s="704"/>
      <c r="W20" s="705"/>
      <c r="X20" s="1353"/>
      <c r="Y20" s="3705"/>
      <c r="Z20" s="1354"/>
      <c r="AA20" s="1351"/>
      <c r="AB20" s="1351"/>
      <c r="AC20" s="1351"/>
    </row>
    <row r="21" spans="1:29" ht="71.25">
      <c r="A21" s="358"/>
      <c r="B21" s="578"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9"/>
      <c r="M21" s="2713"/>
      <c r="N21" s="2713"/>
      <c r="O21" s="2771"/>
      <c r="P21" s="3705"/>
      <c r="Q21" s="1350" t="str">
        <f t="shared" si="8"/>
        <v>环境状况</v>
      </c>
      <c r="R21" s="704" t="s">
        <v>14</v>
      </c>
      <c r="S21" s="705">
        <f>F21</f>
        <v>100</v>
      </c>
      <c r="T21" s="704" t="s">
        <v>14</v>
      </c>
      <c r="U21" s="705">
        <f>H21</f>
        <v>100</v>
      </c>
      <c r="V21" s="704" t="s">
        <v>14</v>
      </c>
      <c r="W21" s="705">
        <f>J21</f>
        <v>100</v>
      </c>
      <c r="X21" s="1353"/>
      <c r="Y21" s="3705"/>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9"/>
      <c r="M22" s="2713"/>
      <c r="N22" s="2713"/>
      <c r="O22" s="2771"/>
      <c r="P22" s="3705"/>
      <c r="Q22" s="1350"/>
      <c r="R22" s="704"/>
      <c r="S22" s="705"/>
      <c r="T22" s="704"/>
      <c r="U22" s="705"/>
      <c r="V22" s="704"/>
      <c r="W22" s="705"/>
      <c r="X22" s="1353"/>
      <c r="Y22" s="3705"/>
      <c r="Z22" s="1354"/>
      <c r="AA22" s="1351">
        <v>1</v>
      </c>
      <c r="AB22" s="1351">
        <v>1</v>
      </c>
      <c r="AC22" s="1351">
        <v>1</v>
      </c>
    </row>
    <row r="23" spans="1:29" s="108" customFormat="1" ht="42.75">
      <c r="A23" s="596"/>
      <c r="B23" s="580"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4"/>
      <c r="M23" s="2715"/>
      <c r="N23" s="2715"/>
      <c r="O23" s="2769"/>
      <c r="P23" s="3705"/>
      <c r="Q23" s="1341" t="str">
        <f t="shared" si="8"/>
        <v>公共配套设施</v>
      </c>
      <c r="R23" s="700" t="s">
        <v>14</v>
      </c>
      <c r="S23" s="701">
        <f>F23</f>
        <v>100</v>
      </c>
      <c r="T23" s="700" t="s">
        <v>14</v>
      </c>
      <c r="U23" s="701">
        <f>H23</f>
        <v>100</v>
      </c>
      <c r="V23" s="700" t="s">
        <v>14</v>
      </c>
      <c r="W23" s="701">
        <f>J23</f>
        <v>100</v>
      </c>
      <c r="X23" s="702"/>
      <c r="Y23" s="3705"/>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4"/>
      <c r="M24" s="2715"/>
      <c r="N24" s="2715"/>
      <c r="O24" s="2769"/>
      <c r="P24" s="3705"/>
      <c r="Q24" s="1341"/>
      <c r="R24" s="700"/>
      <c r="S24" s="701"/>
      <c r="T24" s="700"/>
      <c r="U24" s="701"/>
      <c r="V24" s="700"/>
      <c r="W24" s="701"/>
      <c r="X24" s="702"/>
      <c r="Y24" s="3705"/>
      <c r="Z24" s="52"/>
      <c r="AA24" s="703">
        <v>1</v>
      </c>
      <c r="AB24" s="703">
        <v>1</v>
      </c>
      <c r="AC24" s="703">
        <v>1</v>
      </c>
    </row>
    <row r="25" spans="1:29" s="108" customFormat="1" ht="28.5">
      <c r="A25" s="596"/>
      <c r="B25" s="580"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4"/>
      <c r="M25" s="2715"/>
      <c r="N25" s="2715"/>
      <c r="O25" s="2769"/>
      <c r="P25" s="3705"/>
      <c r="Q25" s="1341" t="str">
        <f t="shared" ref="Q25" si="9">B25</f>
        <v>基础设施水平</v>
      </c>
      <c r="R25" s="700" t="s">
        <v>14</v>
      </c>
      <c r="S25" s="701">
        <f>F25</f>
        <v>100</v>
      </c>
      <c r="T25" s="700" t="s">
        <v>14</v>
      </c>
      <c r="U25" s="701">
        <f>H25</f>
        <v>100</v>
      </c>
      <c r="V25" s="700" t="s">
        <v>14</v>
      </c>
      <c r="W25" s="701">
        <f>J25</f>
        <v>100</v>
      </c>
      <c r="X25" s="702"/>
      <c r="Y25" s="3705"/>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4"/>
      <c r="M26" s="2715"/>
      <c r="N26" s="2715"/>
      <c r="O26" s="2769"/>
      <c r="P26" s="3705"/>
      <c r="Q26" s="1341"/>
      <c r="R26" s="700"/>
      <c r="S26" s="701"/>
      <c r="T26" s="700"/>
      <c r="U26" s="701"/>
      <c r="V26" s="700"/>
      <c r="W26" s="701"/>
      <c r="X26" s="702"/>
      <c r="Y26" s="3705"/>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9"/>
      <c r="M27" s="2713"/>
      <c r="N27" s="2713"/>
      <c r="O27" s="2771"/>
      <c r="P27" s="3705"/>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05"/>
      <c r="Z27" s="1354" t="str">
        <f t="shared" ref="Z27:Z40" si="13">Q27</f>
        <v>临街状况</v>
      </c>
      <c r="AA27" s="1351">
        <f t="shared" si="3"/>
        <v>1</v>
      </c>
      <c r="AB27" s="1351">
        <f t="shared" si="4"/>
        <v>1</v>
      </c>
      <c r="AC27" s="1351">
        <f t="shared" si="5"/>
        <v>1</v>
      </c>
    </row>
    <row r="28" spans="1:29" ht="27">
      <c r="A28" s="379"/>
      <c r="B28" s="580"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9"/>
      <c r="M28" s="2713"/>
      <c r="N28" s="2713"/>
      <c r="O28" s="2771"/>
      <c r="P28" s="3705"/>
      <c r="Q28" s="1350" t="str">
        <f t="shared" si="8"/>
        <v>毗邻道路的类型与等级</v>
      </c>
      <c r="R28" s="704" t="s">
        <v>14</v>
      </c>
      <c r="S28" s="705">
        <f t="shared" si="10"/>
        <v>100</v>
      </c>
      <c r="T28" s="704" t="s">
        <v>14</v>
      </c>
      <c r="U28" s="705">
        <f t="shared" si="11"/>
        <v>100</v>
      </c>
      <c r="V28" s="704" t="s">
        <v>14</v>
      </c>
      <c r="W28" s="705">
        <f t="shared" si="12"/>
        <v>100</v>
      </c>
      <c r="X28" s="1353"/>
      <c r="Y28" s="3705"/>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9"/>
      <c r="M29" s="2713"/>
      <c r="N29" s="2713"/>
      <c r="O29" s="2771"/>
      <c r="P29" s="3705"/>
      <c r="Q29" s="1350"/>
      <c r="R29" s="704"/>
      <c r="S29" s="705"/>
      <c r="T29" s="704"/>
      <c r="U29" s="705"/>
      <c r="V29" s="704"/>
      <c r="W29" s="705"/>
      <c r="X29" s="1353"/>
      <c r="Y29" s="3705"/>
      <c r="Z29" s="1354"/>
      <c r="AA29" s="1351">
        <v>1</v>
      </c>
      <c r="AB29" s="1351">
        <v>1</v>
      </c>
      <c r="AC29" s="1351">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705"/>
      <c r="Q30" s="1350" t="str">
        <f t="shared" si="8"/>
        <v>土地级别</v>
      </c>
      <c r="R30" s="704" t="s">
        <v>14</v>
      </c>
      <c r="S30" s="705">
        <f t="shared" si="10"/>
        <v>100</v>
      </c>
      <c r="T30" s="704" t="s">
        <v>14</v>
      </c>
      <c r="U30" s="705">
        <f t="shared" si="11"/>
        <v>100</v>
      </c>
      <c r="V30" s="704" t="s">
        <v>14</v>
      </c>
      <c r="W30" s="705">
        <f t="shared" si="12"/>
        <v>100</v>
      </c>
      <c r="X30" s="1353"/>
      <c r="Y30" s="3705"/>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5"/>
      <c r="Q31" s="1350">
        <f t="shared" si="8"/>
        <v>111</v>
      </c>
      <c r="R31" s="704" t="s">
        <v>14</v>
      </c>
      <c r="S31" s="705">
        <f t="shared" si="10"/>
        <v>100</v>
      </c>
      <c r="T31" s="704" t="s">
        <v>14</v>
      </c>
      <c r="U31" s="705">
        <f t="shared" si="11"/>
        <v>100</v>
      </c>
      <c r="V31" s="704" t="s">
        <v>14</v>
      </c>
      <c r="W31" s="705">
        <f t="shared" si="12"/>
        <v>100</v>
      </c>
      <c r="X31" s="1353"/>
      <c r="Y31" s="3705"/>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786" t="s">
        <v>1695</v>
      </c>
      <c r="Q32" s="1350">
        <f t="shared" si="8"/>
        <v>111</v>
      </c>
      <c r="R32" s="704" t="s">
        <v>14</v>
      </c>
      <c r="S32" s="705">
        <f t="shared" si="10"/>
        <v>100</v>
      </c>
      <c r="T32" s="704" t="s">
        <v>14</v>
      </c>
      <c r="U32" s="705">
        <f t="shared" si="11"/>
        <v>100</v>
      </c>
      <c r="V32" s="704" t="s">
        <v>14</v>
      </c>
      <c r="W32" s="705">
        <f t="shared" si="12"/>
        <v>100</v>
      </c>
      <c r="X32" s="1353"/>
      <c r="Y32" s="3709" t="s">
        <v>1695</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709"/>
      <c r="Q33" s="1350">
        <f t="shared" si="8"/>
        <v>111</v>
      </c>
      <c r="R33" s="707" t="s">
        <v>14</v>
      </c>
      <c r="S33" s="708">
        <f t="shared" si="10"/>
        <v>100</v>
      </c>
      <c r="T33" s="707" t="s">
        <v>14</v>
      </c>
      <c r="U33" s="708">
        <f t="shared" si="11"/>
        <v>100</v>
      </c>
      <c r="V33" s="707" t="s">
        <v>14</v>
      </c>
      <c r="W33" s="708">
        <f t="shared" si="12"/>
        <v>100</v>
      </c>
      <c r="X33" s="709"/>
      <c r="Y33" s="3709"/>
      <c r="Z33" s="710">
        <f t="shared" si="13"/>
        <v>111</v>
      </c>
      <c r="AA33" s="1351">
        <f t="shared" si="3"/>
        <v>1</v>
      </c>
      <c r="AB33" s="1351">
        <f t="shared" si="4"/>
        <v>1</v>
      </c>
      <c r="AC33" s="1351">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9"/>
      <c r="M34" s="2713"/>
      <c r="N34" s="2713"/>
      <c r="O34" s="2771"/>
      <c r="P34" s="3709"/>
      <c r="Q34" s="1350" t="str">
        <f>B34</f>
        <v>宗地面积</v>
      </c>
      <c r="R34" s="704" t="s">
        <v>14</v>
      </c>
      <c r="S34" s="705" t="e">
        <f t="shared" si="10"/>
        <v>#N/A</v>
      </c>
      <c r="T34" s="704" t="s">
        <v>14</v>
      </c>
      <c r="U34" s="705" t="e">
        <f t="shared" si="11"/>
        <v>#N/A</v>
      </c>
      <c r="V34" s="704" t="s">
        <v>14</v>
      </c>
      <c r="W34" s="705" t="e">
        <f t="shared" si="12"/>
        <v>#N/A</v>
      </c>
      <c r="X34" s="1353"/>
      <c r="Y34" s="3709"/>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09"/>
      <c r="Q35" s="1350" t="str">
        <f t="shared" ref="Q35:Q40" si="14">B35</f>
        <v>宗地形状</v>
      </c>
      <c r="R35" s="704" t="s">
        <v>14</v>
      </c>
      <c r="S35" s="705">
        <f t="shared" si="10"/>
        <v>100</v>
      </c>
      <c r="T35" s="704" t="s">
        <v>14</v>
      </c>
      <c r="U35" s="705">
        <f t="shared" si="11"/>
        <v>100</v>
      </c>
      <c r="V35" s="704" t="s">
        <v>14</v>
      </c>
      <c r="W35" s="705">
        <f t="shared" si="12"/>
        <v>100</v>
      </c>
      <c r="X35" s="1353"/>
      <c r="Y35" s="3709"/>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09"/>
      <c r="Q36" s="1350" t="str">
        <f t="shared" si="14"/>
        <v>宗地开发程度</v>
      </c>
      <c r="R36" s="700" t="s">
        <v>14</v>
      </c>
      <c r="S36" s="701">
        <f t="shared" si="10"/>
        <v>100</v>
      </c>
      <c r="T36" s="700" t="s">
        <v>14</v>
      </c>
      <c r="U36" s="701">
        <f t="shared" si="11"/>
        <v>100</v>
      </c>
      <c r="V36" s="700" t="s">
        <v>14</v>
      </c>
      <c r="W36" s="701">
        <f t="shared" si="12"/>
        <v>100</v>
      </c>
      <c r="X36" s="702"/>
      <c r="Y36" s="3709"/>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09" t="s">
        <v>1695</v>
      </c>
      <c r="Q37" s="1350" t="str">
        <f t="shared" si="14"/>
        <v>工程地质条件</v>
      </c>
      <c r="R37" s="704" t="s">
        <v>14</v>
      </c>
      <c r="S37" s="705">
        <f t="shared" si="10"/>
        <v>100</v>
      </c>
      <c r="T37" s="704" t="s">
        <v>14</v>
      </c>
      <c r="U37" s="705">
        <f t="shared" si="11"/>
        <v>100</v>
      </c>
      <c r="V37" s="704" t="s">
        <v>14</v>
      </c>
      <c r="W37" s="705">
        <f t="shared" si="12"/>
        <v>100</v>
      </c>
      <c r="X37" s="1353"/>
      <c r="Y37" s="3709" t="s">
        <v>1695</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709"/>
      <c r="Q38" s="1350">
        <f t="shared" si="14"/>
        <v>111</v>
      </c>
      <c r="R38" s="704" t="s">
        <v>14</v>
      </c>
      <c r="S38" s="705">
        <f t="shared" si="10"/>
        <v>100</v>
      </c>
      <c r="T38" s="704" t="s">
        <v>14</v>
      </c>
      <c r="U38" s="705">
        <f t="shared" si="11"/>
        <v>100</v>
      </c>
      <c r="V38" s="704" t="s">
        <v>14</v>
      </c>
      <c r="W38" s="705">
        <f t="shared" si="12"/>
        <v>100</v>
      </c>
      <c r="X38" s="1353"/>
      <c r="Y38" s="3709"/>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709"/>
      <c r="Q39" s="1350">
        <f t="shared" si="14"/>
        <v>111</v>
      </c>
      <c r="R39" s="704" t="s">
        <v>14</v>
      </c>
      <c r="S39" s="705">
        <f t="shared" si="10"/>
        <v>100</v>
      </c>
      <c r="T39" s="704" t="s">
        <v>14</v>
      </c>
      <c r="U39" s="705">
        <f t="shared" si="11"/>
        <v>100</v>
      </c>
      <c r="V39" s="704" t="s">
        <v>14</v>
      </c>
      <c r="W39" s="705">
        <f t="shared" si="12"/>
        <v>100</v>
      </c>
      <c r="X39" s="1353"/>
      <c r="Y39" s="3709"/>
      <c r="Z39" s="1354">
        <f t="shared" si="13"/>
        <v>111</v>
      </c>
      <c r="AA39" s="1351">
        <f t="shared" si="3"/>
        <v>1</v>
      </c>
      <c r="AB39" s="1351">
        <f t="shared" si="4"/>
        <v>1</v>
      </c>
      <c r="AC39" s="1351">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709"/>
      <c r="Q40" s="1350">
        <f t="shared" si="14"/>
        <v>111</v>
      </c>
      <c r="R40" s="707" t="s">
        <v>14</v>
      </c>
      <c r="S40" s="708">
        <f t="shared" si="10"/>
        <v>100</v>
      </c>
      <c r="T40" s="707" t="s">
        <v>14</v>
      </c>
      <c r="U40" s="708">
        <f t="shared" si="11"/>
        <v>100</v>
      </c>
      <c r="V40" s="707" t="s">
        <v>14</v>
      </c>
      <c r="W40" s="708">
        <f t="shared" si="12"/>
        <v>100</v>
      </c>
      <c r="X40" s="709"/>
      <c r="Y40" s="3709"/>
      <c r="Z40" s="710">
        <f t="shared" si="13"/>
        <v>111</v>
      </c>
      <c r="AA40" s="1351">
        <f t="shared" si="3"/>
        <v>1</v>
      </c>
      <c r="AB40" s="1351">
        <f t="shared" si="4"/>
        <v>1</v>
      </c>
      <c r="AC40" s="1351">
        <f t="shared" si="5"/>
        <v>1</v>
      </c>
    </row>
    <row r="41" spans="1:31" ht="15">
      <c r="A41" s="430" t="s">
        <v>1843</v>
      </c>
      <c r="B41" s="1980" t="s">
        <v>1921</v>
      </c>
      <c r="C41" s="629" t="s">
        <v>0</v>
      </c>
      <c r="D41" s="432"/>
      <c r="E41" s="433"/>
      <c r="F41" s="434"/>
      <c r="G41" s="435"/>
      <c r="H41" s="436"/>
      <c r="I41" s="433"/>
      <c r="J41" s="436"/>
      <c r="K41" s="713"/>
      <c r="L41" s="2721"/>
      <c r="M41" s="2713"/>
      <c r="N41" s="2713"/>
      <c r="O41" s="2722"/>
      <c r="P41" s="3697" t="str">
        <f>A41</f>
        <v>成交单价</v>
      </c>
      <c r="Q41" s="3697"/>
      <c r="R41" s="3731">
        <f>E41</f>
        <v>0</v>
      </c>
      <c r="S41" s="3731"/>
      <c r="T41" s="3731">
        <f>G41</f>
        <v>0</v>
      </c>
      <c r="U41" s="3731"/>
      <c r="V41" s="3731">
        <f>I41</f>
        <v>0</v>
      </c>
      <c r="W41" s="3731"/>
      <c r="X41" s="689"/>
      <c r="Y41" s="711"/>
      <c r="Z41" s="689"/>
      <c r="AA41" s="689"/>
      <c r="AB41" s="689"/>
      <c r="AC41" s="689"/>
    </row>
    <row r="42" spans="1:31" ht="15.75" thickBot="1">
      <c r="A42" s="437" t="s">
        <v>1792</v>
      </c>
      <c r="B42" s="630"/>
      <c r="C42" s="440" t="e">
        <f>R43</f>
        <v>#DIV/0!</v>
      </c>
      <c r="D42" s="2315" t="s">
        <v>2133</v>
      </c>
      <c r="E42" s="440" t="e">
        <f>R42</f>
        <v>#DIV/0!</v>
      </c>
      <c r="F42" s="2316"/>
      <c r="G42" s="439" t="e">
        <f>T42</f>
        <v>#DIV/0!</v>
      </c>
      <c r="H42" s="2316"/>
      <c r="I42" s="440" t="e">
        <f>V42</f>
        <v>#DIV/0!</v>
      </c>
      <c r="J42" s="2316"/>
      <c r="K42" s="2318">
        <f>F42+H42+J42</f>
        <v>0</v>
      </c>
      <c r="L42" s="2721"/>
      <c r="M42" s="2713"/>
      <c r="N42" s="2713"/>
      <c r="O42" s="2722"/>
      <c r="P42" s="3697" t="str">
        <f>A42</f>
        <v>比较价值（元/平方米）</v>
      </c>
      <c r="Q42" s="3697"/>
      <c r="R42" s="3788" t="e">
        <f>ROUND(PRODUCT(R41,AA7:AA40),0)</f>
        <v>#DIV/0!</v>
      </c>
      <c r="S42" s="3788"/>
      <c r="T42" s="3788" t="e">
        <f>ROUND(PRODUCT(T41,AB7:AB40),0)</f>
        <v>#DIV/0!</v>
      </c>
      <c r="U42" s="3788"/>
      <c r="V42" s="3788" t="e">
        <f>ROUND(PRODUCT(V41,AC7:AC40),0)</f>
        <v>#DIV/0!</v>
      </c>
      <c r="W42" s="3788"/>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1"/>
      <c r="M43" s="2713"/>
      <c r="N43" s="2713"/>
      <c r="O43" s="2722"/>
      <c r="P43" s="3753" t="str">
        <f>A43</f>
        <v>估价对象XX用房的比较价值（楼面单价，元/平方米）</v>
      </c>
      <c r="Q43" s="3754"/>
      <c r="R43" s="3789" t="e">
        <f>ROUND(IF(D42="简单平均",AVERAGE(R42:W42),R42*F42+T42*H42+V42*J42),0)</f>
        <v>#DIV/0!</v>
      </c>
      <c r="S43" s="3789"/>
      <c r="T43" s="3789"/>
      <c r="U43" s="3789"/>
      <c r="V43" s="3789"/>
      <c r="W43" s="3789"/>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1880</v>
      </c>
      <c r="B50" s="632" t="s">
        <v>1881</v>
      </c>
      <c r="C50" s="1981" t="s">
        <v>1882</v>
      </c>
      <c r="D50" s="1982" t="s">
        <v>1883</v>
      </c>
      <c r="E50" s="633" t="s">
        <v>1884</v>
      </c>
      <c r="F50" s="634" t="s">
        <v>1885</v>
      </c>
      <c r="G50" s="3714" t="s">
        <v>1886</v>
      </c>
      <c r="H50" s="3790"/>
      <c r="I50" s="1354" t="s">
        <v>1922</v>
      </c>
      <c r="J50" s="1354">
        <f>项目基本情况!F35</f>
        <v>0</v>
      </c>
      <c r="K50" s="1984"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1889</v>
      </c>
      <c r="B51" s="636" t="e">
        <f>C43</f>
        <v>#DIV/0!</v>
      </c>
      <c r="C51" s="637">
        <v>1</v>
      </c>
      <c r="D51" s="943">
        <v>1</v>
      </c>
      <c r="E51" s="637">
        <f>'数据-汇总表'!E8+'数据-汇总表'!E9</f>
        <v>125.74</v>
      </c>
      <c r="F51" s="638" t="e">
        <f t="shared" ref="F51:F60" si="15">ROUND(B51*E51/10000,0)</f>
        <v>#DIV/0!</v>
      </c>
      <c r="G51" s="3696"/>
      <c r="H51" s="3697"/>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1890</v>
      </c>
      <c r="B52" s="218" t="e">
        <f>ROUND($C$43*C52*D52,0)</f>
        <v>#DIV/0!</v>
      </c>
      <c r="C52" s="171">
        <f t="shared" ref="C52:C60" si="16">IF($C$50="北京市系数",I52,J52)</f>
        <v>0</v>
      </c>
      <c r="D52" s="944">
        <v>0.25</v>
      </c>
      <c r="E52" s="641"/>
      <c r="F52" s="638" t="e">
        <f t="shared" si="15"/>
        <v>#DIV/0!</v>
      </c>
      <c r="G52" s="3003" t="s">
        <v>1891</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1892</v>
      </c>
      <c r="B53" s="218" t="e">
        <f t="shared" ref="B53:B60" si="17">ROUND($C$43*C53*D53,0)</f>
        <v>#DIV/0!</v>
      </c>
      <c r="C53" s="171">
        <f t="shared" si="16"/>
        <v>0</v>
      </c>
      <c r="D53" s="944">
        <v>0.25</v>
      </c>
      <c r="E53" s="641"/>
      <c r="F53" s="638"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1893</v>
      </c>
      <c r="B54" s="218" t="e">
        <f t="shared" si="17"/>
        <v>#DIV/0!</v>
      </c>
      <c r="C54" s="171">
        <f t="shared" si="16"/>
        <v>0</v>
      </c>
      <c r="D54" s="944">
        <v>0.25</v>
      </c>
      <c r="E54" s="641"/>
      <c r="F54" s="638"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4"/>
      <c r="E55" s="641"/>
      <c r="F55" s="638"/>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1894</v>
      </c>
      <c r="B56" s="218" t="e">
        <f t="shared" si="17"/>
        <v>#DIV/0!</v>
      </c>
      <c r="C56" s="171">
        <f t="shared" si="16"/>
        <v>0</v>
      </c>
      <c r="D56" s="944">
        <v>0.25</v>
      </c>
      <c r="E56" s="217">
        <f>'数据-汇总表'!E11</f>
        <v>0</v>
      </c>
      <c r="F56" s="638" t="e">
        <f t="shared" si="15"/>
        <v>#DIV/0!</v>
      </c>
      <c r="G56" s="1985" t="s">
        <v>1895</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1896</v>
      </c>
      <c r="B57" s="218" t="e">
        <f t="shared" si="17"/>
        <v>#DIV/0!</v>
      </c>
      <c r="C57" s="171">
        <f t="shared" si="16"/>
        <v>0</v>
      </c>
      <c r="D57" s="944">
        <v>0.25</v>
      </c>
      <c r="E57" s="217">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1898</v>
      </c>
      <c r="B58" s="218" t="e">
        <f t="shared" si="17"/>
        <v>#DIV/0!</v>
      </c>
      <c r="C58" s="171">
        <f t="shared" si="16"/>
        <v>0</v>
      </c>
      <c r="D58" s="944">
        <v>0.25</v>
      </c>
      <c r="E58" s="217">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1900</v>
      </c>
      <c r="B59" s="218" t="e">
        <f t="shared" si="17"/>
        <v>#DIV/0!</v>
      </c>
      <c r="C59" s="171">
        <f t="shared" si="16"/>
        <v>0</v>
      </c>
      <c r="D59" s="944">
        <v>0.25</v>
      </c>
      <c r="E59" s="217">
        <f>'数据-汇总表'!E14</f>
        <v>0</v>
      </c>
      <c r="F59" s="638" t="e">
        <f t="shared" si="15"/>
        <v>#DIV/0!</v>
      </c>
      <c r="G59" s="1985" t="s">
        <v>1891</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1901</v>
      </c>
      <c r="B60" s="218" t="e">
        <f t="shared" si="17"/>
        <v>#DIV/0!</v>
      </c>
      <c r="C60" s="171">
        <f t="shared" si="16"/>
        <v>0</v>
      </c>
      <c r="D60" s="944">
        <v>0.25</v>
      </c>
      <c r="E60" s="217">
        <f>'数据-汇总表'!E15</f>
        <v>0</v>
      </c>
      <c r="F60" s="638" t="e">
        <f t="shared" si="15"/>
        <v>#DIV/0!</v>
      </c>
      <c r="G60" s="1986" t="s">
        <v>1895</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1902</v>
      </c>
      <c r="B61" s="643" t="s">
        <v>22</v>
      </c>
      <c r="C61" s="643" t="s">
        <v>23</v>
      </c>
      <c r="D61" s="643" t="s">
        <v>392</v>
      </c>
      <c r="E61" s="643">
        <f>IF(B41="楼面地价",SUM(E51:E60),'数据-汇总表'!D3)</f>
        <v>0</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2"/>
      <c r="Q63" s="2722"/>
      <c r="R63" s="2722"/>
      <c r="S63" s="2722"/>
      <c r="T63" s="2722"/>
      <c r="U63" s="2722"/>
      <c r="V63" s="2722"/>
      <c r="W63" s="2722"/>
      <c r="X63" s="2722"/>
      <c r="Y63" s="2722"/>
      <c r="Z63" s="2722"/>
      <c r="AA63" s="2722"/>
      <c r="AB63" s="2722"/>
      <c r="AC63" s="2722"/>
      <c r="AD63" s="2722"/>
      <c r="AE63" s="2722"/>
    </row>
    <row r="64" spans="1:31" ht="21.75" thickBot="1">
      <c r="A64" s="693" t="s">
        <v>1797</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7" t="s">
        <v>1903</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0"/>
      <c r="G1" s="2790"/>
      <c r="H1" s="2790"/>
      <c r="I1" s="2790"/>
      <c r="J1" s="2790"/>
      <c r="K1" s="2790"/>
      <c r="L1" s="2790"/>
      <c r="M1" s="2790"/>
      <c r="N1" s="2790"/>
      <c r="O1" s="2790"/>
      <c r="P1" s="2790"/>
    </row>
    <row r="2" spans="1:16" ht="15.75">
      <c r="A2" s="2143" t="s">
        <v>2072</v>
      </c>
      <c r="B2" s="2600" t="e">
        <f ca="1">SUMIF(B6:B13,"&lt;&gt;#ref!",B6:B13)</f>
        <v>#DIV/0!</v>
      </c>
      <c r="C2" s="2143" t="s">
        <v>2073</v>
      </c>
      <c r="D2" s="2143" t="s">
        <v>2074</v>
      </c>
      <c r="E2" s="2610">
        <f ca="1">SUMIF(E6:E13,"&lt;&gt;#ref!",E6:E13)</f>
        <v>0</v>
      </c>
      <c r="F2" s="2790"/>
      <c r="G2" s="2790"/>
      <c r="H2" s="2790"/>
      <c r="I2" s="2790"/>
      <c r="J2" s="2790"/>
      <c r="K2" s="2790"/>
      <c r="L2" s="2790"/>
      <c r="M2" s="2790"/>
      <c r="N2" s="2790"/>
      <c r="O2" s="2790"/>
      <c r="P2" s="2790"/>
    </row>
    <row r="3" spans="1:16" ht="15.75">
      <c r="A3" s="2143" t="s">
        <v>2075</v>
      </c>
      <c r="B3" s="2600" t="e">
        <f ca="1">ROUND(B2*10000/E2,0)</f>
        <v>#DIV/0!</v>
      </c>
      <c r="C3" s="2143"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4"/>
      <c r="D5" s="2790"/>
      <c r="E5" s="2609" t="s">
        <v>2078</v>
      </c>
      <c r="F5" s="2790"/>
      <c r="G5" s="2790"/>
      <c r="H5" s="2790"/>
      <c r="I5" s="2790"/>
      <c r="J5" s="2790"/>
      <c r="K5" s="2790"/>
      <c r="L5" s="2790"/>
      <c r="M5" s="2790"/>
      <c r="N5" s="2790"/>
      <c r="O5" s="2790"/>
      <c r="P5" s="2790"/>
    </row>
    <row r="6" spans="1:16" ht="15.75">
      <c r="A6" s="2607" t="s">
        <v>2079</v>
      </c>
      <c r="B6" s="2600" t="e">
        <f ca="1">SUMIF(INDIRECT("'"&amp;A6&amp;"'"&amp;"!A:A"),"总价",INDIRECT("'"&amp;A6&amp;"'"&amp;"!B:B"))</f>
        <v>#DIV/0!</v>
      </c>
      <c r="C6" s="2143" t="s">
        <v>2073</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0</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7" t="s">
        <v>1934</v>
      </c>
      <c r="D2" s="1998" t="s">
        <v>1935</v>
      </c>
      <c r="E2" s="3419"/>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7" t="s">
        <v>1940</v>
      </c>
      <c r="D3" s="1998" t="s">
        <v>1941</v>
      </c>
      <c r="E3" s="3417"/>
      <c r="F3" s="2002"/>
      <c r="G3" s="751">
        <f>IF(F3="宗地容积率",'数据-汇总表'!I4,IF(F3="估价对象容积率",'数据-汇总表'!I6,'数据-汇总表'!I7))</f>
        <v>0</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802"/>
      <c r="B4" s="3803"/>
      <c r="C4" s="3803"/>
      <c r="D4" s="3804"/>
      <c r="E4" s="3804"/>
      <c r="F4" s="3804"/>
      <c r="G4" s="3804"/>
      <c r="H4" s="3804"/>
      <c r="I4" s="3804"/>
      <c r="J4" s="3805"/>
      <c r="K4" s="1118"/>
      <c r="L4" s="2001" t="s">
        <v>1945</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1946</v>
      </c>
      <c r="C5" s="752" t="e">
        <f>ROUND(IF(E2="商业",C6*C7*C17+C20,(IF(E2="住宅",C6*C13*C17+C20,IF(E2="办公",C6*C12*C17+C20,C6+C20)))),0)</f>
        <v>#DIV/0!</v>
      </c>
      <c r="D5" s="1337" t="e">
        <f>ROUND(C6*C17+C20,0)</f>
        <v>#DIV/0!</v>
      </c>
      <c r="E5" s="1337"/>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v>
      </c>
      <c r="T5" s="3358" t="e">
        <f t="shared" si="0"/>
        <v>#DIV/0!</v>
      </c>
      <c r="U5" s="1212"/>
      <c r="V5" s="3358" t="e">
        <f t="shared" si="1"/>
        <v>#DIV/0!</v>
      </c>
      <c r="W5" s="1215"/>
      <c r="X5" s="1215"/>
      <c r="Y5" s="1215"/>
      <c r="Z5" s="1215"/>
      <c r="AA5" s="1215"/>
      <c r="AB5" s="1215"/>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v>
      </c>
      <c r="T6" s="3358" t="e">
        <f t="shared" si="0"/>
        <v>#DIV/0!</v>
      </c>
      <c r="U6" s="1212"/>
      <c r="V6" s="3358" t="e">
        <f t="shared" si="1"/>
        <v>#DIV/0!</v>
      </c>
      <c r="W6" s="1215"/>
      <c r="X6" s="1215"/>
      <c r="Y6" s="1215"/>
      <c r="Z6" s="1215"/>
      <c r="AA6" s="1215"/>
      <c r="AB6" s="1215"/>
      <c r="AC6" s="2009"/>
      <c r="AD6" s="2010"/>
      <c r="AE6" s="2010"/>
      <c r="AF6" s="2010"/>
      <c r="AG6" s="2010"/>
      <c r="AH6" s="2010"/>
      <c r="AI6" s="2010"/>
      <c r="AJ6" s="2011"/>
    </row>
    <row r="7" spans="1:36" ht="24.75" thickBot="1">
      <c r="A7" s="3301" t="s">
        <v>3233</v>
      </c>
      <c r="B7" s="2019" t="s">
        <v>1951</v>
      </c>
      <c r="C7" s="754" t="e">
        <f>IF(C8="不临65条商业街",1,ROUND(1+(1.6*E8+1.2*E9+0.8*E10+0.4*E11)*C9,4))</f>
        <v>#DIV/0!</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1">
        <v>6</v>
      </c>
      <c r="S7" s="3416"/>
      <c r="T7" s="3358" t="e">
        <f t="shared" si="0"/>
        <v>#DIV/0!</v>
      </c>
      <c r="U7" s="1212"/>
      <c r="V7" s="3358" t="e">
        <f t="shared" si="1"/>
        <v>#DIV/0!</v>
      </c>
      <c r="W7" s="1356" t="s">
        <v>1954</v>
      </c>
      <c r="X7" s="1213">
        <f>G2</f>
        <v>0</v>
      </c>
      <c r="Y7" s="1213" t="s">
        <v>1955</v>
      </c>
      <c r="Z7" s="1214">
        <f>G3</f>
        <v>0</v>
      </c>
      <c r="AA7" s="1215"/>
      <c r="AB7" s="1215"/>
      <c r="AC7" s="1216"/>
      <c r="AD7" s="1217"/>
      <c r="AE7" s="1217"/>
      <c r="AF7" s="1217"/>
      <c r="AG7" s="1217"/>
      <c r="AH7" s="1217"/>
      <c r="AI7" s="1217"/>
      <c r="AJ7" s="1218"/>
    </row>
    <row r="8" spans="1:36" ht="15">
      <c r="A8" s="3296"/>
      <c r="B8" s="170" t="s">
        <v>1956</v>
      </c>
      <c r="C8" s="2024"/>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1">
        <v>7</v>
      </c>
      <c r="S8" s="1212"/>
      <c r="T8" s="3358" t="e">
        <f t="shared" si="0"/>
        <v>#DIV/0!</v>
      </c>
      <c r="U8" s="1212"/>
      <c r="V8" s="3358" t="e">
        <f t="shared" si="1"/>
        <v>#DIV/0!</v>
      </c>
      <c r="W8" s="3799" t="s">
        <v>1959</v>
      </c>
      <c r="X8" s="3800"/>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6"/>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1">
        <v>8</v>
      </c>
      <c r="S9" s="1212"/>
      <c r="T9" s="3358" t="e">
        <f t="shared" si="0"/>
        <v>#DIV/0!</v>
      </c>
      <c r="U9" s="1212"/>
      <c r="V9" s="3358" t="e">
        <f t="shared" si="1"/>
        <v>#DIV/0!</v>
      </c>
      <c r="W9" s="3801"/>
      <c r="X9" s="3359" t="s">
        <v>3264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8" t="e">
        <f t="shared" si="0"/>
        <v>#DIV/0!</v>
      </c>
      <c r="U10" s="1212"/>
      <c r="V10" s="3358" t="e">
        <f t="shared" si="1"/>
        <v>#DIV/0!</v>
      </c>
      <c r="W10" s="380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3234</v>
      </c>
      <c r="B12" s="3302" t="s">
        <v>3235</v>
      </c>
      <c r="C12" s="3303"/>
      <c r="D12" s="3304" t="s">
        <v>3236</v>
      </c>
      <c r="E12" s="3305" t="s">
        <v>3237</v>
      </c>
      <c r="F12" s="3306"/>
      <c r="G12" s="3307"/>
      <c r="H12" s="3307"/>
      <c r="I12" s="3307"/>
      <c r="J12" s="3308"/>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3238</v>
      </c>
      <c r="B13" s="2032" t="s">
        <v>1981</v>
      </c>
      <c r="C13" s="754">
        <f>ROUND(C16*D16*E16*F16*G16*H16*I16*J16,4)</f>
        <v>0</v>
      </c>
      <c r="D13" s="2033" t="s">
        <v>1982</v>
      </c>
      <c r="E13" s="2034"/>
      <c r="F13" s="2034"/>
      <c r="G13" s="2035"/>
      <c r="H13" s="2035"/>
      <c r="I13" s="2035"/>
      <c r="J13" s="2036"/>
      <c r="K13" s="1118"/>
      <c r="L13" s="3297"/>
      <c r="M13" s="3298"/>
      <c r="N13" s="3299"/>
      <c r="O13" s="1118"/>
      <c r="P13" s="1118"/>
      <c r="Q13" s="1118"/>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8" t="s">
        <v>1984</v>
      </c>
      <c r="C14" s="2039" t="s">
        <v>1985</v>
      </c>
      <c r="D14" s="1348" t="s">
        <v>1986</v>
      </c>
      <c r="E14" s="27" t="s">
        <v>1987</v>
      </c>
      <c r="F14" s="3309" t="s">
        <v>3239</v>
      </c>
      <c r="G14" s="3309" t="s">
        <v>3239</v>
      </c>
      <c r="H14" s="3309" t="s">
        <v>3239</v>
      </c>
      <c r="I14" s="3309" t="s">
        <v>3239</v>
      </c>
      <c r="J14" s="3309" t="s">
        <v>3239</v>
      </c>
      <c r="K14" s="1118"/>
      <c r="L14" s="1118"/>
      <c r="M14" s="1118"/>
      <c r="N14" s="1118"/>
      <c r="O14" s="1118"/>
      <c r="P14" s="1118"/>
      <c r="Q14" s="1118"/>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0"/>
      <c r="C15" s="2041"/>
      <c r="D15" s="2042"/>
      <c r="E15" s="2043"/>
      <c r="F15" s="3310" t="s">
        <v>3240</v>
      </c>
      <c r="G15" s="3311"/>
      <c r="H15" s="3312"/>
      <c r="I15" s="3313"/>
      <c r="J15" s="3314"/>
      <c r="K15" s="1118"/>
      <c r="L15" s="1118"/>
      <c r="M15" s="1118"/>
      <c r="N15" s="1118"/>
      <c r="O15" s="1118"/>
      <c r="P15" s="1118"/>
      <c r="Q15" s="1118"/>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8"/>
      <c r="L16" s="1995"/>
      <c r="M16" s="1995"/>
      <c r="N16" s="1995"/>
      <c r="O16" s="1995"/>
      <c r="P16" s="1995"/>
      <c r="Q16" s="1118"/>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3241</v>
      </c>
      <c r="B17" s="3318" t="s">
        <v>3242</v>
      </c>
      <c r="C17" s="3328">
        <f>ROUND(IF(OR(E2="工业",E2="公共服务"),1,IF(AND(E18=0,E19=0),1,IF(AND(E18=J24,E19=G19),0.8,IF(E19=0,1+E17*(-0.2),1+E17*G17*(-0.2))))),4)</f>
        <v>1</v>
      </c>
      <c r="D17" s="3319" t="s">
        <v>3243</v>
      </c>
      <c r="E17" s="3328" t="e">
        <f>ROUND(G18/I18,2)</f>
        <v>#DIV/0!</v>
      </c>
      <c r="F17" s="3319" t="s">
        <v>3246</v>
      </c>
      <c r="G17" s="3328" t="e">
        <f>ROUND(E19/G19,2)</f>
        <v>#DIV/0!</v>
      </c>
      <c r="H17" s="3328"/>
      <c r="I17" s="3328"/>
      <c r="J17" s="3329"/>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0"/>
      <c r="B18" s="3007"/>
      <c r="C18" s="3325"/>
      <c r="D18" s="3320" t="s">
        <v>3244</v>
      </c>
      <c r="E18" s="3326"/>
      <c r="F18" s="3321" t="s">
        <v>3247</v>
      </c>
      <c r="G18" s="3325">
        <f>ROUND(1-(1/(POWER(1+G24,E18))),4)</f>
        <v>0</v>
      </c>
      <c r="H18" s="3321" t="s">
        <v>3249</v>
      </c>
      <c r="I18" s="3325">
        <f>ROUND(1-(1/(POWER(1+G24,J24))),4)</f>
        <v>0</v>
      </c>
      <c r="J18" s="3331"/>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5"/>
    </row>
    <row r="19" spans="1:37" s="2012" customFormat="1" ht="15" thickBot="1">
      <c r="A19" s="3332"/>
      <c r="B19" s="3333"/>
      <c r="C19" s="3334"/>
      <c r="D19" s="3334" t="s">
        <v>3245</v>
      </c>
      <c r="E19" s="3335"/>
      <c r="F19" s="3336" t="s">
        <v>3248</v>
      </c>
      <c r="G19" s="3335"/>
      <c r="H19" s="3334"/>
      <c r="I19" s="3334"/>
      <c r="J19" s="3337"/>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8"/>
      <c r="AH19" s="2139"/>
      <c r="AI19" s="2789"/>
      <c r="AJ19" s="2789"/>
      <c r="AK19" s="2055"/>
    </row>
    <row r="20" spans="1:37" s="2012" customFormat="1" ht="14.25">
      <c r="A20" s="3806" t="s">
        <v>3250</v>
      </c>
      <c r="B20" s="167" t="s">
        <v>1993</v>
      </c>
      <c r="C20" s="3322" t="e">
        <f>ROUND(IF(F21="与级别开发程度一致",0,(G21-E21)/C21),0)</f>
        <v>#DIV/0!</v>
      </c>
      <c r="D20" s="3338" t="s">
        <v>1997</v>
      </c>
      <c r="E20" s="3339"/>
      <c r="F20" s="3812" t="s">
        <v>1994</v>
      </c>
      <c r="G20" s="3813"/>
      <c r="H20" s="3323"/>
      <c r="I20" s="3323"/>
      <c r="J20" s="3324"/>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2" customFormat="1" ht="15" thickBot="1">
      <c r="A21" s="3807"/>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2" customFormat="1" ht="15.75" thickBot="1">
      <c r="A22" s="2156" t="s">
        <v>363</v>
      </c>
      <c r="B22" s="2157" t="s">
        <v>1999</v>
      </c>
      <c r="C22" s="2158">
        <f>SUMIF(修正!C20:C51,E3,修正!E20:E51)</f>
        <v>0</v>
      </c>
      <c r="D22" s="2159"/>
      <c r="E22" s="2160"/>
      <c r="F22" s="2160"/>
      <c r="G22" s="2160"/>
      <c r="H22" s="2160"/>
      <c r="I22" s="2160"/>
      <c r="J22" s="2161"/>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8" t="s">
        <v>364</v>
      </c>
      <c r="B23" s="2049"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2001</v>
      </c>
      <c r="E23" s="760">
        <v>44197</v>
      </c>
      <c r="F23" s="2052" t="s">
        <v>2002</v>
      </c>
      <c r="G23" s="761">
        <f>'数据-取费表'!B2</f>
        <v>45210</v>
      </c>
      <c r="H23" s="3340" t="s">
        <v>3252</v>
      </c>
      <c r="I23" s="3341" t="str">
        <f>IF(H23="季度增幅（自定义）",SUMIF(N25:N28,E2,O25:O28),"")</f>
        <v/>
      </c>
      <c r="J23" s="3443" t="s">
        <v>3251</v>
      </c>
      <c r="K23" s="1124"/>
      <c r="L23" s="2053" t="s">
        <v>2003</v>
      </c>
      <c r="M23" s="1327">
        <f>ROUND(SUMIF(地价!B2:G2,E2,地价!B16:G16),0)</f>
        <v>0</v>
      </c>
      <c r="N23" s="2054" t="s">
        <v>2004</v>
      </c>
      <c r="O23" s="762">
        <f>ROUNDDOWN(DATEDIF(E23,G23,"M")/3,0)</f>
        <v>11</v>
      </c>
      <c r="P23" s="1121"/>
      <c r="Q23" s="2785"/>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t="e">
        <f>ROUND(POWER(1+G24,J24-I24)*(POWER(1+G24,I24)-1)/(POWER(1+G24,J24)-1),4)</f>
        <v>#DIV/0!</v>
      </c>
      <c r="D24" s="2058" t="s">
        <v>2006</v>
      </c>
      <c r="E24" s="1334">
        <f>存贷款利率!E22/100</f>
        <v>4.3499999999999997E-2</v>
      </c>
      <c r="F24" s="2058" t="s">
        <v>1998</v>
      </c>
      <c r="G24" s="767">
        <f>SUMIF(M30:Q30,E2,M33:Q33)</f>
        <v>0</v>
      </c>
      <c r="H24" s="2058" t="s">
        <v>2007</v>
      </c>
      <c r="I24" s="768" t="e">
        <f>SUMIF('数据-取费表'!C6:C15,E2,'数据-取费表'!F6:F15)/COUNTIF('数据-取费表'!C6:C15,E2)</f>
        <v>#DIV/0!</v>
      </c>
      <c r="J24" s="769">
        <f>IF(E2="住宅",70,IF(E2="商业",40,50))</f>
        <v>50</v>
      </c>
      <c r="K24" s="1124"/>
      <c r="L24" s="2059" t="s">
        <v>2008</v>
      </c>
      <c r="M24" s="1328">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3" t="s">
        <v>366</v>
      </c>
      <c r="B25" s="2064" t="s">
        <v>3331</v>
      </c>
      <c r="C25" s="770">
        <f>IF(B25="容积率修正",IF(G3&lt;10,D26,J26),C27)</f>
        <v>0</v>
      </c>
      <c r="D25" s="2065"/>
      <c r="E25" s="2065"/>
      <c r="F25" s="2065"/>
      <c r="G25" s="2065"/>
      <c r="H25" s="2065"/>
      <c r="I25" s="2065"/>
      <c r="J25" s="2066"/>
      <c r="K25" s="1124"/>
      <c r="L25" s="2785"/>
      <c r="M25" s="2785"/>
      <c r="N25" s="2067" t="s">
        <v>2012</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2" t="s">
        <v>3253</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3254</v>
      </c>
      <c r="J26" s="771" t="str">
        <f>IF(G3&gt;=10,D115,"——")</f>
        <v>——</v>
      </c>
      <c r="K26" s="1124"/>
      <c r="L26" s="2785"/>
      <c r="M26" s="2785"/>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v>
      </c>
      <c r="D28" s="2050"/>
      <c r="E28" s="2075"/>
      <c r="F28" s="2075"/>
      <c r="G28" s="2075"/>
      <c r="H28" s="2075"/>
      <c r="I28" s="2075"/>
      <c r="J28" s="2076"/>
      <c r="K28" s="1124"/>
      <c r="L28" s="2785"/>
      <c r="M28" s="2785"/>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t="e">
        <f>IF(B25="容积率修正",E33+SUM(E37:E42),SUM(V2:V16)+SUM(E37:E42))</f>
        <v>#DIV/0!</v>
      </c>
      <c r="D30" s="2081"/>
      <c r="E30" s="2044"/>
      <c r="F30" s="2082"/>
      <c r="G30" s="2044"/>
      <c r="H30" s="2044"/>
      <c r="I30" s="2044"/>
      <c r="J30" s="2083"/>
      <c r="K30" s="1118"/>
      <c r="L30" s="3348" t="s">
        <v>1935</v>
      </c>
      <c r="M30" s="3349" t="s">
        <v>1989</v>
      </c>
      <c r="N30" s="3349" t="s">
        <v>1990</v>
      </c>
      <c r="O30" s="3349" t="s">
        <v>1991</v>
      </c>
      <c r="P30" s="3349" t="s">
        <v>1992</v>
      </c>
      <c r="Q30" s="3352" t="s">
        <v>3258</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t="e">
        <f>E34+SUM(I37:I42)</f>
        <v>#DIV/0!</v>
      </c>
      <c r="D31" s="2085"/>
      <c r="E31" s="2086"/>
      <c r="F31" s="2087"/>
      <c r="G31" s="2086"/>
      <c r="H31" s="2086"/>
      <c r="I31" s="2086"/>
      <c r="J31" s="2088"/>
      <c r="K31" s="1118"/>
      <c r="L31" s="3350" t="s">
        <v>1995</v>
      </c>
      <c r="M31" s="1998">
        <v>0.25</v>
      </c>
      <c r="N31" s="1998">
        <v>0.2</v>
      </c>
      <c r="O31" s="1998">
        <v>0.15</v>
      </c>
      <c r="P31" s="1998">
        <v>0.1</v>
      </c>
      <c r="Q31" s="3345">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1" t="s">
        <v>1998</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t="e">
        <f>ROUND(C5*C22*C23*C24*C25*C28,0)</f>
        <v>#DIV/0!</v>
      </c>
      <c r="D33" s="2096"/>
      <c r="E33" s="772" t="e">
        <f>ROUND(C33*D33/10000,0)</f>
        <v>#DIV/0!</v>
      </c>
      <c r="F33" s="3343" t="s">
        <v>3256</v>
      </c>
      <c r="G33" s="2097"/>
      <c r="H33" s="2097"/>
      <c r="I33" s="2097"/>
      <c r="J33" s="2098"/>
      <c r="K33" s="1118"/>
      <c r="L33" s="3346" t="s">
        <v>3259</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t="e">
        <f>ROUND(IF(E2="工业",C33*M42,IF(B25="楼层修正",SUM(V2:V16)*M41*10000/D34,C33*M41)),0)</f>
        <v>#DIV/0!</v>
      </c>
      <c r="D34" s="2101"/>
      <c r="E34" s="772" t="e">
        <f>ROUND(IF(B25="楼层修正",SUM(V2:V16)*M40,C34*D34/10000),0)</f>
        <v>#DIV/0!</v>
      </c>
      <c r="F34" s="2102" t="s">
        <v>2031</v>
      </c>
      <c r="G34" s="2103"/>
      <c r="H34" s="2103"/>
      <c r="I34" s="2103"/>
      <c r="J34" s="2104"/>
      <c r="K34" s="1118"/>
      <c r="L34" s="3346" t="s">
        <v>3260</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4" t="s">
        <v>3257</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4" t="s">
        <v>3261</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10"/>
      <c r="B37" s="2111" t="s">
        <v>2035</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3262</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11"/>
      <c r="B38" s="2039" t="s">
        <v>2036</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811"/>
      <c r="B39" s="2039" t="s">
        <v>3255</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3263</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1998</v>
      </c>
      <c r="E44" s="2151">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49" t="s">
        <v>2044</v>
      </c>
      <c r="C49" s="1349" t="s">
        <v>2045</v>
      </c>
      <c r="D49" s="1349" t="s">
        <v>2046</v>
      </c>
      <c r="E49" s="742" t="s">
        <v>2047</v>
      </c>
      <c r="F49" s="2129" t="s">
        <v>2048</v>
      </c>
      <c r="G49" s="1349" t="s">
        <v>310</v>
      </c>
      <c r="H49" s="2130" t="s">
        <v>2049</v>
      </c>
      <c r="I49" s="1349"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估价对象周边商业氛围成熟度一般，有新业广场等，人流量一般，商业繁华度一般</v>
      </c>
      <c r="C50" s="2042"/>
      <c r="D50" s="1064">
        <f t="shared" ref="D50:D58" si="7">SUMIF($J$49:$N$49,C50,J50:N50)</f>
        <v>0</v>
      </c>
      <c r="E50" s="743">
        <f>ROUND(SUM(D50:D58),4)</f>
        <v>0</v>
      </c>
      <c r="F50" s="1812"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76.5">
      <c r="A51" s="2128" t="s">
        <v>2052</v>
      </c>
      <c r="B51" s="2132" t="str">
        <f>估价对象房地状况!C18</f>
        <v>估价对象周边道路状况较好、有300、368、652路等公交线路及地铁10号线经过，公共交通通达情况较好、停车便捷程度一般，综合评价交通便捷度较好</v>
      </c>
      <c r="C51" s="2042"/>
      <c r="D51" s="1064">
        <f t="shared" si="7"/>
        <v>0</v>
      </c>
      <c r="E51" s="744"/>
      <c r="F51" s="1812"/>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6" t="s">
        <v>3265</v>
      </c>
      <c r="B52" s="2132">
        <f>估价对象房地状况!C19</f>
        <v>0</v>
      </c>
      <c r="C52" s="2042"/>
      <c r="D52" s="1064">
        <f t="shared" si="7"/>
        <v>0</v>
      </c>
      <c r="E52" s="744"/>
      <c r="F52" s="1812"/>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2053</v>
      </c>
      <c r="B53" s="2133" t="s">
        <v>2054</v>
      </c>
      <c r="C53" s="2042"/>
      <c r="D53" s="1064">
        <f t="shared" si="7"/>
        <v>0</v>
      </c>
      <c r="E53" s="744"/>
      <c r="F53" s="1812"/>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t="str">
        <f>估价对象房地状况!C24</f>
        <v>快速路-南三环东路</v>
      </c>
      <c r="C54" s="2042"/>
      <c r="D54" s="1064">
        <f t="shared" si="7"/>
        <v>0</v>
      </c>
      <c r="E54" s="744"/>
      <c r="F54" s="1812"/>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2056</v>
      </c>
      <c r="B55" s="2134" t="s">
        <v>2057</v>
      </c>
      <c r="C55" s="2042"/>
      <c r="D55" s="1064">
        <f t="shared" si="7"/>
        <v>0</v>
      </c>
      <c r="E55" s="744"/>
      <c r="F55" s="1812"/>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2058</v>
      </c>
      <c r="B56" s="1325" t="str">
        <f>估价对象房地状况!C21</f>
        <v>估价对象所在区域公共配套设施齐备情况较好</v>
      </c>
      <c r="C56" s="2042"/>
      <c r="D56" s="1064">
        <f t="shared" si="7"/>
        <v>0</v>
      </c>
      <c r="E56" s="744"/>
      <c r="F56" s="1812"/>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估价对象所在区域基础设施水平七通</v>
      </c>
      <c r="C57" s="2042"/>
      <c r="D57" s="1064">
        <f t="shared" si="7"/>
        <v>0</v>
      </c>
      <c r="E57" s="744"/>
      <c r="F57" s="1812"/>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51.75" thickBot="1">
      <c r="A58" s="2136" t="s">
        <v>2060</v>
      </c>
      <c r="B58" s="2137" t="str">
        <f>估价对象房地状况!C20</f>
        <v>区域自然环境：北京动物园、官园公园；人文环境：北京天文馆、北京建筑大学；综合评价环境状况邮编</v>
      </c>
      <c r="C58" s="2042"/>
      <c r="D58" s="1064">
        <f t="shared" si="7"/>
        <v>0</v>
      </c>
      <c r="E58" s="745"/>
      <c r="F58" s="1812"/>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49"/>
      <c r="C60" s="1349" t="s">
        <v>2045</v>
      </c>
      <c r="D60" s="1349" t="s">
        <v>2046</v>
      </c>
      <c r="E60" s="742" t="s">
        <v>2047</v>
      </c>
      <c r="F60" s="2129" t="s">
        <v>2062</v>
      </c>
      <c r="G60" s="1349" t="s">
        <v>310</v>
      </c>
      <c r="H60" s="2130" t="s">
        <v>2049</v>
      </c>
      <c r="I60" s="1349"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8" t="s">
        <v>2063</v>
      </c>
      <c r="B61" s="2131">
        <f>估价对象房地状况!C17</f>
        <v>0</v>
      </c>
      <c r="C61" s="2042"/>
      <c r="D61" s="1064">
        <f t="shared" ref="D61:D69" si="12">SUMIF($J$60:$N$60,C61,J61:N61)</f>
        <v>0</v>
      </c>
      <c r="E61" s="743">
        <f>ROUND(SUM(D61:D69),4)</f>
        <v>0</v>
      </c>
      <c r="F61" s="1812" t="str">
        <f>IF(E2="办公",SUMIF(L1:L12,G2,N1:N12),"——")</f>
        <v>——</v>
      </c>
      <c r="G61" s="1062"/>
      <c r="H61" s="1065" t="str">
        <f t="shared" ref="H61:H69" si="13">IFERROR(ROUNDDOWN($F$61*I61/2,4),"——")</f>
        <v>——</v>
      </c>
      <c r="I61" s="3364">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76.5">
      <c r="A62" s="2128" t="s">
        <v>2052</v>
      </c>
      <c r="B62" s="2132" t="str">
        <f>估价对象房地状况!C18</f>
        <v>估价对象周边道路状况较好、有300、368、652路等公交线路及地铁10号线经过，公共交通通达情况较好、停车便捷程度一般，综合评价交通便捷度较好</v>
      </c>
      <c r="C62" s="2042"/>
      <c r="D62" s="1064">
        <f t="shared" si="12"/>
        <v>0</v>
      </c>
      <c r="E62" s="744"/>
      <c r="F62" s="1812"/>
      <c r="G62" s="1062"/>
      <c r="H62" s="1065" t="str">
        <f t="shared" si="13"/>
        <v>——</v>
      </c>
      <c r="I62" s="3364">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6" t="s">
        <v>3265</v>
      </c>
      <c r="B63" s="2132">
        <f>估价对象房地状况!C19</f>
        <v>0</v>
      </c>
      <c r="C63" s="2042"/>
      <c r="D63" s="1064">
        <f t="shared" si="12"/>
        <v>0</v>
      </c>
      <c r="E63" s="744"/>
      <c r="F63" s="1812"/>
      <c r="G63" s="1062"/>
      <c r="H63" s="1065" t="str">
        <f t="shared" si="13"/>
        <v>——</v>
      </c>
      <c r="I63" s="3364">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2"/>
        <v>0</v>
      </c>
      <c r="E64" s="744"/>
      <c r="F64" s="1812"/>
      <c r="G64" s="1062"/>
      <c r="H64" s="1065" t="str">
        <f t="shared" si="13"/>
        <v>——</v>
      </c>
      <c r="I64" s="3364">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t="str">
        <f>估价对象房地状况!C24</f>
        <v>快速路-南三环东路</v>
      </c>
      <c r="C65" s="2042"/>
      <c r="D65" s="1064">
        <f t="shared" si="12"/>
        <v>0</v>
      </c>
      <c r="E65" s="744"/>
      <c r="F65" s="1812"/>
      <c r="G65" s="1062"/>
      <c r="H65" s="1065" t="str">
        <f t="shared" si="13"/>
        <v>——</v>
      </c>
      <c r="I65" s="3364">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2"/>
        <v>0</v>
      </c>
      <c r="E66" s="744"/>
      <c r="F66" s="1812"/>
      <c r="G66" s="1062"/>
      <c r="H66" s="1065" t="str">
        <f t="shared" si="13"/>
        <v>——</v>
      </c>
      <c r="I66" s="3364">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2058</v>
      </c>
      <c r="B67" s="1325" t="str">
        <f>估价对象房地状况!C21</f>
        <v>估价对象所在区域公共配套设施齐备情况较好</v>
      </c>
      <c r="C67" s="2042"/>
      <c r="D67" s="1064">
        <f t="shared" si="12"/>
        <v>0</v>
      </c>
      <c r="E67" s="744"/>
      <c r="F67" s="1812"/>
      <c r="G67" s="1062"/>
      <c r="H67" s="1065" t="str">
        <f t="shared" si="13"/>
        <v>——</v>
      </c>
      <c r="I67" s="3364">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2059</v>
      </c>
      <c r="B68" s="1325" t="str">
        <f>估价对象房地状况!C22</f>
        <v>估价对象所在区域基础设施水平七通</v>
      </c>
      <c r="C68" s="2042"/>
      <c r="D68" s="1064">
        <f t="shared" si="12"/>
        <v>0</v>
      </c>
      <c r="E68" s="744"/>
      <c r="F68" s="1812"/>
      <c r="G68" s="1062"/>
      <c r="H68" s="1065" t="str">
        <f t="shared" si="13"/>
        <v>——</v>
      </c>
      <c r="I68" s="3364">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51.75" thickBot="1">
      <c r="A69" s="2136" t="s">
        <v>2060</v>
      </c>
      <c r="B69" s="2138" t="str">
        <f>估价对象房地状况!C20</f>
        <v>区域自然环境：北京动物园、官园公园；人文环境：北京天文馆、北京建筑大学；综合评价环境状况邮编</v>
      </c>
      <c r="C69" s="2042"/>
      <c r="D69" s="1064">
        <f t="shared" si="12"/>
        <v>0</v>
      </c>
      <c r="E69" s="745"/>
      <c r="F69" s="1812"/>
      <c r="G69" s="1062"/>
      <c r="H69" s="1065" t="str">
        <f t="shared" si="13"/>
        <v>——</v>
      </c>
      <c r="I69" s="3365">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49"/>
      <c r="C71" s="1349" t="s">
        <v>2045</v>
      </c>
      <c r="D71" s="1349" t="s">
        <v>2046</v>
      </c>
      <c r="E71" s="742" t="s">
        <v>2047</v>
      </c>
      <c r="F71" s="2129" t="s">
        <v>2062</v>
      </c>
      <c r="G71" s="1349" t="s">
        <v>310</v>
      </c>
      <c r="H71" s="2130" t="s">
        <v>2049</v>
      </c>
      <c r="I71" s="1349"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8" t="s">
        <v>2065</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76.5">
      <c r="A73" s="2128" t="s">
        <v>2052</v>
      </c>
      <c r="B73" s="2132" t="str">
        <f>估价对象房地状况!C18</f>
        <v>估价对象周边道路状况较好、有300、368、652路等公交线路及地铁10号线经过，公共交通通达情况较好、停车便捷程度一般，综合评价交通便捷度较好</v>
      </c>
      <c r="C73" s="2042"/>
      <c r="D73" s="1064">
        <f t="shared" si="17"/>
        <v>0</v>
      </c>
      <c r="E73" s="746"/>
      <c r="F73" s="1812"/>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6" t="s">
        <v>3265</v>
      </c>
      <c r="B74" s="2132">
        <f>估价对象房地状况!C19</f>
        <v>0</v>
      </c>
      <c r="C74" s="2042"/>
      <c r="D74" s="1064">
        <f t="shared" si="17"/>
        <v>0</v>
      </c>
      <c r="E74" s="746"/>
      <c r="F74" s="1812"/>
      <c r="G74" s="1062"/>
      <c r="H74" s="1065" t="str">
        <f t="shared" si="18"/>
        <v>——</v>
      </c>
      <c r="I74" s="3364">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2066</v>
      </c>
      <c r="B75" s="2132" t="str">
        <f>估价对象房地状况!C24</f>
        <v>快速路-南三环东路</v>
      </c>
      <c r="C75" s="2042"/>
      <c r="D75" s="1064">
        <f t="shared" si="17"/>
        <v>0</v>
      </c>
      <c r="E75" s="746"/>
      <c r="F75" s="1812"/>
      <c r="G75" s="1062"/>
      <c r="H75" s="1065" t="str">
        <f t="shared" si="18"/>
        <v>——</v>
      </c>
      <c r="I75" s="3364">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2058</v>
      </c>
      <c r="B76" s="1325" t="str">
        <f>估价对象房地状况!C21</f>
        <v>估价对象所在区域公共配套设施齐备情况较好</v>
      </c>
      <c r="C76" s="2042"/>
      <c r="D76" s="1064">
        <f t="shared" si="17"/>
        <v>0</v>
      </c>
      <c r="E76" s="746"/>
      <c r="F76" s="1812"/>
      <c r="G76" s="1062"/>
      <c r="H76" s="1065" t="str">
        <f t="shared" si="18"/>
        <v>——</v>
      </c>
      <c r="I76" s="3364">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2059</v>
      </c>
      <c r="B77" s="1325" t="str">
        <f>估价对象房地状况!C22</f>
        <v>估价对象所在区域基础设施水平七通</v>
      </c>
      <c r="C77" s="2042"/>
      <c r="D77" s="1064">
        <f t="shared" si="17"/>
        <v>0</v>
      </c>
      <c r="E77" s="746"/>
      <c r="F77" s="1812"/>
      <c r="G77" s="1062"/>
      <c r="H77" s="1065" t="str">
        <f t="shared" si="18"/>
        <v>——</v>
      </c>
      <c r="I77" s="3364">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2056</v>
      </c>
      <c r="B78" s="2134" t="s">
        <v>2057</v>
      </c>
      <c r="C78" s="2042"/>
      <c r="D78" s="1064">
        <f t="shared" si="17"/>
        <v>0</v>
      </c>
      <c r="E78" s="746"/>
      <c r="F78" s="1812"/>
      <c r="G78" s="1062"/>
      <c r="H78" s="1065" t="str">
        <f t="shared" si="18"/>
        <v>——</v>
      </c>
      <c r="I78" s="3364">
        <v>0.05</v>
      </c>
      <c r="J78" s="1063">
        <f t="shared" si="19"/>
        <v>0</v>
      </c>
      <c r="K78" s="1063">
        <f t="shared" si="20"/>
        <v>0</v>
      </c>
      <c r="L78" s="1063">
        <v>0</v>
      </c>
      <c r="M78" s="1063">
        <f t="shared" si="21"/>
        <v>0</v>
      </c>
      <c r="N78" s="1063">
        <f t="shared" si="21"/>
        <v>0</v>
      </c>
      <c r="O78" s="1995"/>
      <c r="P78" s="1995"/>
      <c r="Z78" s="1996"/>
      <c r="AA78" s="2051"/>
      <c r="AG78" s="1120"/>
      <c r="AK78" s="2051"/>
    </row>
    <row r="79" spans="1:37" ht="51">
      <c r="A79" s="2128" t="s">
        <v>2060</v>
      </c>
      <c r="B79" s="2131" t="str">
        <f>估价对象房地状况!C20</f>
        <v>区域自然环境：北京动物园、官园公园；人文环境：北京天文馆、北京建筑大学；综合评价环境状况邮编</v>
      </c>
      <c r="C79" s="2042"/>
      <c r="D79" s="1064">
        <f t="shared" si="17"/>
        <v>0</v>
      </c>
      <c r="E79" s="746"/>
      <c r="F79" s="1812"/>
      <c r="G79" s="1062"/>
      <c r="H79" s="1065" t="str">
        <f t="shared" si="18"/>
        <v>——</v>
      </c>
      <c r="I79" s="3364">
        <v>0.12</v>
      </c>
      <c r="J79" s="1063">
        <f t="shared" si="19"/>
        <v>0</v>
      </c>
      <c r="K79" s="1063">
        <f t="shared" si="20"/>
        <v>0</v>
      </c>
      <c r="L79" s="1063">
        <v>0</v>
      </c>
      <c r="M79" s="1063">
        <f t="shared" si="21"/>
        <v>0</v>
      </c>
      <c r="N79" s="1063">
        <f t="shared" si="21"/>
        <v>0</v>
      </c>
      <c r="Z79" s="1996"/>
      <c r="AA79" s="2051"/>
      <c r="AG79" s="1120"/>
      <c r="AK79" s="2051"/>
    </row>
    <row r="80" spans="1:37" ht="24.75" thickBot="1">
      <c r="A80" s="2136" t="s">
        <v>2067</v>
      </c>
      <c r="B80" s="2140"/>
      <c r="C80" s="2042"/>
      <c r="D80" s="1064">
        <f t="shared" si="17"/>
        <v>0</v>
      </c>
      <c r="E80" s="747"/>
      <c r="F80" s="1812"/>
      <c r="G80" s="1062"/>
      <c r="H80" s="1065" t="str">
        <f t="shared" si="18"/>
        <v>——</v>
      </c>
      <c r="I80" s="3365">
        <v>0.05</v>
      </c>
      <c r="J80" s="1063">
        <f t="shared" si="19"/>
        <v>0</v>
      </c>
      <c r="K80" s="1063">
        <f t="shared" si="20"/>
        <v>0</v>
      </c>
      <c r="L80" s="1063">
        <v>0</v>
      </c>
      <c r="M80" s="1063">
        <f t="shared" si="21"/>
        <v>0</v>
      </c>
      <c r="N80" s="1063">
        <f t="shared" si="21"/>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49"/>
      <c r="C82" s="1349" t="s">
        <v>2045</v>
      </c>
      <c r="D82" s="1349" t="s">
        <v>2046</v>
      </c>
      <c r="E82" s="742" t="s">
        <v>2047</v>
      </c>
      <c r="F82" s="2129" t="s">
        <v>2062</v>
      </c>
      <c r="G82" s="1349" t="s">
        <v>310</v>
      </c>
      <c r="H82" s="2130" t="s">
        <v>2049</v>
      </c>
      <c r="I82" s="1349" t="s">
        <v>2050</v>
      </c>
      <c r="J82" s="552" t="s">
        <v>1720</v>
      </c>
      <c r="K82" s="552" t="s">
        <v>1721</v>
      </c>
      <c r="L82" s="552" t="s">
        <v>1722</v>
      </c>
      <c r="M82" s="552" t="s">
        <v>1723</v>
      </c>
      <c r="N82" s="552" t="s">
        <v>1724</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4">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4">
        <v>0.3</v>
      </c>
      <c r="J84" s="1063">
        <f t="shared" si="24"/>
        <v>0</v>
      </c>
      <c r="K84" s="1063">
        <f t="shared" si="25"/>
        <v>0</v>
      </c>
      <c r="L84" s="1063">
        <v>0</v>
      </c>
      <c r="M84" s="1063">
        <f t="shared" si="26"/>
        <v>0</v>
      </c>
      <c r="N84" s="1063">
        <f t="shared" si="26"/>
        <v>0</v>
      </c>
      <c r="Z84" s="1996"/>
      <c r="AA84" s="2051"/>
      <c r="AG84" s="1120"/>
      <c r="AK84" s="2051"/>
    </row>
    <row r="85" spans="1:37" ht="36">
      <c r="A85" s="3366" t="s">
        <v>3266</v>
      </c>
      <c r="B85" s="2132">
        <f>估价对象房地状况!G17</f>
        <v>0</v>
      </c>
      <c r="C85" s="2042"/>
      <c r="D85" s="1064">
        <f t="shared" si="22"/>
        <v>0</v>
      </c>
      <c r="E85" s="746"/>
      <c r="F85" s="1812"/>
      <c r="G85" s="1062"/>
      <c r="H85" s="1065" t="str">
        <f t="shared" si="23"/>
        <v>——</v>
      </c>
      <c r="I85" s="3364">
        <v>0.1</v>
      </c>
      <c r="J85" s="1063">
        <f t="shared" si="24"/>
        <v>0</v>
      </c>
      <c r="K85" s="1063">
        <f t="shared" si="25"/>
        <v>0</v>
      </c>
      <c r="L85" s="1063">
        <v>0</v>
      </c>
      <c r="M85" s="1063">
        <f t="shared" si="26"/>
        <v>0</v>
      </c>
      <c r="N85" s="1063">
        <f t="shared" si="26"/>
        <v>0</v>
      </c>
      <c r="Z85" s="1996"/>
      <c r="AA85" s="2051"/>
      <c r="AG85" s="1120"/>
      <c r="AK85" s="2051"/>
    </row>
    <row r="86" spans="1:37" ht="14.25">
      <c r="A86" s="2128" t="s">
        <v>2066</v>
      </c>
      <c r="B86" s="2132">
        <f>估价对象房地状况!G22</f>
        <v>0</v>
      </c>
      <c r="C86" s="2042"/>
      <c r="D86" s="1064">
        <f t="shared" si="22"/>
        <v>0</v>
      </c>
      <c r="E86" s="746"/>
      <c r="F86" s="1812"/>
      <c r="G86" s="1062"/>
      <c r="H86" s="1065" t="str">
        <f t="shared" si="23"/>
        <v>——</v>
      </c>
      <c r="I86" s="3364">
        <v>0.05</v>
      </c>
      <c r="J86" s="1063">
        <f t="shared" si="24"/>
        <v>0</v>
      </c>
      <c r="K86" s="1063">
        <f t="shared" si="25"/>
        <v>0</v>
      </c>
      <c r="L86" s="1063">
        <v>0</v>
      </c>
      <c r="M86" s="1063">
        <f t="shared" si="26"/>
        <v>0</v>
      </c>
      <c r="N86" s="1063">
        <f t="shared" si="26"/>
        <v>0</v>
      </c>
      <c r="Z86" s="1996"/>
      <c r="AA86" s="2051"/>
      <c r="AG86" s="1120"/>
      <c r="AK86" s="2051"/>
    </row>
    <row r="87" spans="1:37" ht="25.5">
      <c r="A87" s="2128" t="s">
        <v>2058</v>
      </c>
      <c r="B87" s="1325" t="str">
        <f>估价对象房地状况!G19</f>
        <v>估价对象所在区域公共配套设施齐备情况</v>
      </c>
      <c r="C87" s="2042"/>
      <c r="D87" s="1064">
        <f t="shared" si="22"/>
        <v>0</v>
      </c>
      <c r="E87" s="746"/>
      <c r="F87" s="1812"/>
      <c r="G87" s="1062"/>
      <c r="H87" s="1065" t="str">
        <f t="shared" si="23"/>
        <v>——</v>
      </c>
      <c r="I87" s="3364">
        <v>0.06</v>
      </c>
      <c r="J87" s="1063">
        <f t="shared" si="24"/>
        <v>0</v>
      </c>
      <c r="K87" s="1063">
        <f t="shared" si="25"/>
        <v>0</v>
      </c>
      <c r="L87" s="1063">
        <v>0</v>
      </c>
      <c r="M87" s="1063">
        <f t="shared" si="26"/>
        <v>0</v>
      </c>
      <c r="N87" s="1063">
        <f t="shared" si="26"/>
        <v>0</v>
      </c>
    </row>
    <row r="88" spans="1:37" ht="25.5">
      <c r="A88" s="2128" t="s">
        <v>2059</v>
      </c>
      <c r="B88" s="1325" t="str">
        <f>估价对象房地状况!G20</f>
        <v>估价对象所在区域基础设施水平</v>
      </c>
      <c r="C88" s="2042"/>
      <c r="D88" s="1064">
        <f t="shared" si="22"/>
        <v>0</v>
      </c>
      <c r="E88" s="746"/>
      <c r="F88" s="1812"/>
      <c r="G88" s="1062"/>
      <c r="H88" s="1065" t="str">
        <f t="shared" si="23"/>
        <v>——</v>
      </c>
      <c r="I88" s="3364">
        <v>0.12</v>
      </c>
      <c r="J88" s="1063">
        <f t="shared" si="24"/>
        <v>0</v>
      </c>
      <c r="K88" s="1063">
        <f t="shared" si="25"/>
        <v>0</v>
      </c>
      <c r="L88" s="1063">
        <v>0</v>
      </c>
      <c r="M88" s="1063">
        <f t="shared" si="26"/>
        <v>0</v>
      </c>
      <c r="N88" s="1063">
        <f t="shared" si="26"/>
        <v>0</v>
      </c>
    </row>
    <row r="89" spans="1:37" ht="24">
      <c r="A89" s="2128" t="s">
        <v>2056</v>
      </c>
      <c r="B89" s="2134" t="s">
        <v>2070</v>
      </c>
      <c r="C89" s="2042"/>
      <c r="D89" s="1064">
        <f t="shared" si="22"/>
        <v>0</v>
      </c>
      <c r="E89" s="746"/>
      <c r="F89" s="1812"/>
      <c r="G89" s="1062"/>
      <c r="H89" s="1065" t="str">
        <f t="shared" si="23"/>
        <v>——</v>
      </c>
      <c r="I89" s="3364">
        <v>0.06</v>
      </c>
      <c r="J89" s="1063">
        <f t="shared" si="24"/>
        <v>0</v>
      </c>
      <c r="K89" s="1063">
        <f t="shared" si="25"/>
        <v>0</v>
      </c>
      <c r="L89" s="1063">
        <v>0</v>
      </c>
      <c r="M89" s="1063">
        <f t="shared" si="26"/>
        <v>0</v>
      </c>
      <c r="N89" s="1063">
        <f t="shared" si="26"/>
        <v>0</v>
      </c>
    </row>
    <row r="90" spans="1:37" ht="39" thickBot="1">
      <c r="A90" s="2136" t="s">
        <v>2071</v>
      </c>
      <c r="B90" s="2141" t="str">
        <f>估价对象房地状况!G18</f>
        <v>该园区内是否有污染型企业，绿化情况，卫生条件，整体环境状况判断</v>
      </c>
      <c r="C90" s="2042"/>
      <c r="D90" s="1064">
        <f t="shared" si="22"/>
        <v>0</v>
      </c>
      <c r="E90" s="747"/>
      <c r="F90" s="1812"/>
      <c r="G90" s="1062"/>
      <c r="H90" s="1065" t="str">
        <f t="shared" si="23"/>
        <v>——</v>
      </c>
      <c r="I90" s="3365">
        <v>0.05</v>
      </c>
      <c r="J90" s="1063">
        <f t="shared" si="24"/>
        <v>0</v>
      </c>
      <c r="K90" s="1063">
        <f t="shared" si="25"/>
        <v>0</v>
      </c>
      <c r="L90" s="1063">
        <v>0</v>
      </c>
      <c r="M90" s="1063">
        <f t="shared" si="26"/>
        <v>0</v>
      </c>
      <c r="N90" s="1063">
        <f t="shared" si="26"/>
        <v>0</v>
      </c>
    </row>
    <row r="91" spans="1:37" ht="15">
      <c r="A91" s="3374" t="s">
        <v>2606</v>
      </c>
      <c r="B91" s="3375">
        <f>1+E93</f>
        <v>1</v>
      </c>
      <c r="C91" s="3368"/>
      <c r="D91" s="3369"/>
      <c r="E91" s="1812"/>
      <c r="F91" s="1812"/>
      <c r="G91" s="3370"/>
      <c r="H91" s="3371"/>
      <c r="I91" s="3372"/>
      <c r="J91" s="3373"/>
      <c r="K91" s="3373"/>
      <c r="L91" s="3373"/>
      <c r="M91" s="3373"/>
      <c r="N91" s="3373"/>
    </row>
    <row r="92" spans="1:37" ht="24.75">
      <c r="A92" s="3376" t="s">
        <v>3267</v>
      </c>
      <c r="B92" s="3363"/>
      <c r="C92" s="3363" t="s">
        <v>3276</v>
      </c>
      <c r="D92" s="3363" t="s">
        <v>3277</v>
      </c>
      <c r="E92" s="3345" t="s">
        <v>3278</v>
      </c>
      <c r="F92" s="3378" t="s">
        <v>3279</v>
      </c>
      <c r="G92" s="3363" t="s">
        <v>3280</v>
      </c>
      <c r="H92" s="3385" t="s">
        <v>3283</v>
      </c>
      <c r="I92" s="3363" t="s">
        <v>3284</v>
      </c>
      <c r="J92" s="3386" t="s">
        <v>3285</v>
      </c>
      <c r="K92" s="3386" t="s">
        <v>3286</v>
      </c>
      <c r="L92" s="3386" t="s">
        <v>3287</v>
      </c>
      <c r="M92" s="3386" t="s">
        <v>3288</v>
      </c>
      <c r="N92" s="3386" t="s">
        <v>3289</v>
      </c>
    </row>
    <row r="93" spans="1:37" ht="24">
      <c r="A93" s="3366" t="s">
        <v>3268</v>
      </c>
      <c r="B93" s="1305"/>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76.5">
      <c r="A94" s="3376" t="s">
        <v>3269</v>
      </c>
      <c r="B94" s="3367" t="str">
        <f>估价对象房地状况!C18</f>
        <v>估价对象周边道路状况较好、有300、368、652路等公交线路及地铁10号线经过，公共交通通达情况较好、停车便捷程度一般，综合评价交通便捷度较好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3265</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3270</v>
      </c>
      <c r="B96" s="3382" t="s">
        <v>3281</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3271</v>
      </c>
      <c r="B97" s="3367" t="str">
        <f>估价对象房地状况!C24</f>
        <v>快速路-南三环东路</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3272</v>
      </c>
      <c r="B98" s="3383" t="s">
        <v>3282</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3273</v>
      </c>
      <c r="B99" s="3367" t="str">
        <f>估价对象房地状况!C21</f>
        <v>估价对象所在区域公共配套设施齐备情况较好</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3274</v>
      </c>
      <c r="B100" s="3367" t="str">
        <f>估价对象房地状况!C22</f>
        <v>估价对象所在区域基础设施水平七通</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51.75" thickBot="1">
      <c r="A101" s="3377" t="s">
        <v>3275</v>
      </c>
      <c r="B101" s="3384" t="str">
        <f>估价对象房地状况!C20</f>
        <v>区域自然环境：北京动物园、官园公园；人文环境：北京天文馆、北京建筑大学；综合评价环境状况邮编</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8" t="s">
        <v>3290</v>
      </c>
      <c r="B103" s="3808"/>
      <c r="C103" s="3808"/>
      <c r="D103" s="3808"/>
      <c r="E103" s="3808"/>
      <c r="F103" s="3808"/>
      <c r="G103" s="3808"/>
      <c r="H103" s="3808"/>
      <c r="I103" s="3808"/>
      <c r="J103" s="3808"/>
      <c r="K103" s="3387"/>
      <c r="L103" s="3387"/>
      <c r="M103" s="3387"/>
      <c r="N103" s="3387"/>
    </row>
    <row r="104" spans="1:14">
      <c r="A104" s="3809" t="s">
        <v>3291</v>
      </c>
      <c r="B104" s="3809" t="s">
        <v>3292</v>
      </c>
      <c r="C104" s="3388" t="s">
        <v>3293</v>
      </c>
      <c r="D104" s="3389"/>
      <c r="E104" s="3389"/>
      <c r="F104" s="3389"/>
      <c r="G104" s="3389"/>
      <c r="H104" s="3389"/>
      <c r="I104" s="3389"/>
      <c r="J104" s="3390"/>
      <c r="K104" s="3391"/>
      <c r="L104" s="3391"/>
      <c r="M104" s="3391"/>
      <c r="N104" s="3391"/>
    </row>
    <row r="105" spans="1:14">
      <c r="A105" s="3809"/>
      <c r="B105" s="3809"/>
      <c r="C105" s="3392" t="s">
        <v>3294</v>
      </c>
      <c r="D105" s="3392" t="s">
        <v>3295</v>
      </c>
      <c r="E105" s="3392" t="s">
        <v>3296</v>
      </c>
      <c r="F105" s="3392" t="s">
        <v>3297</v>
      </c>
      <c r="G105" s="3392" t="s">
        <v>3298</v>
      </c>
      <c r="H105" s="3392" t="s">
        <v>3299</v>
      </c>
      <c r="I105" s="3392" t="s">
        <v>3300</v>
      </c>
      <c r="J105" s="3392" t="s">
        <v>3301</v>
      </c>
      <c r="K105" s="3392" t="s">
        <v>3302</v>
      </c>
      <c r="L105" s="3392" t="s">
        <v>3303</v>
      </c>
      <c r="M105" s="3392" t="s">
        <v>3304</v>
      </c>
      <c r="N105" s="3392" t="s">
        <v>3305</v>
      </c>
    </row>
    <row r="106" spans="1:14">
      <c r="A106" s="3795" t="s">
        <v>3306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6"/>
      <c r="B111" s="3392" t="s">
        <v>3264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9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98" t="s">
        <v>3307</v>
      </c>
      <c r="B113" s="3798"/>
      <c r="C113" s="3798"/>
      <c r="D113" s="3798"/>
      <c r="E113" s="3798"/>
      <c r="F113" s="3798"/>
      <c r="G113" s="3798"/>
      <c r="H113" s="3798"/>
      <c r="I113" s="3798"/>
      <c r="J113" s="379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3308</v>
      </c>
      <c r="B116" s="3413">
        <f>G3</f>
        <v>0</v>
      </c>
      <c r="C116" s="3397" t="s">
        <v>3309</v>
      </c>
      <c r="D116" s="3398">
        <f>SUMPRODUCT((A118:A122=F116)*(B117:M117=H116)*B118:M122)</f>
        <v>0</v>
      </c>
      <c r="E116" s="1998" t="s">
        <v>3310</v>
      </c>
      <c r="F116" s="3399">
        <f>E2</f>
        <v>0</v>
      </c>
      <c r="G116" s="1998" t="s">
        <v>3311</v>
      </c>
      <c r="H116" s="3399">
        <f>G2</f>
        <v>0</v>
      </c>
      <c r="I116" s="1998"/>
      <c r="J116" s="3400"/>
      <c r="K116" s="3400"/>
      <c r="L116" s="3400"/>
      <c r="M116" s="3400"/>
      <c r="N116" s="3395"/>
    </row>
    <row r="117" spans="1:14">
      <c r="A117" s="3401"/>
      <c r="B117" s="3402" t="s">
        <v>3312</v>
      </c>
      <c r="C117" s="3402" t="s">
        <v>3313</v>
      </c>
      <c r="D117" s="3402" t="s">
        <v>3314</v>
      </c>
      <c r="E117" s="3403" t="s">
        <v>3315</v>
      </c>
      <c r="F117" s="3403" t="s">
        <v>3316</v>
      </c>
      <c r="G117" s="3403" t="s">
        <v>3317</v>
      </c>
      <c r="H117" s="3404" t="s">
        <v>3318</v>
      </c>
      <c r="I117" s="3404" t="s">
        <v>3319</v>
      </c>
      <c r="J117" s="3405" t="s">
        <v>3320</v>
      </c>
      <c r="K117" s="3405" t="s">
        <v>3321</v>
      </c>
      <c r="L117" s="3405" t="s">
        <v>3322</v>
      </c>
      <c r="M117" s="3406" t="s">
        <v>3323</v>
      </c>
      <c r="N117" s="3395"/>
    </row>
    <row r="118" spans="1:14">
      <c r="A118" s="3407" t="s">
        <v>3324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3823" t="s">
        <v>2601</v>
      </c>
      <c r="B20" s="3818" t="s">
        <v>2622</v>
      </c>
      <c r="C20" s="3100" t="s">
        <v>2433</v>
      </c>
      <c r="D20" s="3101"/>
      <c r="E20" s="3102">
        <v>1</v>
      </c>
      <c r="F20" s="3103" t="s">
        <v>2434</v>
      </c>
      <c r="G20" s="3103"/>
    </row>
    <row r="21" spans="1:13" ht="19.5" customHeight="1">
      <c r="A21" s="3824"/>
      <c r="B21" s="3817"/>
      <c r="C21" s="3104" t="s">
        <v>2435</v>
      </c>
      <c r="D21" s="3105"/>
      <c r="E21" s="3106">
        <v>1</v>
      </c>
      <c r="F21" s="3103" t="s">
        <v>2436</v>
      </c>
      <c r="G21" s="3103"/>
    </row>
    <row r="22" spans="1:13" ht="19.5" customHeight="1">
      <c r="A22" s="3824"/>
      <c r="B22" s="3817"/>
      <c r="C22" s="3104" t="s">
        <v>2437</v>
      </c>
      <c r="D22" s="3105"/>
      <c r="E22" s="3106">
        <v>0.9</v>
      </c>
      <c r="F22" s="3103" t="s">
        <v>2438</v>
      </c>
      <c r="G22" s="3103"/>
    </row>
    <row r="23" spans="1:13" ht="19.5" customHeight="1">
      <c r="A23" s="3824"/>
      <c r="B23" s="3817"/>
      <c r="C23" s="3104" t="s">
        <v>2439</v>
      </c>
      <c r="D23" s="3105"/>
      <c r="E23" s="3106">
        <v>0.9</v>
      </c>
      <c r="F23" s="3103" t="s">
        <v>2440</v>
      </c>
      <c r="G23" s="3103"/>
    </row>
    <row r="24" spans="1:13" ht="19.5" customHeight="1">
      <c r="A24" s="3824"/>
      <c r="B24" s="3817"/>
      <c r="C24" s="3104" t="s">
        <v>2441</v>
      </c>
      <c r="D24" s="3105"/>
      <c r="E24" s="3106">
        <v>0.8</v>
      </c>
      <c r="F24" s="3103" t="s">
        <v>2442</v>
      </c>
      <c r="G24" s="3103"/>
    </row>
    <row r="25" spans="1:13" ht="19.5" customHeight="1" thickBot="1">
      <c r="A25" s="3825"/>
      <c r="B25" s="3819"/>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3820" t="s">
        <v>2625</v>
      </c>
      <c r="B27" s="3818" t="s">
        <v>2606</v>
      </c>
      <c r="C27" s="3100" t="s">
        <v>2446</v>
      </c>
      <c r="D27" s="3101"/>
      <c r="E27" s="3102">
        <v>1</v>
      </c>
      <c r="F27" s="3103" t="s">
        <v>2447</v>
      </c>
      <c r="G27" s="3103"/>
    </row>
    <row r="28" spans="1:13" ht="19.5" customHeight="1">
      <c r="A28" s="3821"/>
      <c r="B28" s="3817"/>
      <c r="C28" s="3104" t="s">
        <v>2448</v>
      </c>
      <c r="D28" s="3105"/>
      <c r="E28" s="3106">
        <v>1</v>
      </c>
      <c r="F28" s="3103" t="s">
        <v>2449</v>
      </c>
      <c r="G28" s="3103"/>
    </row>
    <row r="29" spans="1:13" ht="19.5" customHeight="1">
      <c r="A29" s="3821"/>
      <c r="B29" s="3817"/>
      <c r="C29" s="3104" t="s">
        <v>2450</v>
      </c>
      <c r="D29" s="3105"/>
      <c r="E29" s="3106">
        <v>0.8</v>
      </c>
      <c r="F29" s="3103" t="s">
        <v>2451</v>
      </c>
      <c r="G29" s="3103"/>
    </row>
    <row r="30" spans="1:13" ht="19.5" customHeight="1">
      <c r="A30" s="3821"/>
      <c r="B30" s="3817"/>
      <c r="C30" s="3104" t="s">
        <v>2452</v>
      </c>
      <c r="D30" s="3105"/>
      <c r="E30" s="3106">
        <v>0.8</v>
      </c>
      <c r="F30" s="3103" t="s">
        <v>2453</v>
      </c>
      <c r="G30" s="3103"/>
    </row>
    <row r="31" spans="1:13" ht="19.5" customHeight="1">
      <c r="A31" s="3821"/>
      <c r="B31" s="3817"/>
      <c r="C31" s="3104" t="s">
        <v>2454</v>
      </c>
      <c r="D31" s="3105"/>
      <c r="E31" s="3106">
        <v>0.8</v>
      </c>
      <c r="F31" s="3103" t="s">
        <v>2455</v>
      </c>
      <c r="G31" s="3103"/>
    </row>
    <row r="32" spans="1:13" ht="19.5" customHeight="1">
      <c r="A32" s="3821"/>
      <c r="B32" s="3817"/>
      <c r="C32" s="3104" t="s">
        <v>2456</v>
      </c>
      <c r="D32" s="3105"/>
      <c r="E32" s="3106">
        <v>0.7</v>
      </c>
      <c r="F32" s="3103" t="s">
        <v>2457</v>
      </c>
      <c r="G32" s="3103"/>
    </row>
    <row r="33" spans="1:7" ht="19.5" customHeight="1">
      <c r="A33" s="3821"/>
      <c r="B33" s="3817"/>
      <c r="C33" s="3104" t="s">
        <v>2458</v>
      </c>
      <c r="D33" s="3105"/>
      <c r="E33" s="3106">
        <v>0.8</v>
      </c>
      <c r="F33" s="3103" t="s">
        <v>2459</v>
      </c>
      <c r="G33" s="3103"/>
    </row>
    <row r="34" spans="1:7" ht="19.5" customHeight="1">
      <c r="A34" s="3821"/>
      <c r="B34" s="3817"/>
      <c r="C34" s="3104" t="s">
        <v>2460</v>
      </c>
      <c r="D34" s="3105"/>
      <c r="E34" s="3106">
        <v>0.6</v>
      </c>
      <c r="F34" s="3103" t="s">
        <v>2461</v>
      </c>
      <c r="G34" s="3103"/>
    </row>
    <row r="35" spans="1:7" ht="19.5" customHeight="1">
      <c r="A35" s="3821"/>
      <c r="B35" s="3817"/>
      <c r="C35" s="3104" t="s">
        <v>2462</v>
      </c>
      <c r="D35" s="3105"/>
      <c r="E35" s="3106">
        <v>0.2</v>
      </c>
      <c r="F35" s="3103" t="s">
        <v>2463</v>
      </c>
      <c r="G35" s="3103"/>
    </row>
    <row r="36" spans="1:7" ht="19.5" customHeight="1">
      <c r="A36" s="3821"/>
      <c r="B36" s="3817"/>
      <c r="C36" s="3104" t="s">
        <v>2464</v>
      </c>
      <c r="D36" s="3105"/>
      <c r="E36" s="3106">
        <v>0.2</v>
      </c>
      <c r="F36" s="3103" t="s">
        <v>2465</v>
      </c>
      <c r="G36" s="3103"/>
    </row>
    <row r="37" spans="1:7" ht="19.5" customHeight="1">
      <c r="A37" s="3821"/>
      <c r="B37" s="3815" t="s">
        <v>2626</v>
      </c>
      <c r="C37" s="3104" t="s">
        <v>2466</v>
      </c>
      <c r="D37" s="3105"/>
      <c r="E37" s="3106">
        <v>0.6</v>
      </c>
      <c r="F37" s="3103" t="s">
        <v>2467</v>
      </c>
      <c r="G37" s="3103"/>
    </row>
    <row r="38" spans="1:7" ht="19.5" customHeight="1">
      <c r="A38" s="3821"/>
      <c r="B38" s="3817"/>
      <c r="C38" s="3104" t="s">
        <v>2468</v>
      </c>
      <c r="D38" s="3105"/>
      <c r="E38" s="3106">
        <v>0.6</v>
      </c>
      <c r="F38" s="3103" t="s">
        <v>2469</v>
      </c>
      <c r="G38" s="3103"/>
    </row>
    <row r="39" spans="1:7" ht="19.5" customHeight="1" thickBot="1">
      <c r="A39" s="3822"/>
      <c r="B39" s="3819"/>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3823" t="s">
        <v>2604</v>
      </c>
      <c r="B41" s="3818" t="s">
        <v>2628</v>
      </c>
      <c r="C41" s="3100" t="s">
        <v>2473</v>
      </c>
      <c r="D41" s="3101"/>
      <c r="E41" s="3102">
        <v>1</v>
      </c>
      <c r="F41" s="3103" t="s">
        <v>2474</v>
      </c>
      <c r="G41" s="3103"/>
    </row>
    <row r="42" spans="1:7" ht="19.5" customHeight="1">
      <c r="A42" s="3824"/>
      <c r="B42" s="3817"/>
      <c r="C42" s="3104" t="s">
        <v>2475</v>
      </c>
      <c r="D42" s="3105"/>
      <c r="E42" s="3106">
        <v>1</v>
      </c>
      <c r="F42" s="3103" t="s">
        <v>2476</v>
      </c>
      <c r="G42" s="3103"/>
    </row>
    <row r="43" spans="1:7" ht="19.5" customHeight="1">
      <c r="A43" s="3824"/>
      <c r="B43" s="3816"/>
      <c r="C43" s="3104" t="s">
        <v>2477</v>
      </c>
      <c r="D43" s="3105"/>
      <c r="E43" s="3106">
        <v>1.5</v>
      </c>
      <c r="F43" s="3103" t="s">
        <v>2478</v>
      </c>
      <c r="G43" s="3103"/>
    </row>
    <row r="44" spans="1:7" ht="19.5" customHeight="1">
      <c r="A44" s="3824"/>
      <c r="B44" s="3115" t="s">
        <v>2629</v>
      </c>
      <c r="C44" s="3104" t="s">
        <v>2630</v>
      </c>
      <c r="D44" s="3105"/>
      <c r="E44" s="3106">
        <v>2</v>
      </c>
      <c r="F44" s="3103" t="s">
        <v>2479</v>
      </c>
      <c r="G44" s="3103"/>
    </row>
    <row r="45" spans="1:7" ht="19.5" customHeight="1">
      <c r="A45" s="3824"/>
      <c r="B45" s="3815" t="s">
        <v>2631</v>
      </c>
      <c r="C45" s="3104" t="s">
        <v>2480</v>
      </c>
      <c r="D45" s="3105"/>
      <c r="E45" s="3106">
        <v>1</v>
      </c>
      <c r="F45" s="3103" t="s">
        <v>2481</v>
      </c>
      <c r="G45" s="3103"/>
    </row>
    <row r="46" spans="1:7" ht="19.5" customHeight="1">
      <c r="A46" s="3824"/>
      <c r="B46" s="3817"/>
      <c r="C46" s="3104" t="s">
        <v>2482</v>
      </c>
      <c r="D46" s="3105"/>
      <c r="E46" s="3106">
        <v>1</v>
      </c>
      <c r="F46" s="3103" t="s">
        <v>2483</v>
      </c>
      <c r="G46" s="3103"/>
    </row>
    <row r="47" spans="1:7" ht="19.5" customHeight="1">
      <c r="A47" s="3824"/>
      <c r="B47" s="3817"/>
      <c r="C47" s="3104" t="s">
        <v>2484</v>
      </c>
      <c r="D47" s="3105"/>
      <c r="E47" s="3106">
        <v>1</v>
      </c>
      <c r="F47" s="3103" t="s">
        <v>2485</v>
      </c>
      <c r="G47" s="3103"/>
    </row>
    <row r="48" spans="1:7" ht="19.5" customHeight="1">
      <c r="A48" s="3824"/>
      <c r="B48" s="3817"/>
      <c r="C48" s="3104" t="s">
        <v>2486</v>
      </c>
      <c r="D48" s="3105"/>
      <c r="E48" s="3106">
        <v>1</v>
      </c>
      <c r="F48" s="3103" t="s">
        <v>2487</v>
      </c>
      <c r="G48" s="3103"/>
    </row>
    <row r="49" spans="1:7" ht="19.5" customHeight="1">
      <c r="A49" s="3824"/>
      <c r="B49" s="3817"/>
      <c r="C49" s="3104" t="s">
        <v>2488</v>
      </c>
      <c r="D49" s="3105"/>
      <c r="E49" s="3106">
        <v>1</v>
      </c>
      <c r="F49" s="3103" t="s">
        <v>2489</v>
      </c>
      <c r="G49" s="3103"/>
    </row>
    <row r="50" spans="1:7" ht="19.5" customHeight="1">
      <c r="A50" s="3824"/>
      <c r="B50" s="3817"/>
      <c r="C50" s="3104" t="s">
        <v>2490</v>
      </c>
      <c r="D50" s="3105"/>
      <c r="E50" s="3106">
        <v>1</v>
      </c>
      <c r="F50" s="3103" t="s">
        <v>2491</v>
      </c>
      <c r="G50" s="3103"/>
    </row>
    <row r="51" spans="1:7" ht="19.5" customHeight="1" thickBot="1">
      <c r="A51" s="3825"/>
      <c r="B51" s="3819"/>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3815" t="s">
        <v>2645</v>
      </c>
      <c r="C73" s="3089" t="s">
        <v>2646</v>
      </c>
      <c r="D73" s="3089" t="s">
        <v>2647</v>
      </c>
      <c r="E73" s="3115">
        <v>0.2</v>
      </c>
      <c r="F73" s="3115">
        <v>25</v>
      </c>
    </row>
    <row r="74" spans="1:7" ht="24">
      <c r="A74" s="3115">
        <v>2</v>
      </c>
      <c r="B74" s="3817"/>
      <c r="C74" s="3089" t="s">
        <v>2648</v>
      </c>
      <c r="D74" s="3089" t="s">
        <v>2649</v>
      </c>
      <c r="E74" s="3115">
        <v>0.2</v>
      </c>
      <c r="F74" s="3115">
        <v>25</v>
      </c>
    </row>
    <row r="75" spans="1:7" ht="24">
      <c r="A75" s="3115">
        <v>3</v>
      </c>
      <c r="B75" s="3817"/>
      <c r="C75" s="3089" t="s">
        <v>2650</v>
      </c>
      <c r="D75" s="3089" t="s">
        <v>2651</v>
      </c>
      <c r="E75" s="3115">
        <v>0.2</v>
      </c>
      <c r="F75" s="3115">
        <v>25</v>
      </c>
    </row>
    <row r="76" spans="1:7" ht="13.5">
      <c r="A76" s="3115">
        <v>4</v>
      </c>
      <c r="B76" s="3817"/>
      <c r="C76" s="3089" t="s">
        <v>2652</v>
      </c>
      <c r="D76" s="3089" t="s">
        <v>2653</v>
      </c>
      <c r="E76" s="3115">
        <v>0.15</v>
      </c>
      <c r="F76" s="3115">
        <v>20</v>
      </c>
    </row>
    <row r="77" spans="1:7" ht="24">
      <c r="A77" s="3115">
        <v>5</v>
      </c>
      <c r="B77" s="3817"/>
      <c r="C77" s="3089" t="s">
        <v>2654</v>
      </c>
      <c r="D77" s="3089" t="s">
        <v>2655</v>
      </c>
      <c r="E77" s="3115">
        <v>0.15</v>
      </c>
      <c r="F77" s="3115">
        <v>20</v>
      </c>
    </row>
    <row r="78" spans="1:7" ht="24">
      <c r="A78" s="3115">
        <v>6</v>
      </c>
      <c r="B78" s="3817"/>
      <c r="C78" s="3089" t="s">
        <v>2656</v>
      </c>
      <c r="D78" s="3089" t="s">
        <v>2657</v>
      </c>
      <c r="E78" s="3115">
        <v>0.15</v>
      </c>
      <c r="F78" s="3115">
        <v>20</v>
      </c>
    </row>
    <row r="79" spans="1:7" ht="24">
      <c r="A79" s="3115">
        <v>7</v>
      </c>
      <c r="B79" s="3817"/>
      <c r="C79" s="3089" t="s">
        <v>2658</v>
      </c>
      <c r="D79" s="3089" t="s">
        <v>2659</v>
      </c>
      <c r="E79" s="3115">
        <v>0.15</v>
      </c>
      <c r="F79" s="3115">
        <v>20</v>
      </c>
    </row>
    <row r="80" spans="1:7" ht="24">
      <c r="A80" s="3115">
        <v>8</v>
      </c>
      <c r="B80" s="3817"/>
      <c r="C80" s="3089" t="s">
        <v>2660</v>
      </c>
      <c r="D80" s="3089" t="s">
        <v>2661</v>
      </c>
      <c r="E80" s="3115">
        <v>0.1</v>
      </c>
      <c r="F80" s="3115">
        <v>15</v>
      </c>
    </row>
    <row r="81" spans="1:6" ht="24">
      <c r="A81" s="3115">
        <v>9</v>
      </c>
      <c r="B81" s="3817"/>
      <c r="C81" s="3089" t="s">
        <v>2662</v>
      </c>
      <c r="D81" s="3089" t="s">
        <v>2663</v>
      </c>
      <c r="E81" s="3115">
        <v>0.1</v>
      </c>
      <c r="F81" s="3115">
        <v>15</v>
      </c>
    </row>
    <row r="82" spans="1:6" ht="24">
      <c r="A82" s="3115">
        <v>10</v>
      </c>
      <c r="B82" s="3817"/>
      <c r="C82" s="3089" t="s">
        <v>2664</v>
      </c>
      <c r="D82" s="3089" t="s">
        <v>2665</v>
      </c>
      <c r="E82" s="3115">
        <v>0.1</v>
      </c>
      <c r="F82" s="3115">
        <v>15</v>
      </c>
    </row>
    <row r="83" spans="1:6" ht="24">
      <c r="A83" s="3115">
        <v>11</v>
      </c>
      <c r="B83" s="3817"/>
      <c r="C83" s="3089" t="s">
        <v>2666</v>
      </c>
      <c r="D83" s="3089" t="s">
        <v>2667</v>
      </c>
      <c r="E83" s="3115">
        <v>0.1</v>
      </c>
      <c r="F83" s="3115">
        <v>15</v>
      </c>
    </row>
    <row r="84" spans="1:6" ht="24">
      <c r="A84" s="3115">
        <v>12</v>
      </c>
      <c r="B84" s="3817"/>
      <c r="C84" s="3089" t="s">
        <v>2668</v>
      </c>
      <c r="D84" s="3089" t="s">
        <v>2669</v>
      </c>
      <c r="E84" s="3115">
        <v>0.1</v>
      </c>
      <c r="F84" s="3115">
        <v>15</v>
      </c>
    </row>
    <row r="85" spans="1:6" ht="13.5">
      <c r="A85" s="3115">
        <v>13</v>
      </c>
      <c r="B85" s="3817"/>
      <c r="C85" s="3089" t="s">
        <v>2670</v>
      </c>
      <c r="D85" s="3089" t="s">
        <v>2671</v>
      </c>
      <c r="E85" s="3115">
        <v>0.1</v>
      </c>
      <c r="F85" s="3115">
        <v>15</v>
      </c>
    </row>
    <row r="86" spans="1:6" ht="13.5">
      <c r="A86" s="3115">
        <v>14</v>
      </c>
      <c r="B86" s="3817"/>
      <c r="C86" s="3089" t="s">
        <v>2672</v>
      </c>
      <c r="D86" s="3089" t="s">
        <v>2673</v>
      </c>
      <c r="E86" s="3115">
        <v>0.1</v>
      </c>
      <c r="F86" s="3115">
        <v>15</v>
      </c>
    </row>
    <row r="87" spans="1:6" ht="13.5">
      <c r="A87" s="3115">
        <v>15</v>
      </c>
      <c r="B87" s="3817"/>
      <c r="C87" s="3089" t="s">
        <v>2674</v>
      </c>
      <c r="D87" s="3089" t="s">
        <v>2675</v>
      </c>
      <c r="E87" s="3115">
        <v>0.1</v>
      </c>
      <c r="F87" s="3115">
        <v>15</v>
      </c>
    </row>
    <row r="88" spans="1:6" ht="24">
      <c r="A88" s="3115">
        <v>16</v>
      </c>
      <c r="B88" s="3817"/>
      <c r="C88" s="3089" t="s">
        <v>2676</v>
      </c>
      <c r="D88" s="3089" t="s">
        <v>2677</v>
      </c>
      <c r="E88" s="3115">
        <v>0.1</v>
      </c>
      <c r="F88" s="3115">
        <v>15</v>
      </c>
    </row>
    <row r="89" spans="1:6" ht="24">
      <c r="A89" s="3115">
        <v>17</v>
      </c>
      <c r="B89" s="3816"/>
      <c r="C89" s="3089" t="s">
        <v>2678</v>
      </c>
      <c r="D89" s="3089" t="s">
        <v>2679</v>
      </c>
      <c r="E89" s="3115">
        <v>0.1</v>
      </c>
      <c r="F89" s="3115">
        <v>15</v>
      </c>
    </row>
    <row r="90" spans="1:6" ht="13.5">
      <c r="A90" s="3115">
        <v>18</v>
      </c>
      <c r="B90" s="3815" t="s">
        <v>2680</v>
      </c>
      <c r="C90" s="3089" t="s">
        <v>2681</v>
      </c>
      <c r="D90" s="3089" t="s">
        <v>2682</v>
      </c>
      <c r="E90" s="3115">
        <v>0.2</v>
      </c>
      <c r="F90" s="3115">
        <v>25</v>
      </c>
    </row>
    <row r="91" spans="1:6" ht="24">
      <c r="A91" s="3115">
        <v>19</v>
      </c>
      <c r="B91" s="3817"/>
      <c r="C91" s="3089" t="s">
        <v>2683</v>
      </c>
      <c r="D91" s="3089" t="s">
        <v>2684</v>
      </c>
      <c r="E91" s="3115">
        <v>0.2</v>
      </c>
      <c r="F91" s="3115">
        <v>25</v>
      </c>
    </row>
    <row r="92" spans="1:6" ht="13.5">
      <c r="A92" s="3115">
        <v>20</v>
      </c>
      <c r="B92" s="3817"/>
      <c r="C92" s="3089" t="s">
        <v>2685</v>
      </c>
      <c r="D92" s="3089" t="s">
        <v>2686</v>
      </c>
      <c r="E92" s="3115">
        <v>0.15</v>
      </c>
      <c r="F92" s="3115">
        <v>20</v>
      </c>
    </row>
    <row r="93" spans="1:6" ht="13.5">
      <c r="A93" s="3115">
        <v>21</v>
      </c>
      <c r="B93" s="3817"/>
      <c r="C93" s="3089" t="s">
        <v>2687</v>
      </c>
      <c r="D93" s="3089" t="s">
        <v>2688</v>
      </c>
      <c r="E93" s="3115">
        <v>0.15</v>
      </c>
      <c r="F93" s="3115">
        <v>20</v>
      </c>
    </row>
    <row r="94" spans="1:6" ht="13.5">
      <c r="A94" s="3115">
        <v>22</v>
      </c>
      <c r="B94" s="3817"/>
      <c r="C94" s="3089" t="s">
        <v>2689</v>
      </c>
      <c r="D94" s="3089" t="s">
        <v>2690</v>
      </c>
      <c r="E94" s="3115">
        <v>0.15</v>
      </c>
      <c r="F94" s="3115">
        <v>20</v>
      </c>
    </row>
    <row r="95" spans="1:6" ht="36">
      <c r="A95" s="3115">
        <v>23</v>
      </c>
      <c r="B95" s="3817"/>
      <c r="C95" s="3089" t="s">
        <v>2691</v>
      </c>
      <c r="D95" s="3089" t="s">
        <v>2692</v>
      </c>
      <c r="E95" s="3115">
        <v>0.15</v>
      </c>
      <c r="F95" s="3115">
        <v>20</v>
      </c>
    </row>
    <row r="96" spans="1:6" ht="13.5">
      <c r="A96" s="3115">
        <v>24</v>
      </c>
      <c r="B96" s="3817"/>
      <c r="C96" s="3089" t="s">
        <v>2693</v>
      </c>
      <c r="D96" s="3089" t="s">
        <v>2694</v>
      </c>
      <c r="E96" s="3115">
        <v>0.1</v>
      </c>
      <c r="F96" s="3115">
        <v>15</v>
      </c>
    </row>
    <row r="97" spans="1:6" ht="13.5">
      <c r="A97" s="3115">
        <v>25</v>
      </c>
      <c r="B97" s="3817"/>
      <c r="C97" s="3089" t="s">
        <v>2695</v>
      </c>
      <c r="D97" s="3089" t="s">
        <v>2696</v>
      </c>
      <c r="E97" s="3115">
        <v>0.1</v>
      </c>
      <c r="F97" s="3115">
        <v>15</v>
      </c>
    </row>
    <row r="98" spans="1:6" ht="24">
      <c r="A98" s="3115">
        <v>26</v>
      </c>
      <c r="B98" s="3817"/>
      <c r="C98" s="3089" t="s">
        <v>2697</v>
      </c>
      <c r="D98" s="3089" t="s">
        <v>2698</v>
      </c>
      <c r="E98" s="3115">
        <v>0.1</v>
      </c>
      <c r="F98" s="3115">
        <v>15</v>
      </c>
    </row>
    <row r="99" spans="1:6" ht="24">
      <c r="A99" s="3115">
        <v>27</v>
      </c>
      <c r="B99" s="3817"/>
      <c r="C99" s="3089" t="s">
        <v>2699</v>
      </c>
      <c r="D99" s="3089" t="s">
        <v>2700</v>
      </c>
      <c r="E99" s="3115">
        <v>0.1</v>
      </c>
      <c r="F99" s="3115">
        <v>15</v>
      </c>
    </row>
    <row r="100" spans="1:6" ht="13.5">
      <c r="A100" s="3115">
        <v>28</v>
      </c>
      <c r="B100" s="3817"/>
      <c r="C100" s="3089" t="s">
        <v>2701</v>
      </c>
      <c r="D100" s="3089" t="s">
        <v>2702</v>
      </c>
      <c r="E100" s="3115">
        <v>0.1</v>
      </c>
      <c r="F100" s="3115">
        <v>15</v>
      </c>
    </row>
    <row r="101" spans="1:6" ht="13.5">
      <c r="A101" s="3115">
        <v>29</v>
      </c>
      <c r="B101" s="3817"/>
      <c r="C101" s="3089" t="s">
        <v>2703</v>
      </c>
      <c r="D101" s="3089" t="s">
        <v>2704</v>
      </c>
      <c r="E101" s="3115">
        <v>0.1</v>
      </c>
      <c r="F101" s="3115">
        <v>15</v>
      </c>
    </row>
    <row r="102" spans="1:6" ht="13.5">
      <c r="A102" s="3115">
        <v>30</v>
      </c>
      <c r="B102" s="3817"/>
      <c r="C102" s="3089" t="s">
        <v>2705</v>
      </c>
      <c r="D102" s="3089" t="s">
        <v>2706</v>
      </c>
      <c r="E102" s="3115">
        <v>0.1</v>
      </c>
      <c r="F102" s="3115">
        <v>15</v>
      </c>
    </row>
    <row r="103" spans="1:6" ht="24">
      <c r="A103" s="3115">
        <v>31</v>
      </c>
      <c r="B103" s="3817"/>
      <c r="C103" s="3089" t="s">
        <v>2707</v>
      </c>
      <c r="D103" s="3089" t="s">
        <v>2708</v>
      </c>
      <c r="E103" s="3115">
        <v>0.1</v>
      </c>
      <c r="F103" s="3115">
        <v>15</v>
      </c>
    </row>
    <row r="104" spans="1:6" ht="24">
      <c r="A104" s="3115">
        <v>32</v>
      </c>
      <c r="B104" s="3817"/>
      <c r="C104" s="3089" t="s">
        <v>2709</v>
      </c>
      <c r="D104" s="3089" t="s">
        <v>2710</v>
      </c>
      <c r="E104" s="3115">
        <v>0.1</v>
      </c>
      <c r="F104" s="3115">
        <v>15</v>
      </c>
    </row>
    <row r="105" spans="1:6" ht="24">
      <c r="A105" s="3115">
        <v>33</v>
      </c>
      <c r="B105" s="3817"/>
      <c r="C105" s="3089" t="s">
        <v>2711</v>
      </c>
      <c r="D105" s="3089" t="s">
        <v>2712</v>
      </c>
      <c r="E105" s="3115">
        <v>0.1</v>
      </c>
      <c r="F105" s="3115">
        <v>15</v>
      </c>
    </row>
    <row r="106" spans="1:6" ht="24">
      <c r="A106" s="3115">
        <v>34</v>
      </c>
      <c r="B106" s="3816"/>
      <c r="C106" s="3089" t="s">
        <v>2713</v>
      </c>
      <c r="D106" s="3089" t="s">
        <v>2714</v>
      </c>
      <c r="E106" s="3115">
        <v>0.1</v>
      </c>
      <c r="F106" s="3115">
        <v>15</v>
      </c>
    </row>
    <row r="107" spans="1:6" ht="24">
      <c r="A107" s="3115">
        <v>35</v>
      </c>
      <c r="B107" s="3815" t="s">
        <v>2715</v>
      </c>
      <c r="C107" s="3115" t="s">
        <v>2716</v>
      </c>
      <c r="D107" s="3089" t="s">
        <v>2717</v>
      </c>
      <c r="E107" s="3115">
        <v>0.15</v>
      </c>
      <c r="F107" s="3115">
        <v>20</v>
      </c>
    </row>
    <row r="108" spans="1:6" ht="13.5">
      <c r="A108" s="3115">
        <v>36</v>
      </c>
      <c r="B108" s="3817"/>
      <c r="C108" s="3115" t="s">
        <v>2718</v>
      </c>
      <c r="D108" s="3089" t="s">
        <v>2719</v>
      </c>
      <c r="E108" s="3115">
        <v>0.15</v>
      </c>
      <c r="F108" s="3115">
        <v>20</v>
      </c>
    </row>
    <row r="109" spans="1:6" ht="13.5">
      <c r="A109" s="3115">
        <v>37</v>
      </c>
      <c r="B109" s="3817"/>
      <c r="C109" s="3115" t="s">
        <v>2720</v>
      </c>
      <c r="D109" s="3089" t="s">
        <v>2721</v>
      </c>
      <c r="E109" s="3115">
        <v>0.15</v>
      </c>
      <c r="F109" s="3115">
        <v>20</v>
      </c>
    </row>
    <row r="110" spans="1:6" ht="13.5">
      <c r="A110" s="3115">
        <v>38</v>
      </c>
      <c r="B110" s="3817"/>
      <c r="C110" s="3115" t="s">
        <v>2722</v>
      </c>
      <c r="D110" s="3089" t="s">
        <v>2723</v>
      </c>
      <c r="E110" s="3115">
        <v>0.1</v>
      </c>
      <c r="F110" s="3115">
        <v>15</v>
      </c>
    </row>
    <row r="111" spans="1:6" ht="24">
      <c r="A111" s="3115">
        <v>39</v>
      </c>
      <c r="B111" s="3817"/>
      <c r="C111" s="3115" t="s">
        <v>2724</v>
      </c>
      <c r="D111" s="3089" t="s">
        <v>2725</v>
      </c>
      <c r="E111" s="3115">
        <v>0.1</v>
      </c>
      <c r="F111" s="3115">
        <v>15</v>
      </c>
    </row>
    <row r="112" spans="1:6" ht="24">
      <c r="A112" s="3115">
        <v>40</v>
      </c>
      <c r="B112" s="3816"/>
      <c r="C112" s="3115" t="s">
        <v>2726</v>
      </c>
      <c r="D112" s="3089" t="s">
        <v>2727</v>
      </c>
      <c r="E112" s="3115">
        <v>0.1</v>
      </c>
      <c r="F112" s="3115">
        <v>15</v>
      </c>
    </row>
    <row r="113" spans="1:6" ht="13.5">
      <c r="A113" s="3115">
        <v>41</v>
      </c>
      <c r="B113" s="3814" t="s">
        <v>2728</v>
      </c>
      <c r="C113" s="3115" t="s">
        <v>2729</v>
      </c>
      <c r="D113" s="3089" t="s">
        <v>2730</v>
      </c>
      <c r="E113" s="3115">
        <v>0.1</v>
      </c>
      <c r="F113" s="3115">
        <v>15</v>
      </c>
    </row>
    <row r="114" spans="1:6" ht="13.5">
      <c r="A114" s="3115">
        <v>42</v>
      </c>
      <c r="B114" s="3814"/>
      <c r="C114" s="3115" t="s">
        <v>2731</v>
      </c>
      <c r="D114" s="3089" t="s">
        <v>2732</v>
      </c>
      <c r="E114" s="3115">
        <v>0.1</v>
      </c>
      <c r="F114" s="3115">
        <v>15</v>
      </c>
    </row>
    <row r="115" spans="1:6" ht="24">
      <c r="A115" s="3115">
        <v>43</v>
      </c>
      <c r="B115" s="3814"/>
      <c r="C115" s="3115" t="s">
        <v>2733</v>
      </c>
      <c r="D115" s="3089" t="s">
        <v>2734</v>
      </c>
      <c r="E115" s="3115">
        <v>0.1</v>
      </c>
      <c r="F115" s="3115">
        <v>15</v>
      </c>
    </row>
    <row r="116" spans="1:6" ht="13.5">
      <c r="A116" s="3115">
        <v>44</v>
      </c>
      <c r="B116" s="3815" t="s">
        <v>2735</v>
      </c>
      <c r="C116" s="3115" t="s">
        <v>2736</v>
      </c>
      <c r="D116" s="3089" t="s">
        <v>2737</v>
      </c>
      <c r="E116" s="3115">
        <v>0.1</v>
      </c>
      <c r="F116" s="3115">
        <v>15</v>
      </c>
    </row>
    <row r="117" spans="1:6" ht="24">
      <c r="A117" s="3115">
        <v>45</v>
      </c>
      <c r="B117" s="3816"/>
      <c r="C117" s="3089" t="s">
        <v>2738</v>
      </c>
      <c r="D117" s="3089" t="s">
        <v>2739</v>
      </c>
      <c r="E117" s="3115">
        <v>0.1</v>
      </c>
      <c r="F117" s="3115">
        <v>15</v>
      </c>
    </row>
    <row r="118" spans="1:6" ht="24">
      <c r="A118" s="3115">
        <v>46</v>
      </c>
      <c r="B118" s="3815" t="s">
        <v>2740</v>
      </c>
      <c r="C118" s="3115" t="s">
        <v>2741</v>
      </c>
      <c r="D118" s="3089" t="s">
        <v>2742</v>
      </c>
      <c r="E118" s="3115">
        <v>0.1</v>
      </c>
      <c r="F118" s="3115">
        <v>15</v>
      </c>
    </row>
    <row r="119" spans="1:6" ht="24">
      <c r="A119" s="3115">
        <v>47</v>
      </c>
      <c r="B119" s="3816"/>
      <c r="C119" s="3115" t="s">
        <v>2743</v>
      </c>
      <c r="D119" s="3089" t="s">
        <v>2744</v>
      </c>
      <c r="E119" s="3115">
        <v>0.1</v>
      </c>
      <c r="F119" s="3115">
        <v>15</v>
      </c>
    </row>
    <row r="120" spans="1:6" ht="13.5">
      <c r="A120" s="3115">
        <v>48</v>
      </c>
      <c r="B120" s="3815" t="s">
        <v>2745</v>
      </c>
      <c r="C120" s="3115" t="s">
        <v>2746</v>
      </c>
      <c r="D120" s="3089" t="s">
        <v>2747</v>
      </c>
      <c r="E120" s="3115">
        <v>0.1</v>
      </c>
      <c r="F120" s="3115">
        <v>15</v>
      </c>
    </row>
    <row r="121" spans="1:6" ht="13.5">
      <c r="A121" s="3115">
        <v>49</v>
      </c>
      <c r="B121" s="3816"/>
      <c r="C121" s="3115" t="s">
        <v>2748</v>
      </c>
      <c r="D121" s="3089" t="s">
        <v>2749</v>
      </c>
      <c r="E121" s="3115">
        <v>0.1</v>
      </c>
      <c r="F121" s="3115">
        <v>15</v>
      </c>
    </row>
    <row r="122" spans="1:6" ht="24">
      <c r="A122" s="3115">
        <v>50</v>
      </c>
      <c r="B122" s="3814" t="s">
        <v>2750</v>
      </c>
      <c r="C122" s="3115" t="s">
        <v>2751</v>
      </c>
      <c r="D122" s="3089" t="s">
        <v>2752</v>
      </c>
      <c r="E122" s="3115">
        <v>0.1</v>
      </c>
      <c r="F122" s="3115">
        <v>15</v>
      </c>
    </row>
    <row r="123" spans="1:6" ht="24">
      <c r="A123" s="3115">
        <v>51</v>
      </c>
      <c r="B123" s="3814"/>
      <c r="C123" s="3115" t="s">
        <v>2753</v>
      </c>
      <c r="D123" s="3089" t="s">
        <v>2754</v>
      </c>
      <c r="E123" s="3115">
        <v>0.1</v>
      </c>
      <c r="F123" s="3115">
        <v>15</v>
      </c>
    </row>
    <row r="124" spans="1:6" ht="24">
      <c r="A124" s="3115">
        <v>52</v>
      </c>
      <c r="B124" s="3814" t="s">
        <v>2755</v>
      </c>
      <c r="C124" s="3115" t="s">
        <v>2756</v>
      </c>
      <c r="D124" s="3089" t="s">
        <v>2757</v>
      </c>
      <c r="E124" s="3115">
        <v>0.1</v>
      </c>
      <c r="F124" s="3115">
        <v>15</v>
      </c>
    </row>
    <row r="125" spans="1:6" ht="24">
      <c r="A125" s="3115">
        <v>53</v>
      </c>
      <c r="B125" s="3814"/>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3814" t="s">
        <v>2763</v>
      </c>
      <c r="C127" s="3115" t="s">
        <v>2764</v>
      </c>
      <c r="D127" s="3089" t="s">
        <v>2765</v>
      </c>
      <c r="E127" s="3115">
        <v>0.1</v>
      </c>
      <c r="F127" s="3115">
        <v>15</v>
      </c>
    </row>
    <row r="128" spans="1:6" ht="13.5">
      <c r="A128" s="3115">
        <v>56</v>
      </c>
      <c r="B128" s="3814"/>
      <c r="C128" s="3115" t="s">
        <v>2766</v>
      </c>
      <c r="D128" s="3089" t="s">
        <v>2767</v>
      </c>
      <c r="E128" s="3115">
        <v>0.1</v>
      </c>
      <c r="F128" s="3115">
        <v>15</v>
      </c>
    </row>
    <row r="129" spans="1:6" ht="24">
      <c r="A129" s="3115">
        <v>57</v>
      </c>
      <c r="B129" s="3814"/>
      <c r="C129" s="3115" t="s">
        <v>2768</v>
      </c>
      <c r="D129" s="3089" t="s">
        <v>2769</v>
      </c>
      <c r="E129" s="3115">
        <v>0.1</v>
      </c>
      <c r="F129" s="3115">
        <v>15</v>
      </c>
    </row>
    <row r="130" spans="1:6" ht="24">
      <c r="A130" s="3115">
        <v>58</v>
      </c>
      <c r="B130" s="3814" t="s">
        <v>2770</v>
      </c>
      <c r="C130" s="3115" t="s">
        <v>2771</v>
      </c>
      <c r="D130" s="3089" t="s">
        <v>2772</v>
      </c>
      <c r="E130" s="3115">
        <v>0.1</v>
      </c>
      <c r="F130" s="3115">
        <v>15</v>
      </c>
    </row>
    <row r="131" spans="1:6" ht="13.5">
      <c r="A131" s="3115">
        <v>59</v>
      </c>
      <c r="B131" s="3814"/>
      <c r="C131" s="3115" t="s">
        <v>2773</v>
      </c>
      <c r="D131" s="3089" t="s">
        <v>2774</v>
      </c>
      <c r="E131" s="3115">
        <v>0.1</v>
      </c>
      <c r="F131" s="3115">
        <v>15</v>
      </c>
    </row>
    <row r="132" spans="1:6" ht="13.5">
      <c r="A132" s="3115">
        <v>60</v>
      </c>
      <c r="B132" s="3815" t="s">
        <v>2775</v>
      </c>
      <c r="C132" s="3115" t="s">
        <v>2776</v>
      </c>
      <c r="D132" s="3089" t="s">
        <v>2777</v>
      </c>
      <c r="E132" s="3115">
        <v>0.1</v>
      </c>
      <c r="F132" s="3115">
        <v>15</v>
      </c>
    </row>
    <row r="133" spans="1:6" ht="13.5">
      <c r="A133" s="3115">
        <v>61</v>
      </c>
      <c r="B133" s="3816"/>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3814" t="s">
        <v>2783</v>
      </c>
      <c r="C135" s="3115" t="s">
        <v>2784</v>
      </c>
      <c r="D135" s="3089" t="s">
        <v>2785</v>
      </c>
      <c r="E135" s="3115">
        <v>0.1</v>
      </c>
      <c r="F135" s="3115">
        <v>15</v>
      </c>
    </row>
    <row r="136" spans="1:6" ht="13.5">
      <c r="A136" s="3115">
        <v>64</v>
      </c>
      <c r="B136" s="3814"/>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2792</v>
      </c>
      <c r="B1" s="3124"/>
      <c r="C1" s="3124"/>
      <c r="D1" s="3124"/>
      <c r="E1" s="3124"/>
      <c r="F1" s="3124"/>
      <c r="G1" s="3124"/>
      <c r="H1" s="3124"/>
      <c r="I1" s="3124"/>
      <c r="J1" s="3124"/>
      <c r="K1" s="3124"/>
      <c r="L1" s="3124"/>
      <c r="M1" s="3124"/>
      <c r="N1" s="748"/>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49">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49">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v>
      </c>
      <c r="B3" s="3508"/>
      <c r="C3" s="3508"/>
      <c r="D3" s="3508"/>
      <c r="E3" s="3508"/>
    </row>
    <row r="4" spans="1:5" ht="19.5" thickBot="1">
      <c r="A4" s="1491"/>
      <c r="B4" s="3506" t="s">
        <v>917</v>
      </c>
      <c r="C4" s="3506"/>
      <c r="D4" s="3506"/>
      <c r="E4" s="1491"/>
    </row>
    <row r="5" spans="1:5" ht="16.5" thickTop="1">
      <c r="A5" s="1489"/>
      <c r="B5" s="3504" t="s">
        <v>909</v>
      </c>
      <c r="C5" s="1492" t="s">
        <v>910</v>
      </c>
      <c r="D5" s="849">
        <f ca="1">结果表!H101</f>
        <v>482</v>
      </c>
      <c r="E5" s="1489"/>
    </row>
    <row r="6" spans="1:5" ht="15.75">
      <c r="A6" s="1489"/>
      <c r="B6" s="3504"/>
      <c r="C6" s="1492" t="s">
        <v>911</v>
      </c>
      <c r="D6" s="849" t="str">
        <f ca="1">NUMBERSTRING(INT(D5*10000),2)&amp;"元整"</f>
        <v>肆佰捌拾贰万元整</v>
      </c>
      <c r="E6" s="1489"/>
    </row>
    <row r="7" spans="1:5" ht="15.75">
      <c r="A7" s="1489"/>
      <c r="B7" s="3509"/>
      <c r="C7" s="1493" t="s">
        <v>912</v>
      </c>
      <c r="D7" s="850">
        <f ca="1">结果表!H102</f>
        <v>38333</v>
      </c>
      <c r="E7" s="1489"/>
    </row>
    <row r="8" spans="1:5" ht="15.75">
      <c r="A8" s="1489"/>
      <c r="B8" s="3510" t="str">
        <f>结果表!E103</f>
        <v>2.估价师知悉的法定优先受偿款</v>
      </c>
      <c r="C8" s="1494" t="s">
        <v>913</v>
      </c>
      <c r="D8" s="850">
        <f>结果表!H103</f>
        <v>0</v>
      </c>
      <c r="E8" s="1489"/>
    </row>
    <row r="9" spans="1:5" ht="15.75">
      <c r="A9" s="1489"/>
      <c r="B9" s="3512"/>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03" t="str">
        <f>结果表!E107</f>
        <v>3.房地产抵押价值</v>
      </c>
      <c r="C13" s="1497" t="s">
        <v>910</v>
      </c>
      <c r="D13" s="852">
        <f ca="1">结果表!H107</f>
        <v>482</v>
      </c>
      <c r="E13" s="1489"/>
    </row>
    <row r="14" spans="1:5" ht="15.75">
      <c r="A14" s="1489"/>
      <c r="B14" s="3504"/>
      <c r="C14" s="1492" t="s">
        <v>911</v>
      </c>
      <c r="D14" s="849" t="str">
        <f ca="1">NUMBERSTRING(INT(D13*10000),2)&amp;"元整"</f>
        <v>肆佰捌拾贰万元整</v>
      </c>
      <c r="E14" s="1489"/>
    </row>
    <row r="15" spans="1:5" ht="15">
      <c r="A15" s="1489"/>
      <c r="B15" s="3509"/>
      <c r="C15" s="1493" t="s">
        <v>921</v>
      </c>
      <c r="D15" s="858">
        <f ca="1">结果表!H108</f>
        <v>38333</v>
      </c>
      <c r="E15" s="1489"/>
    </row>
    <row r="16" spans="1:5" ht="15">
      <c r="A16" s="1489"/>
      <c r="B16" s="3510" t="str">
        <f>结果表!E109</f>
        <v>——</v>
      </c>
      <c r="C16" s="1497" t="s">
        <v>922</v>
      </c>
      <c r="D16" s="1498" t="str">
        <f>结果表!H109</f>
        <v>——</v>
      </c>
      <c r="E16" s="1489"/>
    </row>
    <row r="17" spans="1:5" ht="15.75">
      <c r="A17" s="1489"/>
      <c r="B17" s="3511"/>
      <c r="C17" s="1492" t="s">
        <v>923</v>
      </c>
      <c r="D17" s="849" t="e">
        <f>NUMBERSTRING(INT(D16*10000),2)&amp;"元整"</f>
        <v>#VALUE!</v>
      </c>
      <c r="E17" s="1489"/>
    </row>
    <row r="18" spans="1:5" ht="15">
      <c r="A18" s="1489"/>
      <c r="B18" s="3512"/>
      <c r="C18" s="1493" t="s">
        <v>912</v>
      </c>
      <c r="D18" s="858" t="str">
        <f>结果表!H110</f>
        <v>——</v>
      </c>
      <c r="E18" s="1489"/>
    </row>
    <row r="19" spans="1:5" ht="15.75">
      <c r="A19" s="1489"/>
      <c r="B19" s="3503" t="str">
        <f>结果表!E111</f>
        <v>——</v>
      </c>
      <c r="C19" s="1497" t="s">
        <v>910</v>
      </c>
      <c r="D19" s="850" t="str">
        <f>结果表!H111</f>
        <v>——</v>
      </c>
      <c r="E19" s="1489"/>
    </row>
    <row r="20" spans="1:5" ht="15.75">
      <c r="A20" s="1489"/>
      <c r="B20" s="3504"/>
      <c r="C20" s="1492" t="s">
        <v>923</v>
      </c>
      <c r="D20" s="849" t="e">
        <f>NUMBERSTRING(INT(D19*10000),2)&amp;"元整"</f>
        <v>#VALUE!</v>
      </c>
      <c r="E20" s="1489"/>
    </row>
    <row r="21" spans="1:5" ht="15.75" thickBot="1">
      <c r="A21" s="1489"/>
      <c r="B21" s="3505"/>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28361</v>
      </c>
      <c r="C2" s="2" t="s">
        <v>106</v>
      </c>
      <c r="D2" s="199"/>
      <c r="E2" s="199"/>
      <c r="F2" s="199"/>
      <c r="G2" s="199"/>
    </row>
    <row r="3" spans="1:7" s="200" customFormat="1" ht="18" customHeight="1" thickBot="1">
      <c r="A3" s="203" t="s">
        <v>58</v>
      </c>
      <c r="B3" s="204">
        <f ca="1">ROUND(B2*10000/'数据-汇总表'!E3,0)</f>
        <v>2255527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125.74</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125.74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864</v>
      </c>
      <c r="D22" s="235">
        <f ca="1">C26</f>
        <v>4.0000000000000002E-4</v>
      </c>
      <c r="E22" s="236" t="s">
        <v>99</v>
      </c>
      <c r="F22" s="237">
        <f ca="1">'数据-取费表'!B40</f>
        <v>4.1499999999999995E-2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855</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9</v>
      </c>
      <c r="D25" s="238"/>
      <c r="E25" s="241"/>
      <c r="F25" s="239"/>
      <c r="G25" s="242" t="s">
        <v>83</v>
      </c>
    </row>
    <row r="26" spans="1:7" s="214" customFormat="1">
      <c r="A26" s="779" t="s">
        <v>350</v>
      </c>
      <c r="B26" s="215" t="s">
        <v>422</v>
      </c>
      <c r="C26" s="238">
        <f ca="1">ROUND(IF('数据-取费表'!B22&lt;=1,F21*F22*'数据-取费表'!B23/2,F21*(POWER((1+F22),'数据-取费表'!B23/2)-1)),4)</f>
        <v>4.0000000000000002E-4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50</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125.74</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4.0000000000000002E-4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1</v>
      </c>
      <c r="D42" s="238"/>
      <c r="E42" s="238"/>
      <c r="F42" s="239"/>
      <c r="G42" s="3688" t="s">
        <v>94</v>
      </c>
    </row>
    <row r="43" spans="1:7" ht="13.5" customHeight="1">
      <c r="A43" s="779" t="s">
        <v>347</v>
      </c>
      <c r="B43" s="215" t="s">
        <v>426</v>
      </c>
      <c r="C43" s="238">
        <f ca="1">ROUND(IF('数据-取费表'!B22&lt;=1,C39*F22*'数据-取费表'!B21/2,C39*(POWER((1+F22),'数据-取费表'!B21/2)-1)),0)</f>
        <v>0</v>
      </c>
      <c r="D43" s="238"/>
      <c r="E43" s="238"/>
      <c r="F43" s="239"/>
      <c r="G43" s="3689"/>
    </row>
    <row r="44" spans="1:7" ht="13.5" customHeight="1">
      <c r="A44" s="779" t="s">
        <v>348</v>
      </c>
      <c r="B44" s="215" t="s">
        <v>428</v>
      </c>
      <c r="C44" s="238">
        <f ca="1">ROUND(IF('数据-取费表'!B22&lt;=1,C40*F22*'数据-取费表'!B21/2,C40*(POWER((1+F22),'数据-取费表'!B21/2)-1)),4)</f>
        <v>4.0000000000000002E-4</v>
      </c>
      <c r="D44" s="238"/>
      <c r="E44" s="238"/>
      <c r="F44" s="239"/>
      <c r="G44" s="3690"/>
    </row>
    <row r="45" spans="1:7" s="214" customFormat="1" ht="13.5" customHeight="1">
      <c r="A45" s="776" t="s">
        <v>341</v>
      </c>
      <c r="B45" s="244" t="s">
        <v>85</v>
      </c>
      <c r="C45" s="245">
        <f>C46</f>
        <v>11</v>
      </c>
      <c r="D45" s="235">
        <f>C47</f>
        <v>4.0000000000000001E-3</v>
      </c>
      <c r="E45" s="236" t="s">
        <v>102</v>
      </c>
      <c r="F45" s="246"/>
      <c r="G45" s="247" t="s">
        <v>434</v>
      </c>
    </row>
    <row r="46" spans="1:7" s="214" customFormat="1" ht="13.5" customHeight="1">
      <c r="A46" s="779" t="s">
        <v>349</v>
      </c>
      <c r="B46" s="248" t="s">
        <v>427</v>
      </c>
      <c r="C46" s="249">
        <f>ROUND((C33+C39)*F27,0)</f>
        <v>11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75</v>
      </c>
      <c r="D49" s="232"/>
      <c r="E49" s="232"/>
      <c r="F49" s="264"/>
      <c r="G49" s="234" t="s">
        <v>435</v>
      </c>
    </row>
    <row r="50" spans="1:7" s="258" customFormat="1" ht="24">
      <c r="A50" s="776" t="s">
        <v>344</v>
      </c>
      <c r="B50" s="210" t="s">
        <v>97</v>
      </c>
      <c r="C50" s="232"/>
      <c r="D50" s="232"/>
      <c r="E50" s="232"/>
      <c r="F50" s="264">
        <f>IF('数据-取费表'!B24=0,'数据-取费表'!N16,1)</f>
        <v>0.9</v>
      </c>
      <c r="G50" s="247" t="s">
        <v>98</v>
      </c>
    </row>
    <row r="51" spans="1:7" ht="16.5" customHeight="1">
      <c r="A51" s="776" t="s">
        <v>345</v>
      </c>
      <c r="B51" s="210" t="s">
        <v>105</v>
      </c>
      <c r="C51" s="232">
        <f ca="1">ROUND(C49*F50,0)</f>
        <v>68</v>
      </c>
      <c r="D51" s="232"/>
      <c r="E51" s="232"/>
      <c r="F51" s="264"/>
      <c r="G51" s="234" t="s">
        <v>37</v>
      </c>
    </row>
    <row r="52" spans="1:7" s="208" customFormat="1" ht="16.5" thickBot="1">
      <c r="A52" s="265" t="s">
        <v>38</v>
      </c>
      <c r="B52" s="266"/>
      <c r="C52" s="267">
        <f ca="1">C31+C51</f>
        <v>28361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N39" sqref="N39"/>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1765</v>
      </c>
      <c r="C1" s="1237" t="s">
        <v>1661</v>
      </c>
      <c r="D1" s="1224" t="s">
        <v>3609</v>
      </c>
      <c r="E1" s="3423" t="s">
        <v>3511</v>
      </c>
      <c r="F1" s="1877" t="s">
        <v>3632</v>
      </c>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1463</v>
      </c>
      <c r="B3" s="558" t="e">
        <f>IF(C2="——",C49,ROUND(B2*10000/D3,0))</f>
        <v>#DIV/0!</v>
      </c>
      <c r="C3" s="354" t="s">
        <v>1767</v>
      </c>
      <c r="D3" s="353">
        <f>IF(D1="",'数据-汇总表'!E3,SUMIF('数据-汇总表'!$C19:$C33,D1,'数据-汇总表'!$E19:$E33))</f>
        <v>0</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1768</v>
      </c>
      <c r="B4" s="356"/>
      <c r="C4" s="3714" t="s">
        <v>1769</v>
      </c>
      <c r="D4" s="3715"/>
      <c r="E4" s="3716" t="s">
        <v>1770</v>
      </c>
      <c r="F4" s="3717"/>
      <c r="G4" s="3714" t="s">
        <v>1771</v>
      </c>
      <c r="H4" s="3715"/>
      <c r="I4" s="3714" t="s">
        <v>1772</v>
      </c>
      <c r="J4" s="3715"/>
      <c r="K4" s="559" t="s">
        <v>1773</v>
      </c>
      <c r="L4" s="2712"/>
      <c r="M4" s="2713"/>
      <c r="N4" s="2713"/>
      <c r="O4" s="2713"/>
      <c r="P4" s="3757" t="s">
        <v>1774</v>
      </c>
      <c r="Q4" s="3758"/>
      <c r="R4" s="3761" t="s">
        <v>1770</v>
      </c>
      <c r="S4" s="3762"/>
      <c r="T4" s="3761" t="s">
        <v>1771</v>
      </c>
      <c r="U4" s="3762"/>
      <c r="V4" s="3731" t="s">
        <v>1772</v>
      </c>
      <c r="W4" s="3731"/>
      <c r="X4" s="3499"/>
      <c r="Y4" s="3761" t="s">
        <v>1774</v>
      </c>
      <c r="Z4" s="3762"/>
      <c r="AA4" s="3756" t="s">
        <v>1770</v>
      </c>
      <c r="AB4" s="3731" t="s">
        <v>1771</v>
      </c>
      <c r="AC4" s="3756" t="s">
        <v>1772</v>
      </c>
    </row>
    <row r="5" spans="1:29" ht="15" customHeight="1">
      <c r="A5" s="358"/>
      <c r="B5" s="359"/>
      <c r="C5" s="3740" t="s">
        <v>1672</v>
      </c>
      <c r="D5" s="3741"/>
      <c r="E5" s="3734" t="s">
        <v>3631</v>
      </c>
      <c r="F5" s="3735"/>
      <c r="G5" s="3763" t="s">
        <v>3623</v>
      </c>
      <c r="H5" s="3741"/>
      <c r="I5" s="3763" t="s">
        <v>3635</v>
      </c>
      <c r="J5" s="3741"/>
      <c r="K5" s="559"/>
      <c r="L5" s="2712"/>
      <c r="M5" s="2713"/>
      <c r="N5" s="2713"/>
      <c r="O5" s="2713"/>
      <c r="P5" s="3759"/>
      <c r="Q5" s="3721"/>
      <c r="R5" s="3726"/>
      <c r="S5" s="3727"/>
      <c r="T5" s="3726"/>
      <c r="U5" s="3727"/>
      <c r="V5" s="3731"/>
      <c r="W5" s="3731"/>
      <c r="X5" s="3499"/>
      <c r="Y5" s="3726"/>
      <c r="Z5" s="3727"/>
      <c r="AA5" s="3745"/>
      <c r="AB5" s="3731"/>
      <c r="AC5" s="3745"/>
    </row>
    <row r="6" spans="1:29" ht="15.75" thickBot="1">
      <c r="A6" s="360"/>
      <c r="B6" s="361"/>
      <c r="C6" s="3732" t="s">
        <v>1676</v>
      </c>
      <c r="D6" s="3733"/>
      <c r="E6" s="3742" t="s">
        <v>1676</v>
      </c>
      <c r="F6" s="3743"/>
      <c r="G6" s="3732" t="s">
        <v>1676</v>
      </c>
      <c r="H6" s="3733"/>
      <c r="I6" s="3732" t="s">
        <v>1676</v>
      </c>
      <c r="J6" s="3733"/>
      <c r="K6" s="559" t="s">
        <v>1677</v>
      </c>
      <c r="L6" s="2712"/>
      <c r="M6" s="2713"/>
      <c r="N6" s="2713"/>
      <c r="O6" s="2713"/>
      <c r="P6" s="3760"/>
      <c r="Q6" s="3723"/>
      <c r="R6" s="3726"/>
      <c r="S6" s="3727"/>
      <c r="T6" s="3728"/>
      <c r="U6" s="3729"/>
      <c r="V6" s="3731"/>
      <c r="W6" s="3731"/>
      <c r="X6" s="3499"/>
      <c r="Y6" s="3728"/>
      <c r="Z6" s="3729"/>
      <c r="AA6" s="3746"/>
      <c r="AB6" s="3731"/>
      <c r="AC6" s="3746"/>
    </row>
    <row r="7" spans="1:29" s="108" customFormat="1" ht="15.75" thickBot="1">
      <c r="A7" s="362" t="s">
        <v>1678</v>
      </c>
      <c r="B7" s="363"/>
      <c r="C7" s="364">
        <f>'数据-取费表'!B2</f>
        <v>45210</v>
      </c>
      <c r="D7" s="365">
        <v>100</v>
      </c>
      <c r="E7" s="366">
        <v>45047</v>
      </c>
      <c r="F7" s="367">
        <f>SUMIF(58:58,YEAR(E7)&amp;"-"&amp;MONTH(E7),59:59)</f>
        <v>0</v>
      </c>
      <c r="G7" s="366">
        <v>45047</v>
      </c>
      <c r="H7" s="365">
        <f>SUMIF(58:58,YEAR(G7)&amp;"-"&amp;MONTH(G7),59:59)</f>
        <v>0</v>
      </c>
      <c r="I7" s="366">
        <v>45047</v>
      </c>
      <c r="J7" s="365">
        <f>SUMIF(58:58,YEAR(I7)&amp;"-"&amp;MONTH(I7),59:59)</f>
        <v>0</v>
      </c>
      <c r="K7" s="560"/>
      <c r="L7" s="2714"/>
      <c r="M7" s="2715"/>
      <c r="N7" s="2715"/>
      <c r="O7" s="2715"/>
      <c r="P7" s="3738" t="s">
        <v>1679</v>
      </c>
      <c r="Q7" s="3739"/>
      <c r="R7" s="700" t="s">
        <v>14</v>
      </c>
      <c r="S7" s="701">
        <f t="shared" ref="S7:S15" si="0">F7</f>
        <v>0</v>
      </c>
      <c r="T7" s="700" t="s">
        <v>14</v>
      </c>
      <c r="U7" s="701">
        <f t="shared" ref="U7:U15" si="1">H7</f>
        <v>0</v>
      </c>
      <c r="V7" s="700" t="s">
        <v>14</v>
      </c>
      <c r="W7" s="701">
        <f t="shared" ref="W7:W15" si="2">J7</f>
        <v>0</v>
      </c>
      <c r="X7" s="702"/>
      <c r="Y7" s="3738" t="s">
        <v>1679</v>
      </c>
      <c r="Z7" s="3737"/>
      <c r="AA7" s="703" t="e">
        <f>D7/F7</f>
        <v>#DIV/0!</v>
      </c>
      <c r="AB7" s="703" t="e">
        <f>D7/H7</f>
        <v>#DIV/0!</v>
      </c>
      <c r="AC7" s="703" t="e">
        <f>D7/J7</f>
        <v>#DIV/0!</v>
      </c>
    </row>
    <row r="8" spans="1:29" s="108" customFormat="1" ht="15.75" thickBot="1">
      <c r="A8" s="362" t="s">
        <v>1680</v>
      </c>
      <c r="B8" s="363"/>
      <c r="C8" s="368" t="s">
        <v>3508</v>
      </c>
      <c r="D8" s="365">
        <v>100</v>
      </c>
      <c r="E8" s="368" t="s">
        <v>3509</v>
      </c>
      <c r="F8" s="367">
        <f>SUMIF(61:61,E8,62:62)-SUMIF(61:61,C8,62:62)+100</f>
        <v>100</v>
      </c>
      <c r="G8" s="368" t="s">
        <v>3509</v>
      </c>
      <c r="H8" s="365">
        <f>SUMIF(61:61,G8,62:62)-SUMIF(61:61,C8,62:62)+100</f>
        <v>100</v>
      </c>
      <c r="I8" s="368" t="s">
        <v>3509</v>
      </c>
      <c r="J8" s="365">
        <f>SUMIF(61:61,I8,62:62)-SUMIF(61:61,C8,62:62)+100</f>
        <v>100</v>
      </c>
      <c r="K8" s="560"/>
      <c r="L8" s="2714"/>
      <c r="M8" s="2715"/>
      <c r="N8" s="2715"/>
      <c r="O8" s="2715"/>
      <c r="P8" s="3738" t="s">
        <v>1682</v>
      </c>
      <c r="Q8" s="3737"/>
      <c r="R8" s="700" t="s">
        <v>14</v>
      </c>
      <c r="S8" s="701">
        <f t="shared" si="0"/>
        <v>100</v>
      </c>
      <c r="T8" s="700" t="s">
        <v>14</v>
      </c>
      <c r="U8" s="701">
        <f t="shared" si="1"/>
        <v>100</v>
      </c>
      <c r="V8" s="700" t="s">
        <v>14</v>
      </c>
      <c r="W8" s="701">
        <f t="shared" si="2"/>
        <v>100</v>
      </c>
      <c r="X8" s="702"/>
      <c r="Y8" s="3738" t="s">
        <v>1682</v>
      </c>
      <c r="Z8" s="3737"/>
      <c r="AA8" s="703">
        <f t="shared" ref="AA8:AA46" si="3">D8/F8</f>
        <v>1</v>
      </c>
      <c r="AB8" s="703">
        <f t="shared" ref="AB8:AB46" si="4">D8/H8</f>
        <v>1</v>
      </c>
      <c r="AC8" s="703">
        <f t="shared" ref="AC8:AC46" si="5">D8/J8</f>
        <v>1</v>
      </c>
    </row>
    <row r="9" spans="1:29" s="108" customFormat="1">
      <c r="A9" s="369" t="s">
        <v>1683</v>
      </c>
      <c r="B9" s="63" t="s">
        <v>1684</v>
      </c>
      <c r="C9" s="3467" t="s">
        <v>3600</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96" t="s">
        <v>1685</v>
      </c>
      <c r="Q9" s="3495" t="str">
        <f t="shared" ref="Q9:Q15" si="6">B9</f>
        <v>用途</v>
      </c>
      <c r="R9" s="700" t="s">
        <v>14</v>
      </c>
      <c r="S9" s="701">
        <f t="shared" si="0"/>
        <v>100</v>
      </c>
      <c r="T9" s="700" t="s">
        <v>14</v>
      </c>
      <c r="U9" s="701">
        <f t="shared" si="1"/>
        <v>100</v>
      </c>
      <c r="V9" s="700" t="s">
        <v>14</v>
      </c>
      <c r="W9" s="701">
        <f t="shared" si="2"/>
        <v>100</v>
      </c>
      <c r="X9" s="702"/>
      <c r="Y9" s="3595" t="s">
        <v>1686</v>
      </c>
      <c r="Z9" s="3494" t="str">
        <f t="shared" ref="Z9:Z15" si="7">Q9</f>
        <v>用途</v>
      </c>
      <c r="AA9" s="703">
        <f t="shared" si="3"/>
        <v>1</v>
      </c>
      <c r="AB9" s="703">
        <f t="shared" si="4"/>
        <v>1</v>
      </c>
      <c r="AC9" s="703">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6"/>
      <c r="Q10" s="3495" t="str">
        <f t="shared" si="6"/>
        <v>土地使用年限（年）</v>
      </c>
      <c r="R10" s="700" t="s">
        <v>14</v>
      </c>
      <c r="S10" s="701">
        <f t="shared" si="0"/>
        <v>100</v>
      </c>
      <c r="T10" s="700" t="s">
        <v>14</v>
      </c>
      <c r="U10" s="701">
        <f t="shared" si="1"/>
        <v>100</v>
      </c>
      <c r="V10" s="700" t="s">
        <v>14</v>
      </c>
      <c r="W10" s="701">
        <f t="shared" si="2"/>
        <v>100</v>
      </c>
      <c r="X10" s="702"/>
      <c r="Y10" s="3595"/>
      <c r="Z10" s="3494"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96"/>
      <c r="Q11" s="3495" t="str">
        <f t="shared" si="6"/>
        <v>容积率</v>
      </c>
      <c r="R11" s="700" t="s">
        <v>14</v>
      </c>
      <c r="S11" s="701">
        <f t="shared" si="0"/>
        <v>100</v>
      </c>
      <c r="T11" s="700" t="s">
        <v>14</v>
      </c>
      <c r="U11" s="701">
        <f t="shared" si="1"/>
        <v>100</v>
      </c>
      <c r="V11" s="700" t="s">
        <v>14</v>
      </c>
      <c r="W11" s="701">
        <f t="shared" si="2"/>
        <v>100</v>
      </c>
      <c r="X11" s="702"/>
      <c r="Y11" s="3595"/>
      <c r="Z11" s="3494"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6"/>
      <c r="Q12" s="3495">
        <f t="shared" si="6"/>
        <v>111</v>
      </c>
      <c r="R12" s="700" t="s">
        <v>14</v>
      </c>
      <c r="S12" s="701">
        <f t="shared" si="0"/>
        <v>100</v>
      </c>
      <c r="T12" s="700" t="s">
        <v>14</v>
      </c>
      <c r="U12" s="701">
        <f t="shared" si="1"/>
        <v>100</v>
      </c>
      <c r="V12" s="700" t="s">
        <v>14</v>
      </c>
      <c r="W12" s="701">
        <f t="shared" si="2"/>
        <v>100</v>
      </c>
      <c r="X12" s="702"/>
      <c r="Y12" s="3595"/>
      <c r="Z12" s="3494">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6"/>
      <c r="Q13" s="3495">
        <f t="shared" si="6"/>
        <v>111</v>
      </c>
      <c r="R13" s="700" t="s">
        <v>14</v>
      </c>
      <c r="S13" s="701">
        <f t="shared" si="0"/>
        <v>100</v>
      </c>
      <c r="T13" s="700" t="s">
        <v>14</v>
      </c>
      <c r="U13" s="701">
        <f t="shared" si="1"/>
        <v>100</v>
      </c>
      <c r="V13" s="700" t="s">
        <v>14</v>
      </c>
      <c r="W13" s="701">
        <f t="shared" si="2"/>
        <v>100</v>
      </c>
      <c r="X13" s="702"/>
      <c r="Y13" s="3595"/>
      <c r="Z13" s="3494">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6"/>
      <c r="Q14" s="3495">
        <f t="shared" si="6"/>
        <v>111</v>
      </c>
      <c r="R14" s="700" t="s">
        <v>14</v>
      </c>
      <c r="S14" s="701">
        <f t="shared" si="0"/>
        <v>100</v>
      </c>
      <c r="T14" s="700" t="s">
        <v>14</v>
      </c>
      <c r="U14" s="701">
        <f t="shared" si="1"/>
        <v>100</v>
      </c>
      <c r="V14" s="700" t="s">
        <v>14</v>
      </c>
      <c r="W14" s="701">
        <f t="shared" si="2"/>
        <v>100</v>
      </c>
      <c r="X14" s="702"/>
      <c r="Y14" s="3595"/>
      <c r="Z14" s="3494">
        <f t="shared" si="7"/>
        <v>111</v>
      </c>
      <c r="AA14" s="703">
        <f t="shared" si="3"/>
        <v>1</v>
      </c>
      <c r="AB14" s="703">
        <f t="shared" si="4"/>
        <v>1</v>
      </c>
      <c r="AC14" s="703">
        <f t="shared" si="5"/>
        <v>1</v>
      </c>
    </row>
    <row r="15" spans="1:29" ht="57">
      <c r="A15" s="391" t="s">
        <v>1689</v>
      </c>
      <c r="B15" s="61" t="s">
        <v>1776</v>
      </c>
      <c r="C15" s="1894" t="str">
        <f>估价对象房地状况!C4</f>
        <v>估价对象周边商业氛围成熟度一般，有新业广场等，人流量一般，商业繁华度一般</v>
      </c>
      <c r="D15" s="392">
        <v>100</v>
      </c>
      <c r="E15" s="393"/>
      <c r="F15" s="394">
        <f>SUMIF(76:76,E16,77:77)-SUMIF(76:76,C16,77:77)+100</f>
        <v>100</v>
      </c>
      <c r="G15" s="395"/>
      <c r="H15" s="392">
        <f>SUMIF(76:76,G16,77:77)-SUMIF(76:76,C16,77:77)+100</f>
        <v>100</v>
      </c>
      <c r="I15" s="393"/>
      <c r="J15" s="392">
        <f>SUMIF(76:76,I16,77:77)-SUMIF(76:76,C16,77:77)+100</f>
        <v>103</v>
      </c>
      <c r="K15" s="563">
        <v>3</v>
      </c>
      <c r="L15" s="2719"/>
      <c r="M15" s="2713"/>
      <c r="N15" s="2713"/>
      <c r="O15" s="2713"/>
      <c r="P15" s="3702" t="s">
        <v>1690</v>
      </c>
      <c r="Q15" s="3496" t="str">
        <f t="shared" si="6"/>
        <v>商业繁华度</v>
      </c>
      <c r="R15" s="704" t="s">
        <v>14</v>
      </c>
      <c r="S15" s="705">
        <f t="shared" si="0"/>
        <v>100</v>
      </c>
      <c r="T15" s="704" t="s">
        <v>14</v>
      </c>
      <c r="U15" s="705">
        <f t="shared" si="1"/>
        <v>100</v>
      </c>
      <c r="V15" s="704" t="s">
        <v>14</v>
      </c>
      <c r="W15" s="705">
        <f t="shared" si="2"/>
        <v>103</v>
      </c>
      <c r="X15" s="3499"/>
      <c r="Y15" s="3704" t="s">
        <v>1690</v>
      </c>
      <c r="Z15" s="3498" t="str">
        <f t="shared" si="7"/>
        <v>商业繁华度</v>
      </c>
      <c r="AA15" s="3497">
        <f t="shared" si="3"/>
        <v>1</v>
      </c>
      <c r="AB15" s="3497">
        <f t="shared" si="4"/>
        <v>1</v>
      </c>
      <c r="AC15" s="3497">
        <f t="shared" si="5"/>
        <v>0.970873786407767</v>
      </c>
    </row>
    <row r="16" spans="1:29" ht="15">
      <c r="A16" s="379"/>
      <c r="B16" s="397"/>
      <c r="C16" s="398" t="s">
        <v>3558</v>
      </c>
      <c r="D16" s="399"/>
      <c r="E16" s="398" t="s">
        <v>3558</v>
      </c>
      <c r="F16" s="400"/>
      <c r="G16" s="398" t="s">
        <v>3558</v>
      </c>
      <c r="H16" s="401"/>
      <c r="I16" s="398" t="s">
        <v>3514</v>
      </c>
      <c r="J16" s="399"/>
      <c r="K16" s="564"/>
      <c r="L16" s="2719"/>
      <c r="M16" s="2713"/>
      <c r="N16" s="2713"/>
      <c r="O16" s="2713"/>
      <c r="P16" s="3703"/>
      <c r="Q16" s="3496"/>
      <c r="R16" s="704"/>
      <c r="S16" s="705"/>
      <c r="T16" s="704"/>
      <c r="U16" s="705"/>
      <c r="V16" s="704"/>
      <c r="W16" s="705"/>
      <c r="X16" s="3499"/>
      <c r="Y16" s="3705"/>
      <c r="Z16" s="3498"/>
      <c r="AA16" s="3497">
        <v>1</v>
      </c>
      <c r="AB16" s="3497">
        <v>1</v>
      </c>
      <c r="AC16" s="3497">
        <v>1</v>
      </c>
    </row>
    <row r="17" spans="1:29" ht="99.75">
      <c r="A17" s="379"/>
      <c r="B17" s="402" t="s">
        <v>1258</v>
      </c>
      <c r="C17" s="1898" t="str">
        <f>估价对象房地状况!C6</f>
        <v>估价对象周边道路状况较好、有300、368、652路等公交线路及地铁10号线经过，公共交通通达情况较好、停车便捷程度一般，综合评价交通便捷度较好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03"/>
      <c r="Q17" s="3496" t="str">
        <f>B17</f>
        <v>交通便捷度</v>
      </c>
      <c r="R17" s="704" t="s">
        <v>14</v>
      </c>
      <c r="S17" s="705">
        <f>F17</f>
        <v>100</v>
      </c>
      <c r="T17" s="704" t="s">
        <v>14</v>
      </c>
      <c r="U17" s="705">
        <f>H17</f>
        <v>100</v>
      </c>
      <c r="V17" s="704" t="s">
        <v>14</v>
      </c>
      <c r="W17" s="705">
        <f>J17</f>
        <v>100</v>
      </c>
      <c r="X17" s="3499"/>
      <c r="Y17" s="3705"/>
      <c r="Z17" s="3498" t="str">
        <f>Q17</f>
        <v>交通便捷度</v>
      </c>
      <c r="AA17" s="3497">
        <f t="shared" si="3"/>
        <v>1</v>
      </c>
      <c r="AB17" s="3497">
        <f t="shared" si="4"/>
        <v>1</v>
      </c>
      <c r="AC17" s="3497">
        <f t="shared" si="5"/>
        <v>1</v>
      </c>
    </row>
    <row r="18" spans="1:29" ht="15">
      <c r="A18" s="379"/>
      <c r="B18" s="407"/>
      <c r="C18" s="1899" t="s">
        <v>3514</v>
      </c>
      <c r="D18" s="401"/>
      <c r="E18" s="1899" t="s">
        <v>3514</v>
      </c>
      <c r="F18" s="404"/>
      <c r="G18" s="1899" t="s">
        <v>3514</v>
      </c>
      <c r="H18" s="399"/>
      <c r="I18" s="1899" t="s">
        <v>3514</v>
      </c>
      <c r="J18" s="399"/>
      <c r="K18" s="564"/>
      <c r="L18" s="2719"/>
      <c r="M18" s="2713"/>
      <c r="N18" s="2713"/>
      <c r="O18" s="2713"/>
      <c r="P18" s="3703"/>
      <c r="Q18" s="3496"/>
      <c r="R18" s="704"/>
      <c r="S18" s="705"/>
      <c r="T18" s="704"/>
      <c r="U18" s="705"/>
      <c r="V18" s="704"/>
      <c r="W18" s="705"/>
      <c r="X18" s="3499"/>
      <c r="Y18" s="3705"/>
      <c r="Z18" s="3498"/>
      <c r="AA18" s="3497">
        <v>1</v>
      </c>
      <c r="AB18" s="3497">
        <v>1</v>
      </c>
      <c r="AC18" s="3497">
        <v>1</v>
      </c>
    </row>
    <row r="19" spans="1:29" ht="28.5">
      <c r="A19" s="379"/>
      <c r="B19" s="402" t="s">
        <v>1777</v>
      </c>
      <c r="C19" s="1898"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v>3</v>
      </c>
      <c r="L19" s="2719"/>
      <c r="M19" s="2713"/>
      <c r="N19" s="2713"/>
      <c r="O19" s="2713"/>
      <c r="P19" s="3703"/>
      <c r="Q19" s="3496" t="str">
        <f>B19</f>
        <v>公共配套设施</v>
      </c>
      <c r="R19" s="704" t="s">
        <v>14</v>
      </c>
      <c r="S19" s="705">
        <f>F19</f>
        <v>100</v>
      </c>
      <c r="T19" s="704" t="s">
        <v>14</v>
      </c>
      <c r="U19" s="705">
        <f>H19</f>
        <v>100</v>
      </c>
      <c r="V19" s="704" t="s">
        <v>14</v>
      </c>
      <c r="W19" s="705">
        <f>J19</f>
        <v>100</v>
      </c>
      <c r="X19" s="3499"/>
      <c r="Y19" s="3705"/>
      <c r="Z19" s="3498" t="str">
        <f>Q19</f>
        <v>公共配套设施</v>
      </c>
      <c r="AA19" s="3497">
        <f t="shared" si="3"/>
        <v>1</v>
      </c>
      <c r="AB19" s="3497">
        <f t="shared" si="4"/>
        <v>1</v>
      </c>
      <c r="AC19" s="3497">
        <f t="shared" si="5"/>
        <v>1</v>
      </c>
    </row>
    <row r="20" spans="1:29" ht="15">
      <c r="A20" s="379"/>
      <c r="B20" s="407"/>
      <c r="C20" s="398" t="s">
        <v>3514</v>
      </c>
      <c r="D20" s="399"/>
      <c r="E20" s="398" t="s">
        <v>3514</v>
      </c>
      <c r="F20" s="400"/>
      <c r="G20" s="398" t="s">
        <v>3514</v>
      </c>
      <c r="H20" s="399"/>
      <c r="I20" s="398" t="s">
        <v>3514</v>
      </c>
      <c r="J20" s="399"/>
      <c r="K20" s="564"/>
      <c r="L20" s="2719"/>
      <c r="M20" s="2713"/>
      <c r="N20" s="2713"/>
      <c r="O20" s="2713"/>
      <c r="P20" s="3703"/>
      <c r="Q20" s="3496"/>
      <c r="R20" s="704"/>
      <c r="S20" s="705"/>
      <c r="T20" s="704"/>
      <c r="U20" s="705"/>
      <c r="V20" s="704"/>
      <c r="W20" s="705"/>
      <c r="X20" s="3499"/>
      <c r="Y20" s="3705"/>
      <c r="Z20" s="3498"/>
      <c r="AA20" s="3497">
        <v>1</v>
      </c>
      <c r="AB20" s="3497">
        <v>1</v>
      </c>
      <c r="AC20" s="3497">
        <v>1</v>
      </c>
    </row>
    <row r="21" spans="1:29" ht="28.5">
      <c r="A21" s="379"/>
      <c r="B21" s="1130" t="s">
        <v>1778</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03"/>
      <c r="Q21" s="3496" t="str">
        <f>B21</f>
        <v>基础设施水平</v>
      </c>
      <c r="R21" s="704" t="s">
        <v>14</v>
      </c>
      <c r="S21" s="705">
        <f>F21</f>
        <v>100</v>
      </c>
      <c r="T21" s="704" t="s">
        <v>14</v>
      </c>
      <c r="U21" s="705">
        <f>H21</f>
        <v>100</v>
      </c>
      <c r="V21" s="704" t="s">
        <v>14</v>
      </c>
      <c r="W21" s="705">
        <f>J21</f>
        <v>100</v>
      </c>
      <c r="X21" s="3499"/>
      <c r="Y21" s="3705"/>
      <c r="Z21" s="3498" t="str">
        <f>Q21</f>
        <v>基础设施水平</v>
      </c>
      <c r="AA21" s="3497">
        <f t="shared" ref="AA21" si="8">D21/F21</f>
        <v>1</v>
      </c>
      <c r="AB21" s="3497">
        <f t="shared" ref="AB21" si="9">D21/H21</f>
        <v>1</v>
      </c>
      <c r="AC21" s="3497">
        <f t="shared" ref="AC21" si="10">D21/J21</f>
        <v>1</v>
      </c>
    </row>
    <row r="22" spans="1:29" ht="15">
      <c r="A22" s="379"/>
      <c r="B22" s="1130"/>
      <c r="C22" s="1899" t="s">
        <v>3515</v>
      </c>
      <c r="D22" s="399"/>
      <c r="E22" s="1899" t="s">
        <v>3515</v>
      </c>
      <c r="F22" s="400"/>
      <c r="G22" s="1899" t="s">
        <v>3515</v>
      </c>
      <c r="H22" s="399"/>
      <c r="I22" s="1899" t="s">
        <v>3515</v>
      </c>
      <c r="J22" s="399"/>
      <c r="K22" s="1129"/>
      <c r="L22" s="2719"/>
      <c r="M22" s="2713"/>
      <c r="N22" s="2713"/>
      <c r="O22" s="2713"/>
      <c r="P22" s="3703"/>
      <c r="Q22" s="3496"/>
      <c r="R22" s="704"/>
      <c r="S22" s="705"/>
      <c r="T22" s="704"/>
      <c r="U22" s="705"/>
      <c r="V22" s="704"/>
      <c r="W22" s="705"/>
      <c r="X22" s="3499"/>
      <c r="Y22" s="3705"/>
      <c r="Z22" s="3498"/>
      <c r="AA22" s="3497">
        <v>1</v>
      </c>
      <c r="AB22" s="3497">
        <v>1</v>
      </c>
      <c r="AC22" s="3497">
        <v>1</v>
      </c>
    </row>
    <row r="23" spans="1:29" ht="72.75" customHeight="1">
      <c r="A23" s="379"/>
      <c r="B23" s="402" t="s">
        <v>1260</v>
      </c>
      <c r="C23" s="1953" t="str">
        <f>估价对象房地状况!C9</f>
        <v>区域自然环境：北京动物园、官园公园；人文环境：北京天文馆、北京建筑大学；综合评价环境状况邮编</v>
      </c>
      <c r="D23" s="401">
        <v>100</v>
      </c>
      <c r="E23" s="403"/>
      <c r="F23" s="404">
        <f>SUMIF(84:84,E24,85:85)-SUMIF(84:84,C24,85:85)+100</f>
        <v>100</v>
      </c>
      <c r="G23" s="405"/>
      <c r="H23" s="401">
        <f>SUMIF(84:84,G24,85:85)-SUMIF(84:84,C24,85:85)+100</f>
        <v>100</v>
      </c>
      <c r="I23" s="403"/>
      <c r="J23" s="401">
        <f>SUMIF(84:84,I24,85:85)-SUMIF(84:84,C24,85:85)+100</f>
        <v>100</v>
      </c>
      <c r="K23" s="563">
        <v>3</v>
      </c>
      <c r="L23" s="2719"/>
      <c r="M23" s="2713"/>
      <c r="N23" s="2713"/>
      <c r="O23" s="2713"/>
      <c r="P23" s="3703"/>
      <c r="Q23" s="3496" t="str">
        <f>B23</f>
        <v>自然及人文环境</v>
      </c>
      <c r="R23" s="704" t="s">
        <v>14</v>
      </c>
      <c r="S23" s="705">
        <f>F23</f>
        <v>100</v>
      </c>
      <c r="T23" s="704" t="s">
        <v>14</v>
      </c>
      <c r="U23" s="705">
        <f>H23</f>
        <v>100</v>
      </c>
      <c r="V23" s="704" t="s">
        <v>14</v>
      </c>
      <c r="W23" s="705">
        <f>J23</f>
        <v>100</v>
      </c>
      <c r="X23" s="3499"/>
      <c r="Y23" s="3705"/>
      <c r="Z23" s="3498" t="str">
        <f>Q23</f>
        <v>自然及人文环境</v>
      </c>
      <c r="AA23" s="3497">
        <f t="shared" si="3"/>
        <v>1</v>
      </c>
      <c r="AB23" s="3497">
        <f t="shared" si="4"/>
        <v>1</v>
      </c>
      <c r="AC23" s="3497">
        <f t="shared" si="5"/>
        <v>1</v>
      </c>
    </row>
    <row r="24" spans="1:29" ht="15">
      <c r="A24" s="379"/>
      <c r="B24" s="407"/>
      <c r="C24" s="398" t="s">
        <v>3514</v>
      </c>
      <c r="D24" s="399"/>
      <c r="E24" s="398" t="s">
        <v>3514</v>
      </c>
      <c r="F24" s="400"/>
      <c r="G24" s="398" t="s">
        <v>3514</v>
      </c>
      <c r="H24" s="399"/>
      <c r="I24" s="398" t="s">
        <v>3514</v>
      </c>
      <c r="J24" s="399"/>
      <c r="K24" s="564"/>
      <c r="L24" s="2719"/>
      <c r="M24" s="2713"/>
      <c r="N24" s="2713"/>
      <c r="O24" s="2713"/>
      <c r="P24" s="3703"/>
      <c r="Q24" s="3496"/>
      <c r="R24" s="704"/>
      <c r="S24" s="705"/>
      <c r="T24" s="704"/>
      <c r="U24" s="705"/>
      <c r="V24" s="704"/>
      <c r="W24" s="705"/>
      <c r="X24" s="3499"/>
      <c r="Y24" s="3705"/>
      <c r="Z24" s="3498"/>
      <c r="AA24" s="3497">
        <v>1</v>
      </c>
      <c r="AB24" s="3497">
        <v>1</v>
      </c>
      <c r="AC24" s="3497">
        <v>1</v>
      </c>
    </row>
    <row r="25" spans="1:29" ht="15">
      <c r="A25" s="379"/>
      <c r="B25" s="375" t="s">
        <v>1779</v>
      </c>
      <c r="C25" s="565" t="s">
        <v>3601</v>
      </c>
      <c r="D25" s="386">
        <v>100</v>
      </c>
      <c r="E25" s="565" t="s">
        <v>3601</v>
      </c>
      <c r="F25" s="412">
        <f>SUMIF(86:86,E25,87:87)-SUMIF(86:86,C25,87:87)+100</f>
        <v>100</v>
      </c>
      <c r="G25" s="565" t="s">
        <v>3601</v>
      </c>
      <c r="H25" s="386">
        <f>SUMIF(86:86,G25,87:87)-SUMIF(86:86,C25,87:87)+100</f>
        <v>100</v>
      </c>
      <c r="I25" s="565" t="s">
        <v>3601</v>
      </c>
      <c r="J25" s="386">
        <f>SUMIF(86:86,I25,87:87)-SUMIF(86:86,C25,87:87)+100</f>
        <v>100</v>
      </c>
      <c r="K25" s="561">
        <v>3</v>
      </c>
      <c r="L25" s="2719"/>
      <c r="M25" s="2713"/>
      <c r="N25" s="2713"/>
      <c r="O25" s="2713"/>
      <c r="P25" s="3703"/>
      <c r="Q25" s="3496" t="str">
        <f t="shared" ref="Q25:Q46" si="11">B25</f>
        <v>临街状况</v>
      </c>
      <c r="R25" s="704" t="s">
        <v>14</v>
      </c>
      <c r="S25" s="705">
        <f>F25</f>
        <v>100</v>
      </c>
      <c r="T25" s="704" t="s">
        <v>14</v>
      </c>
      <c r="U25" s="705">
        <f>H25</f>
        <v>100</v>
      </c>
      <c r="V25" s="704" t="s">
        <v>14</v>
      </c>
      <c r="W25" s="705">
        <f>J25</f>
        <v>100</v>
      </c>
      <c r="X25" s="3499"/>
      <c r="Y25" s="3705"/>
      <c r="Z25" s="3498" t="str">
        <f>Q25</f>
        <v>临街状况</v>
      </c>
      <c r="AA25" s="3497">
        <f t="shared" si="3"/>
        <v>1</v>
      </c>
      <c r="AB25" s="3497">
        <f t="shared" si="4"/>
        <v>1</v>
      </c>
      <c r="AC25" s="3497">
        <f t="shared" si="5"/>
        <v>1</v>
      </c>
    </row>
    <row r="26" spans="1:29" ht="15">
      <c r="A26" s="379"/>
      <c r="B26" s="1132" t="s">
        <v>1780</v>
      </c>
      <c r="C26" s="565" t="s">
        <v>3612</v>
      </c>
      <c r="D26" s="386">
        <v>100</v>
      </c>
      <c r="E26" s="565" t="s">
        <v>3628</v>
      </c>
      <c r="F26" s="412">
        <f>SUMIF(88:88,E26,89:89)-SUMIF(88:88,C26,89:89)+100</f>
        <v>100</v>
      </c>
      <c r="G26" s="565" t="s">
        <v>3628</v>
      </c>
      <c r="H26" s="386">
        <f>SUMIF(88:88,G26,89:89)-SUMIF(88:88,C26,89:89)+100</f>
        <v>100</v>
      </c>
      <c r="I26" s="565" t="s">
        <v>3628</v>
      </c>
      <c r="J26" s="386">
        <f>SUMIF(88:88,I26,89:89)-SUMIF(88:88,C26,89:89)+100</f>
        <v>100</v>
      </c>
      <c r="K26" s="562"/>
      <c r="L26" s="2719"/>
      <c r="M26" s="2713"/>
      <c r="N26" s="2713"/>
      <c r="O26" s="2713"/>
      <c r="P26" s="3703"/>
      <c r="Q26" s="3496" t="str">
        <f t="shared" si="11"/>
        <v>平面位置/可视性</v>
      </c>
      <c r="R26" s="704" t="s">
        <v>14</v>
      </c>
      <c r="S26" s="705">
        <f>F26</f>
        <v>100</v>
      </c>
      <c r="T26" s="704" t="s">
        <v>14</v>
      </c>
      <c r="U26" s="705">
        <f>H26</f>
        <v>100</v>
      </c>
      <c r="V26" s="704" t="s">
        <v>14</v>
      </c>
      <c r="W26" s="705">
        <f>J26</f>
        <v>100</v>
      </c>
      <c r="X26" s="3499"/>
      <c r="Y26" s="3705"/>
      <c r="Z26" s="3498" t="str">
        <f>Q26</f>
        <v>平面位置/可视性</v>
      </c>
      <c r="AA26" s="3497">
        <f t="shared" si="3"/>
        <v>1</v>
      </c>
      <c r="AB26" s="3497">
        <f t="shared" si="4"/>
        <v>1</v>
      </c>
      <c r="AC26" s="3497">
        <f t="shared" si="5"/>
        <v>1</v>
      </c>
    </row>
    <row r="27" spans="1:29" s="108" customFormat="1" ht="15">
      <c r="A27" s="382"/>
      <c r="B27" s="402" t="s">
        <v>1781</v>
      </c>
      <c r="C27" s="565" t="s">
        <v>3558</v>
      </c>
      <c r="D27" s="413">
        <v>100</v>
      </c>
      <c r="E27" s="565" t="s">
        <v>3558</v>
      </c>
      <c r="F27" s="415">
        <f>SUMIF(90:90,E27,91:91)-SUMIF(90:90,C27,91:91)+100</f>
        <v>100</v>
      </c>
      <c r="G27" s="565" t="s">
        <v>3558</v>
      </c>
      <c r="H27" s="413">
        <f>SUMIF(90:90,G27,91:91)-SUMIF(90:90,C27,91:91)+100</f>
        <v>100</v>
      </c>
      <c r="I27" s="565" t="s">
        <v>3634</v>
      </c>
      <c r="J27" s="413">
        <f>SUMIF(90:90,I27,91:91)-SUMIF(90:90,C27,91:91)+100</f>
        <v>103</v>
      </c>
      <c r="K27" s="561">
        <v>3</v>
      </c>
      <c r="L27" s="2714"/>
      <c r="M27" s="2715"/>
      <c r="N27" s="2715"/>
      <c r="O27" s="2715"/>
      <c r="P27" s="3703"/>
      <c r="Q27" s="3495" t="str">
        <f t="shared" si="11"/>
        <v>人流量</v>
      </c>
      <c r="R27" s="700" t="s">
        <v>14</v>
      </c>
      <c r="S27" s="701">
        <f>F27</f>
        <v>100</v>
      </c>
      <c r="T27" s="700" t="s">
        <v>14</v>
      </c>
      <c r="U27" s="701">
        <f>H27</f>
        <v>100</v>
      </c>
      <c r="V27" s="700" t="s">
        <v>14</v>
      </c>
      <c r="W27" s="701">
        <f>J27</f>
        <v>103</v>
      </c>
      <c r="X27" s="702"/>
      <c r="Y27" s="3705"/>
      <c r="Z27" s="3494" t="str">
        <f>Q27</f>
        <v>人流量</v>
      </c>
      <c r="AA27" s="3497">
        <f>D27/F27</f>
        <v>1</v>
      </c>
      <c r="AB27" s="3497">
        <f>D27/H27</f>
        <v>1</v>
      </c>
      <c r="AC27" s="3497">
        <f>D27/J27</f>
        <v>0.970873786407767</v>
      </c>
    </row>
    <row r="28" spans="1:29" ht="15">
      <c r="A28" s="379"/>
      <c r="B28" s="375" t="s">
        <v>1782</v>
      </c>
      <c r="C28" s="565" t="s">
        <v>3626</v>
      </c>
      <c r="D28" s="386">
        <v>100</v>
      </c>
      <c r="E28" s="565">
        <v>1</v>
      </c>
      <c r="F28" s="412">
        <f>SUMIF(92:92,E28,93:93)-SUMIF(92:92,C28,93:93)+100</f>
        <v>115</v>
      </c>
      <c r="G28" s="565">
        <v>1</v>
      </c>
      <c r="H28" s="386">
        <f>SUMIF(92:92,G28,93:93)-SUMIF(92:92,C28,93:93)+100</f>
        <v>115</v>
      </c>
      <c r="I28" s="565">
        <v>1</v>
      </c>
      <c r="J28" s="386">
        <f>SUMIF(92:92,I28,93:93)-SUMIF(92:92,C28,93:93)+100</f>
        <v>115</v>
      </c>
      <c r="K28" s="562"/>
      <c r="L28" s="2719"/>
      <c r="M28" s="2713"/>
      <c r="N28" s="2713"/>
      <c r="O28" s="2713"/>
      <c r="P28" s="3703"/>
      <c r="Q28" s="3496" t="str">
        <f t="shared" si="11"/>
        <v>楼层</v>
      </c>
      <c r="R28" s="704" t="s">
        <v>14</v>
      </c>
      <c r="S28" s="705">
        <f t="shared" ref="S28:S46" si="12">F28</f>
        <v>115</v>
      </c>
      <c r="T28" s="704" t="s">
        <v>14</v>
      </c>
      <c r="U28" s="705">
        <f t="shared" ref="U28:U46" si="13">H28</f>
        <v>115</v>
      </c>
      <c r="V28" s="704" t="s">
        <v>14</v>
      </c>
      <c r="W28" s="705">
        <f t="shared" ref="W28:W46" si="14">J28</f>
        <v>115</v>
      </c>
      <c r="X28" s="3499"/>
      <c r="Y28" s="3705"/>
      <c r="Z28" s="3498" t="str">
        <f t="shared" ref="Z28:Z46" si="15">Q28</f>
        <v>楼层</v>
      </c>
      <c r="AA28" s="3497">
        <f t="shared" si="3"/>
        <v>0.86956521739130432</v>
      </c>
      <c r="AB28" s="3497">
        <f t="shared" si="4"/>
        <v>0.86956521739130432</v>
      </c>
      <c r="AC28" s="3497">
        <f t="shared" si="5"/>
        <v>0.86956521739130432</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3"/>
      <c r="Q29" s="3496">
        <f t="shared" si="11"/>
        <v>111</v>
      </c>
      <c r="R29" s="704" t="s">
        <v>14</v>
      </c>
      <c r="S29" s="705">
        <f t="shared" si="12"/>
        <v>100</v>
      </c>
      <c r="T29" s="704" t="s">
        <v>14</v>
      </c>
      <c r="U29" s="705">
        <f t="shared" si="13"/>
        <v>100</v>
      </c>
      <c r="V29" s="704" t="s">
        <v>14</v>
      </c>
      <c r="W29" s="705">
        <f t="shared" si="14"/>
        <v>100</v>
      </c>
      <c r="X29" s="3499"/>
      <c r="Y29" s="3705"/>
      <c r="Z29" s="3498">
        <f t="shared" si="15"/>
        <v>111</v>
      </c>
      <c r="AA29" s="3497">
        <f t="shared" si="3"/>
        <v>1</v>
      </c>
      <c r="AB29" s="3497">
        <f t="shared" si="4"/>
        <v>1</v>
      </c>
      <c r="AC29" s="3497">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3"/>
      <c r="Q30" s="3496">
        <f t="shared" si="11"/>
        <v>111</v>
      </c>
      <c r="R30" s="704" t="s">
        <v>14</v>
      </c>
      <c r="S30" s="705">
        <f t="shared" si="12"/>
        <v>100</v>
      </c>
      <c r="T30" s="704" t="s">
        <v>14</v>
      </c>
      <c r="U30" s="705">
        <f t="shared" si="13"/>
        <v>100</v>
      </c>
      <c r="V30" s="704" t="s">
        <v>14</v>
      </c>
      <c r="W30" s="705">
        <f t="shared" si="14"/>
        <v>100</v>
      </c>
      <c r="X30" s="3499"/>
      <c r="Y30" s="3705"/>
      <c r="Z30" s="3498">
        <f t="shared" si="15"/>
        <v>111</v>
      </c>
      <c r="AA30" s="3497">
        <f t="shared" si="3"/>
        <v>1</v>
      </c>
      <c r="AB30" s="3497">
        <f t="shared" si="4"/>
        <v>1</v>
      </c>
      <c r="AC30" s="3497">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3"/>
      <c r="Q31" s="3496">
        <f t="shared" si="11"/>
        <v>111</v>
      </c>
      <c r="R31" s="704" t="s">
        <v>14</v>
      </c>
      <c r="S31" s="705">
        <f t="shared" si="12"/>
        <v>100</v>
      </c>
      <c r="T31" s="704" t="s">
        <v>14</v>
      </c>
      <c r="U31" s="705">
        <f t="shared" si="13"/>
        <v>100</v>
      </c>
      <c r="V31" s="704" t="s">
        <v>14</v>
      </c>
      <c r="W31" s="705">
        <f t="shared" si="14"/>
        <v>100</v>
      </c>
      <c r="X31" s="3499"/>
      <c r="Y31" s="3705"/>
      <c r="Z31" s="3498">
        <f t="shared" si="15"/>
        <v>111</v>
      </c>
      <c r="AA31" s="3497">
        <f t="shared" si="3"/>
        <v>1</v>
      </c>
      <c r="AB31" s="3497">
        <f t="shared" si="4"/>
        <v>1</v>
      </c>
      <c r="AC31" s="3497">
        <f t="shared" si="5"/>
        <v>1</v>
      </c>
    </row>
    <row r="32" spans="1:29" ht="15">
      <c r="A32" s="391" t="s">
        <v>1693</v>
      </c>
      <c r="B32" s="63" t="s">
        <v>1783</v>
      </c>
      <c r="C32" s="1908" t="s">
        <v>3609</v>
      </c>
      <c r="D32" s="418">
        <v>100</v>
      </c>
      <c r="E32" s="1908" t="s">
        <v>3609</v>
      </c>
      <c r="F32" s="412">
        <f>SUMIF(100:100,E32,101:101)-SUMIF(100:100,C32,101:101)+100</f>
        <v>100</v>
      </c>
      <c r="G32" s="1908" t="s">
        <v>3609</v>
      </c>
      <c r="H32" s="386">
        <f>SUMIF(100:100,G32,101:101)-SUMIF(100:100,C32,101:101)+100</f>
        <v>100</v>
      </c>
      <c r="I32" s="1908" t="s">
        <v>3633</v>
      </c>
      <c r="J32" s="418">
        <f>SUMIF(100:100,I32,101:101)-SUMIF(100:100,C32,101:101)+100</f>
        <v>105</v>
      </c>
      <c r="K32" s="561">
        <v>5</v>
      </c>
      <c r="L32" s="2719"/>
      <c r="M32" s="2713"/>
      <c r="N32" s="2713"/>
      <c r="O32" s="2713"/>
      <c r="P32" s="3706" t="s">
        <v>1695</v>
      </c>
      <c r="Q32" s="3496" t="str">
        <f t="shared" si="11"/>
        <v>商业类型</v>
      </c>
      <c r="R32" s="704" t="s">
        <v>14</v>
      </c>
      <c r="S32" s="705">
        <f t="shared" si="12"/>
        <v>100</v>
      </c>
      <c r="T32" s="704" t="s">
        <v>14</v>
      </c>
      <c r="U32" s="705">
        <f t="shared" si="13"/>
        <v>100</v>
      </c>
      <c r="V32" s="704" t="s">
        <v>14</v>
      </c>
      <c r="W32" s="705">
        <f t="shared" si="14"/>
        <v>105</v>
      </c>
      <c r="X32" s="3499"/>
      <c r="Y32" s="3709" t="s">
        <v>1695</v>
      </c>
      <c r="Z32" s="3498" t="str">
        <f t="shared" si="15"/>
        <v>商业类型</v>
      </c>
      <c r="AA32" s="3497">
        <f t="shared" si="3"/>
        <v>1</v>
      </c>
      <c r="AB32" s="3497">
        <f t="shared" si="4"/>
        <v>1</v>
      </c>
      <c r="AC32" s="3497">
        <f t="shared" si="5"/>
        <v>0.95238095238095233</v>
      </c>
    </row>
    <row r="33" spans="1:29" s="422" customFormat="1" ht="15">
      <c r="A33" s="419"/>
      <c r="B33" s="375" t="s">
        <v>1696</v>
      </c>
      <c r="C33" s="420">
        <f>'数据-基础表'!I13</f>
        <v>125.74</v>
      </c>
      <c r="D33" s="127">
        <v>100</v>
      </c>
      <c r="E33" s="420">
        <v>40</v>
      </c>
      <c r="F33" s="376">
        <f>LOOKUP(E33,103:103,104:104)-LOOKUP(C33,103:103,104:104)+100</f>
        <v>101</v>
      </c>
      <c r="G33" s="420">
        <v>106.15</v>
      </c>
      <c r="H33" s="127">
        <f>LOOKUP(G33,103:103,104:104)-LOOKUP(C33,103:103,104:104)+100</f>
        <v>100</v>
      </c>
      <c r="I33" s="420">
        <v>2000</v>
      </c>
      <c r="J33" s="127">
        <f>LOOKUP(I33,103:103,104:104)-LOOKUP(C33,103:103,104:104)+100</f>
        <v>96</v>
      </c>
      <c r="K33" s="562"/>
      <c r="L33" s="2718"/>
      <c r="M33" s="2720"/>
      <c r="N33" s="2720"/>
      <c r="O33" s="2720"/>
      <c r="P33" s="3707"/>
      <c r="Q33" s="706" t="str">
        <f t="shared" si="11"/>
        <v>项目建筑规模</v>
      </c>
      <c r="R33" s="707" t="s">
        <v>14</v>
      </c>
      <c r="S33" s="708">
        <f t="shared" si="12"/>
        <v>101</v>
      </c>
      <c r="T33" s="707" t="s">
        <v>14</v>
      </c>
      <c r="U33" s="708">
        <f t="shared" si="13"/>
        <v>100</v>
      </c>
      <c r="V33" s="707" t="s">
        <v>14</v>
      </c>
      <c r="W33" s="708">
        <f t="shared" si="14"/>
        <v>96</v>
      </c>
      <c r="X33" s="709"/>
      <c r="Y33" s="3709"/>
      <c r="Z33" s="710" t="str">
        <f t="shared" si="15"/>
        <v>项目建筑规模</v>
      </c>
      <c r="AA33" s="3497">
        <f t="shared" si="3"/>
        <v>0.99009900990099009</v>
      </c>
      <c r="AB33" s="3497">
        <f t="shared" si="4"/>
        <v>1</v>
      </c>
      <c r="AC33" s="3497">
        <f t="shared" si="5"/>
        <v>1.0416666666666667</v>
      </c>
    </row>
    <row r="34" spans="1:29" ht="15">
      <c r="A34" s="423"/>
      <c r="B34" s="375" t="s">
        <v>1697</v>
      </c>
      <c r="C34" s="1910" t="s">
        <v>3567</v>
      </c>
      <c r="D34" s="386">
        <v>100</v>
      </c>
      <c r="E34" s="1910" t="s">
        <v>3567</v>
      </c>
      <c r="F34" s="412">
        <f>SUMIF(105:105,E34,106:106)-SUMIF(105:105,C34,106:106)+100</f>
        <v>100</v>
      </c>
      <c r="G34" s="1910" t="s">
        <v>3567</v>
      </c>
      <c r="H34" s="386">
        <f>SUMIF(105:105,G34,106:106)-SUMIF(105:105,C34,106:106)+100</f>
        <v>100</v>
      </c>
      <c r="I34" s="1910" t="s">
        <v>3567</v>
      </c>
      <c r="J34" s="386">
        <f>SUMIF(105:105,I34,106:106)-SUMIF(105:105,C34,106:106)+100</f>
        <v>100</v>
      </c>
      <c r="K34" s="561">
        <v>2</v>
      </c>
      <c r="L34" s="2719"/>
      <c r="M34" s="2713"/>
      <c r="N34" s="2713"/>
      <c r="O34" s="2713"/>
      <c r="P34" s="3707"/>
      <c r="Q34" s="3496" t="str">
        <f t="shared" si="11"/>
        <v>建筑结构</v>
      </c>
      <c r="R34" s="704" t="s">
        <v>14</v>
      </c>
      <c r="S34" s="705">
        <f t="shared" si="12"/>
        <v>100</v>
      </c>
      <c r="T34" s="704" t="s">
        <v>14</v>
      </c>
      <c r="U34" s="705">
        <f t="shared" si="13"/>
        <v>100</v>
      </c>
      <c r="V34" s="704" t="s">
        <v>14</v>
      </c>
      <c r="W34" s="705">
        <f t="shared" si="14"/>
        <v>100</v>
      </c>
      <c r="X34" s="3499"/>
      <c r="Y34" s="3709"/>
      <c r="Z34" s="3498" t="str">
        <f t="shared" si="15"/>
        <v>建筑结构</v>
      </c>
      <c r="AA34" s="3497">
        <f t="shared" si="3"/>
        <v>1</v>
      </c>
      <c r="AB34" s="3497">
        <f t="shared" si="4"/>
        <v>1</v>
      </c>
      <c r="AC34" s="3497">
        <f t="shared" si="5"/>
        <v>1</v>
      </c>
    </row>
    <row r="35" spans="1:29" ht="15">
      <c r="A35" s="423"/>
      <c r="B35" s="375" t="s">
        <v>1784</v>
      </c>
      <c r="C35" s="1904" t="s">
        <v>3568</v>
      </c>
      <c r="D35" s="386">
        <v>100</v>
      </c>
      <c r="E35" s="1904" t="s">
        <v>3568</v>
      </c>
      <c r="F35" s="412">
        <f>SUMIF(107:107,E35,108:108)-SUMIF(107:107,C35,108:108)+100</f>
        <v>100</v>
      </c>
      <c r="G35" s="1904" t="s">
        <v>3568</v>
      </c>
      <c r="H35" s="386">
        <f>SUMIF(107:107,G35,108:108)-SUMIF(107:107,C35,108:108)+100</f>
        <v>100</v>
      </c>
      <c r="I35" s="1904" t="s">
        <v>3568</v>
      </c>
      <c r="J35" s="386">
        <f>SUMIF(107:107,I35,108:108)-SUMIF(107:107,C35,108:108)+100</f>
        <v>100</v>
      </c>
      <c r="K35" s="561">
        <v>2</v>
      </c>
      <c r="L35" s="2719"/>
      <c r="M35" s="2713"/>
      <c r="N35" s="2713"/>
      <c r="O35" s="2713"/>
      <c r="P35" s="3707"/>
      <c r="Q35" s="3496" t="str">
        <f t="shared" si="11"/>
        <v>公共部分装修</v>
      </c>
      <c r="R35" s="704" t="s">
        <v>14</v>
      </c>
      <c r="S35" s="705">
        <f t="shared" si="12"/>
        <v>100</v>
      </c>
      <c r="T35" s="704" t="s">
        <v>14</v>
      </c>
      <c r="U35" s="705">
        <f t="shared" si="13"/>
        <v>100</v>
      </c>
      <c r="V35" s="704" t="s">
        <v>14</v>
      </c>
      <c r="W35" s="705">
        <f t="shared" si="14"/>
        <v>100</v>
      </c>
      <c r="X35" s="3499"/>
      <c r="Y35" s="3709"/>
      <c r="Z35" s="3498" t="str">
        <f t="shared" si="15"/>
        <v>公共部分装修</v>
      </c>
      <c r="AA35" s="3497">
        <f t="shared" si="3"/>
        <v>1</v>
      </c>
      <c r="AB35" s="3497">
        <f t="shared" si="4"/>
        <v>1</v>
      </c>
      <c r="AC35" s="3497">
        <f t="shared" si="5"/>
        <v>1</v>
      </c>
    </row>
    <row r="36" spans="1:29" ht="15">
      <c r="A36" s="423"/>
      <c r="B36" s="375" t="s">
        <v>1785</v>
      </c>
      <c r="C36" s="425">
        <f>'比较法-办公'!C37</f>
        <v>0.9</v>
      </c>
      <c r="D36" s="386">
        <v>100</v>
      </c>
      <c r="E36" s="425">
        <f>C36</f>
        <v>0.9</v>
      </c>
      <c r="F36" s="412">
        <f>LOOKUP(E36,110:110,111:111)-LOOKUP(C36,110:110,111:111)+100</f>
        <v>100</v>
      </c>
      <c r="G36" s="425">
        <f>E36</f>
        <v>0.9</v>
      </c>
      <c r="H36" s="412">
        <f>LOOKUP(G36,110:110,111:111)-LOOKUP(C36,110:110,111:111)+100</f>
        <v>100</v>
      </c>
      <c r="I36" s="425">
        <f>G36</f>
        <v>0.9</v>
      </c>
      <c r="J36" s="386">
        <f>LOOKUP(I36,110:110,111:111)-LOOKUP(C36,110:110,111:111)+100</f>
        <v>100</v>
      </c>
      <c r="K36" s="561">
        <v>1</v>
      </c>
      <c r="L36" s="2719"/>
      <c r="M36" s="2713"/>
      <c r="N36" s="2713"/>
      <c r="O36" s="2713"/>
      <c r="P36" s="3707"/>
      <c r="Q36" s="3496" t="str">
        <f t="shared" si="11"/>
        <v>成新度</v>
      </c>
      <c r="R36" s="704" t="s">
        <v>14</v>
      </c>
      <c r="S36" s="705">
        <f t="shared" si="12"/>
        <v>100</v>
      </c>
      <c r="T36" s="704" t="s">
        <v>14</v>
      </c>
      <c r="U36" s="705">
        <f t="shared" si="13"/>
        <v>100</v>
      </c>
      <c r="V36" s="704" t="s">
        <v>14</v>
      </c>
      <c r="W36" s="705">
        <f t="shared" si="14"/>
        <v>100</v>
      </c>
      <c r="X36" s="3499"/>
      <c r="Y36" s="3709"/>
      <c r="Z36" s="3498" t="str">
        <f t="shared" si="15"/>
        <v>成新度</v>
      </c>
      <c r="AA36" s="3497">
        <f t="shared" si="3"/>
        <v>1</v>
      </c>
      <c r="AB36" s="3497">
        <f t="shared" si="4"/>
        <v>1</v>
      </c>
      <c r="AC36" s="3497">
        <f t="shared" si="5"/>
        <v>1</v>
      </c>
    </row>
    <row r="37" spans="1:29" s="108" customFormat="1" ht="15">
      <c r="A37" s="424"/>
      <c r="B37" s="375" t="s">
        <v>1786</v>
      </c>
      <c r="C37" s="411" t="s">
        <v>3610</v>
      </c>
      <c r="D37" s="127">
        <v>100</v>
      </c>
      <c r="E37" s="411" t="s">
        <v>3610</v>
      </c>
      <c r="F37" s="412">
        <f>SUMIF(112:112,E37,113:113)-SUMIF(112:112,C37,113:113)+100</f>
        <v>100</v>
      </c>
      <c r="G37" s="411" t="s">
        <v>3610</v>
      </c>
      <c r="H37" s="386">
        <f>SUMIF(112:112,G37,113:113)-SUMIF(112:112,C37,113:113)+100</f>
        <v>100</v>
      </c>
      <c r="I37" s="411" t="s">
        <v>3610</v>
      </c>
      <c r="J37" s="386">
        <f>SUMIF(112:112,I37,113:113)-SUMIF(112:112,C37,113:113)+100</f>
        <v>100</v>
      </c>
      <c r="K37" s="561">
        <v>1</v>
      </c>
      <c r="L37" s="2714"/>
      <c r="M37" s="2715"/>
      <c r="N37" s="2715"/>
      <c r="O37" s="2715"/>
      <c r="P37" s="3707"/>
      <c r="Q37" s="3495" t="str">
        <f t="shared" si="11"/>
        <v>市政基础设施</v>
      </c>
      <c r="R37" s="700" t="s">
        <v>14</v>
      </c>
      <c r="S37" s="701">
        <f t="shared" si="12"/>
        <v>100</v>
      </c>
      <c r="T37" s="700" t="s">
        <v>14</v>
      </c>
      <c r="U37" s="701">
        <f t="shared" si="13"/>
        <v>100</v>
      </c>
      <c r="V37" s="700" t="s">
        <v>14</v>
      </c>
      <c r="W37" s="701">
        <f t="shared" si="14"/>
        <v>100</v>
      </c>
      <c r="X37" s="702"/>
      <c r="Y37" s="3709"/>
      <c r="Z37" s="3494" t="str">
        <f t="shared" si="15"/>
        <v>市政基础设施</v>
      </c>
      <c r="AA37" s="703">
        <f t="shared" si="3"/>
        <v>1</v>
      </c>
      <c r="AB37" s="703">
        <f t="shared" si="4"/>
        <v>1</v>
      </c>
      <c r="AC37" s="703">
        <f t="shared" si="5"/>
        <v>1</v>
      </c>
    </row>
    <row r="38" spans="1:29" ht="15">
      <c r="A38" s="423"/>
      <c r="B38" s="375" t="s">
        <v>1787</v>
      </c>
      <c r="C38" s="1904" t="s">
        <v>3546</v>
      </c>
      <c r="D38" s="386">
        <v>100</v>
      </c>
      <c r="E38" s="1904" t="s">
        <v>3548</v>
      </c>
      <c r="F38" s="412">
        <f>SUMIF(114:114,E38,115:115)-SUMIF(114:114,C38,115:115)+100</f>
        <v>97</v>
      </c>
      <c r="G38" s="1904" t="s">
        <v>3548</v>
      </c>
      <c r="H38" s="386">
        <f>SUMIF(114:114,G38,115:115)-SUMIF(114:114,C38,115:115)+100</f>
        <v>97</v>
      </c>
      <c r="I38" s="1904" t="s">
        <v>3548</v>
      </c>
      <c r="J38" s="386">
        <f>SUMIF(114:114,I38,115:115)-SUMIF(114:114,C38,115:115)+100</f>
        <v>97</v>
      </c>
      <c r="K38" s="561">
        <v>3</v>
      </c>
      <c r="L38" s="2719"/>
      <c r="M38" s="2713"/>
      <c r="N38" s="2713"/>
      <c r="O38" s="2713"/>
      <c r="P38" s="3707" t="s">
        <v>1695</v>
      </c>
      <c r="Q38" s="3496" t="str">
        <f t="shared" si="11"/>
        <v>业态</v>
      </c>
      <c r="R38" s="704" t="s">
        <v>14</v>
      </c>
      <c r="S38" s="705">
        <f t="shared" si="12"/>
        <v>97</v>
      </c>
      <c r="T38" s="704" t="s">
        <v>14</v>
      </c>
      <c r="U38" s="705">
        <f t="shared" si="13"/>
        <v>97</v>
      </c>
      <c r="V38" s="704" t="s">
        <v>14</v>
      </c>
      <c r="W38" s="705">
        <f t="shared" si="14"/>
        <v>97</v>
      </c>
      <c r="X38" s="3499"/>
      <c r="Y38" s="3709" t="s">
        <v>1695</v>
      </c>
      <c r="Z38" s="3498" t="str">
        <f t="shared" si="15"/>
        <v>业态</v>
      </c>
      <c r="AA38" s="3497">
        <f t="shared" si="3"/>
        <v>1.0309278350515463</v>
      </c>
      <c r="AB38" s="3497">
        <f t="shared" si="4"/>
        <v>1.0309278350515463</v>
      </c>
      <c r="AC38" s="3497">
        <f t="shared" si="5"/>
        <v>1.0309278350515463</v>
      </c>
    </row>
    <row r="39" spans="1:29" ht="15">
      <c r="A39" s="423"/>
      <c r="B39" s="375" t="s">
        <v>1788</v>
      </c>
      <c r="C39" s="3481" t="s">
        <v>3611</v>
      </c>
      <c r="D39" s="386">
        <v>100</v>
      </c>
      <c r="E39" s="3481" t="s">
        <v>3611</v>
      </c>
      <c r="F39" s="412">
        <f>SUMIF(116:116,E39,117:117)-SUMIF(116:116,C39,117:117)+100</f>
        <v>100</v>
      </c>
      <c r="G39" s="3481" t="s">
        <v>3611</v>
      </c>
      <c r="H39" s="386">
        <f>SUMIF(116:116,G39,117:117)-SUMIF(116:116,C39,117:117)+100</f>
        <v>100</v>
      </c>
      <c r="I39" s="3481" t="s">
        <v>3611</v>
      </c>
      <c r="J39" s="386">
        <f>SUMIF(116:116,I39,117:117)-SUMIF(116:116,C39,117:117)+100</f>
        <v>100</v>
      </c>
      <c r="K39" s="561">
        <v>3</v>
      </c>
      <c r="L39" s="2719"/>
      <c r="M39" s="2713"/>
      <c r="N39" s="2713"/>
      <c r="O39" s="2713"/>
      <c r="P39" s="3707"/>
      <c r="Q39" s="3496" t="str">
        <f t="shared" si="11"/>
        <v>层高</v>
      </c>
      <c r="R39" s="704" t="s">
        <v>14</v>
      </c>
      <c r="S39" s="705">
        <f t="shared" si="12"/>
        <v>100</v>
      </c>
      <c r="T39" s="704" t="s">
        <v>14</v>
      </c>
      <c r="U39" s="705">
        <f t="shared" si="13"/>
        <v>100</v>
      </c>
      <c r="V39" s="704" t="s">
        <v>14</v>
      </c>
      <c r="W39" s="705">
        <f t="shared" si="14"/>
        <v>100</v>
      </c>
      <c r="X39" s="3499"/>
      <c r="Y39" s="3709"/>
      <c r="Z39" s="3498" t="str">
        <f t="shared" si="15"/>
        <v>层高</v>
      </c>
      <c r="AA39" s="3497">
        <f t="shared" si="3"/>
        <v>1</v>
      </c>
      <c r="AB39" s="3497">
        <f t="shared" si="4"/>
        <v>1</v>
      </c>
      <c r="AC39" s="3497">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07"/>
      <c r="Q40" s="3496" t="str">
        <f t="shared" si="11"/>
        <v>单套建筑面积</v>
      </c>
      <c r="R40" s="704" t="s">
        <v>14</v>
      </c>
      <c r="S40" s="705">
        <f t="shared" si="12"/>
        <v>100</v>
      </c>
      <c r="T40" s="704" t="s">
        <v>14</v>
      </c>
      <c r="U40" s="705">
        <f t="shared" si="13"/>
        <v>100</v>
      </c>
      <c r="V40" s="704" t="s">
        <v>14</v>
      </c>
      <c r="W40" s="705">
        <f t="shared" si="14"/>
        <v>100</v>
      </c>
      <c r="X40" s="3499"/>
      <c r="Y40" s="3709"/>
      <c r="Z40" s="3498" t="str">
        <f t="shared" si="15"/>
        <v>单套建筑面积</v>
      </c>
      <c r="AA40" s="3497">
        <f t="shared" si="3"/>
        <v>1</v>
      </c>
      <c r="AB40" s="3497">
        <f t="shared" si="4"/>
        <v>1</v>
      </c>
      <c r="AC40" s="3497">
        <f t="shared" si="5"/>
        <v>1</v>
      </c>
    </row>
    <row r="41" spans="1:29" s="422" customFormat="1" ht="15">
      <c r="A41" s="419"/>
      <c r="B41" s="3500"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7"/>
      <c r="Q41" s="706" t="str">
        <f t="shared" si="11"/>
        <v>进深比</v>
      </c>
      <c r="R41" s="707" t="s">
        <v>14</v>
      </c>
      <c r="S41" s="708">
        <f t="shared" si="12"/>
        <v>100</v>
      </c>
      <c r="T41" s="707" t="s">
        <v>14</v>
      </c>
      <c r="U41" s="708">
        <f t="shared" si="13"/>
        <v>100</v>
      </c>
      <c r="V41" s="707" t="s">
        <v>14</v>
      </c>
      <c r="W41" s="708">
        <f t="shared" si="14"/>
        <v>100</v>
      </c>
      <c r="X41" s="709"/>
      <c r="Y41" s="3709"/>
      <c r="Z41" s="710" t="str">
        <f t="shared" si="15"/>
        <v>进深比</v>
      </c>
      <c r="AA41" s="3497">
        <f t="shared" si="3"/>
        <v>1</v>
      </c>
      <c r="AB41" s="3497">
        <f t="shared" si="4"/>
        <v>1</v>
      </c>
      <c r="AC41" s="3497">
        <f t="shared" si="5"/>
        <v>1</v>
      </c>
    </row>
    <row r="42" spans="1:29" ht="15">
      <c r="A42" s="423"/>
      <c r="B42" s="375" t="s">
        <v>1791</v>
      </c>
      <c r="C42" s="1904" t="s">
        <v>3568</v>
      </c>
      <c r="D42" s="386">
        <v>100</v>
      </c>
      <c r="E42" s="1904" t="s">
        <v>3568</v>
      </c>
      <c r="F42" s="412">
        <f>SUMIF(122:122,E42,123:123)-SUMIF(122:122,C42,123:123)+100</f>
        <v>100</v>
      </c>
      <c r="G42" s="1904" t="s">
        <v>3568</v>
      </c>
      <c r="H42" s="386">
        <f>SUMIF(122:122,G42,123:123)-SUMIF(122:122,C42,123:123)+100</f>
        <v>100</v>
      </c>
      <c r="I42" s="1904" t="s">
        <v>3568</v>
      </c>
      <c r="J42" s="386">
        <f>SUMIF(122:122,I42,123:123)-SUMIF(122:122,C42,123:123)+100</f>
        <v>100</v>
      </c>
      <c r="K42" s="561">
        <v>1</v>
      </c>
      <c r="L42" s="2719"/>
      <c r="M42" s="2713"/>
      <c r="N42" s="2713"/>
      <c r="O42" s="2713"/>
      <c r="P42" s="3707"/>
      <c r="Q42" s="3496" t="str">
        <f t="shared" si="11"/>
        <v>内部装修</v>
      </c>
      <c r="R42" s="704" t="s">
        <v>14</v>
      </c>
      <c r="S42" s="705">
        <f t="shared" si="12"/>
        <v>100</v>
      </c>
      <c r="T42" s="704" t="s">
        <v>14</v>
      </c>
      <c r="U42" s="705">
        <f t="shared" si="13"/>
        <v>100</v>
      </c>
      <c r="V42" s="704" t="s">
        <v>14</v>
      </c>
      <c r="W42" s="705">
        <f t="shared" si="14"/>
        <v>100</v>
      </c>
      <c r="X42" s="3499"/>
      <c r="Y42" s="3709"/>
      <c r="Z42" s="3498" t="str">
        <f t="shared" si="15"/>
        <v>内部装修</v>
      </c>
      <c r="AA42" s="3497">
        <f t="shared" si="3"/>
        <v>1</v>
      </c>
      <c r="AB42" s="3497">
        <f t="shared" si="4"/>
        <v>1</v>
      </c>
      <c r="AC42" s="3497">
        <f t="shared" si="5"/>
        <v>1</v>
      </c>
    </row>
    <row r="43" spans="1:29" ht="15">
      <c r="A43" s="423"/>
      <c r="B43" s="375" t="s">
        <v>1706</v>
      </c>
      <c r="C43" s="1904" t="s">
        <v>3514</v>
      </c>
      <c r="D43" s="386">
        <v>100</v>
      </c>
      <c r="E43" s="1904" t="s">
        <v>3514</v>
      </c>
      <c r="F43" s="412">
        <f>SUMIF(124:124,E43,125:125)-SUMIF(124:124,C43,125:125)+100</f>
        <v>100</v>
      </c>
      <c r="G43" s="1904" t="s">
        <v>3514</v>
      </c>
      <c r="H43" s="386">
        <f>SUMIF(124:124,G43,125:125)-SUMIF(124:124,C43,125:125)+100</f>
        <v>100</v>
      </c>
      <c r="I43" s="1904" t="s">
        <v>3514</v>
      </c>
      <c r="J43" s="386">
        <f>SUMIF(124:124,I43,125:125)-SUMIF(124:124,C43,125:125)+100</f>
        <v>100</v>
      </c>
      <c r="K43" s="561">
        <v>2</v>
      </c>
      <c r="L43" s="2719"/>
      <c r="M43" s="2713"/>
      <c r="N43" s="2713"/>
      <c r="O43" s="2713"/>
      <c r="P43" s="3707"/>
      <c r="Q43" s="3496" t="str">
        <f t="shared" si="11"/>
        <v>内部装修维护情况</v>
      </c>
      <c r="R43" s="704" t="s">
        <v>14</v>
      </c>
      <c r="S43" s="705">
        <f t="shared" si="12"/>
        <v>100</v>
      </c>
      <c r="T43" s="704" t="s">
        <v>14</v>
      </c>
      <c r="U43" s="705">
        <f t="shared" si="13"/>
        <v>100</v>
      </c>
      <c r="V43" s="704" t="s">
        <v>14</v>
      </c>
      <c r="W43" s="705">
        <f t="shared" si="14"/>
        <v>100</v>
      </c>
      <c r="X43" s="3499"/>
      <c r="Y43" s="3709"/>
      <c r="Z43" s="3498" t="str">
        <f t="shared" si="15"/>
        <v>内部装修维护情况</v>
      </c>
      <c r="AA43" s="3497">
        <f t="shared" si="3"/>
        <v>1</v>
      </c>
      <c r="AB43" s="3497">
        <f t="shared" si="4"/>
        <v>1</v>
      </c>
      <c r="AC43" s="3497">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7"/>
      <c r="Q44" s="3495">
        <f t="shared" si="11"/>
        <v>111</v>
      </c>
      <c r="R44" s="700" t="s">
        <v>14</v>
      </c>
      <c r="S44" s="701">
        <f t="shared" si="12"/>
        <v>100</v>
      </c>
      <c r="T44" s="700" t="s">
        <v>14</v>
      </c>
      <c r="U44" s="701">
        <f t="shared" si="13"/>
        <v>100</v>
      </c>
      <c r="V44" s="700" t="s">
        <v>14</v>
      </c>
      <c r="W44" s="701">
        <f t="shared" si="14"/>
        <v>100</v>
      </c>
      <c r="X44" s="702"/>
      <c r="Y44" s="3709"/>
      <c r="Z44" s="3494">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7"/>
      <c r="Q45" s="3496">
        <f t="shared" si="11"/>
        <v>111</v>
      </c>
      <c r="R45" s="704" t="s">
        <v>14</v>
      </c>
      <c r="S45" s="705">
        <f t="shared" si="12"/>
        <v>100</v>
      </c>
      <c r="T45" s="704" t="s">
        <v>14</v>
      </c>
      <c r="U45" s="705">
        <f t="shared" si="13"/>
        <v>100</v>
      </c>
      <c r="V45" s="704" t="s">
        <v>14</v>
      </c>
      <c r="W45" s="705">
        <f t="shared" si="14"/>
        <v>100</v>
      </c>
      <c r="X45" s="3499"/>
      <c r="Y45" s="3709"/>
      <c r="Z45" s="3498">
        <f t="shared" si="15"/>
        <v>111</v>
      </c>
      <c r="AA45" s="3497">
        <f t="shared" si="3"/>
        <v>1</v>
      </c>
      <c r="AB45" s="3497">
        <f t="shared" si="4"/>
        <v>1</v>
      </c>
      <c r="AC45" s="3497">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8"/>
      <c r="Q46" s="3496">
        <f t="shared" si="11"/>
        <v>111</v>
      </c>
      <c r="R46" s="704" t="s">
        <v>14</v>
      </c>
      <c r="S46" s="705">
        <f t="shared" si="12"/>
        <v>100</v>
      </c>
      <c r="T46" s="704" t="s">
        <v>14</v>
      </c>
      <c r="U46" s="705">
        <f t="shared" si="13"/>
        <v>100</v>
      </c>
      <c r="V46" s="704" t="s">
        <v>14</v>
      </c>
      <c r="W46" s="705">
        <f t="shared" si="14"/>
        <v>100</v>
      </c>
      <c r="X46" s="3499"/>
      <c r="Y46" s="3710"/>
      <c r="Z46" s="3498">
        <f t="shared" si="15"/>
        <v>111</v>
      </c>
      <c r="AA46" s="3497">
        <f t="shared" si="3"/>
        <v>1</v>
      </c>
      <c r="AB46" s="3497">
        <f t="shared" si="4"/>
        <v>1</v>
      </c>
      <c r="AC46" s="3497">
        <f t="shared" si="5"/>
        <v>1</v>
      </c>
    </row>
    <row r="47" spans="1:29" ht="15">
      <c r="A47" s="430" t="s">
        <v>1707</v>
      </c>
      <c r="B47" s="431"/>
      <c r="C47" s="1153" t="s">
        <v>0</v>
      </c>
      <c r="D47" s="1154"/>
      <c r="E47" s="1155">
        <v>10.27</v>
      </c>
      <c r="F47" s="1156"/>
      <c r="G47" s="1157">
        <v>9.5</v>
      </c>
      <c r="H47" s="1158"/>
      <c r="I47" s="1155">
        <v>11.8</v>
      </c>
      <c r="J47" s="1158"/>
      <c r="K47" s="713"/>
      <c r="L47" s="2721"/>
      <c r="M47" s="2722"/>
      <c r="N47" s="2713"/>
      <c r="O47" s="2722"/>
      <c r="P47" s="3697" t="str">
        <f>A47</f>
        <v>成交单价（元/平方米）</v>
      </c>
      <c r="Q47" s="3697"/>
      <c r="R47" s="3731">
        <f>E47</f>
        <v>10.27</v>
      </c>
      <c r="S47" s="3731"/>
      <c r="T47" s="3731">
        <f>G47</f>
        <v>9.5</v>
      </c>
      <c r="U47" s="3731"/>
      <c r="V47" s="3731">
        <f>I47</f>
        <v>11.8</v>
      </c>
      <c r="W47" s="3731"/>
      <c r="X47" s="689"/>
      <c r="Y47" s="711"/>
      <c r="Z47" s="689"/>
      <c r="AA47" s="689"/>
      <c r="AB47" s="689"/>
      <c r="AC47" s="689"/>
    </row>
    <row r="48" spans="1:29" ht="15.75" thickBot="1">
      <c r="A48" s="437" t="s">
        <v>1792</v>
      </c>
      <c r="B48" s="438"/>
      <c r="C48" s="1159" t="e">
        <f>R49</f>
        <v>#DIV/0!</v>
      </c>
      <c r="D48" s="2315" t="s">
        <v>2133</v>
      </c>
      <c r="E48" s="1160" t="e">
        <f>R48</f>
        <v>#DIV/0!</v>
      </c>
      <c r="F48" s="2316"/>
      <c r="G48" s="1159" t="e">
        <f>T48</f>
        <v>#DIV/0!</v>
      </c>
      <c r="H48" s="2316"/>
      <c r="I48" s="1160" t="e">
        <f>V48</f>
        <v>#DIV/0!</v>
      </c>
      <c r="J48" s="2316"/>
      <c r="K48" s="2318">
        <f>F48+H48+J48</f>
        <v>0</v>
      </c>
      <c r="L48" s="2721"/>
      <c r="M48" s="2722"/>
      <c r="N48" s="2713"/>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9"/>
      <c r="Y48" s="689"/>
      <c r="Z48" s="689"/>
      <c r="AA48" s="689"/>
      <c r="AB48" s="689"/>
      <c r="AC48" s="689"/>
    </row>
    <row r="49" spans="1:29" ht="15.75" thickBot="1">
      <c r="A49" s="441" t="s">
        <v>1793</v>
      </c>
      <c r="B49" s="442"/>
      <c r="C49" s="1162" t="e">
        <f>R49</f>
        <v>#DIV/0!</v>
      </c>
      <c r="D49" s="1162"/>
      <c r="E49" s="1162"/>
      <c r="F49" s="1162"/>
      <c r="G49" s="1162"/>
      <c r="H49" s="1162"/>
      <c r="I49" s="1162"/>
      <c r="J49" s="1162"/>
      <c r="K49" s="714"/>
      <c r="L49" s="2721"/>
      <c r="M49" s="2722"/>
      <c r="N49" s="2713"/>
      <c r="O49" s="2722"/>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8.1052631578947265E-2</v>
      </c>
      <c r="F54" s="449" t="str">
        <f>IF(OR(E54&gt;=0.3,E54&lt;=-0.3),"超过30%","")</f>
        <v/>
      </c>
      <c r="G54" s="448">
        <f>IF(G47&lt;I47,I47/G47-1,G47/I47-1)</f>
        <v>0.24210526315789482</v>
      </c>
      <c r="H54" s="449" t="str">
        <f>IF(OR(G54&gt;=0.3,G54&lt;=-0.3),"超过30%","")</f>
        <v/>
      </c>
      <c r="I54" s="448">
        <f>IF(I47&lt;E47,E47/I47-1,I47/E47-1)</f>
        <v>0.14897760467380738</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1797</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1678</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3466" t="s">
        <v>3510</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100</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3</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97</v>
      </c>
      <c r="E77" s="493">
        <f>D77-$K15</f>
        <v>94</v>
      </c>
      <c r="F77" s="493">
        <f>E77-$K15</f>
        <v>91</v>
      </c>
      <c r="G77" s="493">
        <f>F77-$K15</f>
        <v>88</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97</v>
      </c>
      <c r="E81" s="493">
        <f>D81-$K19</f>
        <v>94</v>
      </c>
      <c r="F81" s="493">
        <f>E81-$K19</f>
        <v>91</v>
      </c>
      <c r="G81" s="493">
        <f>F81-$K19</f>
        <v>88</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7" t="s">
        <v>1798</v>
      </c>
      <c r="D82" s="607" t="s">
        <v>1799</v>
      </c>
      <c r="E82" s="607" t="s">
        <v>1800</v>
      </c>
      <c r="F82" s="607" t="s">
        <v>1801</v>
      </c>
      <c r="G82" s="607" t="s">
        <v>1802</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71" t="s">
        <v>3552</v>
      </c>
      <c r="D86" s="3471" t="s">
        <v>3553</v>
      </c>
      <c r="E86" s="3471" t="s">
        <v>3554</v>
      </c>
      <c r="F86" s="3471" t="s">
        <v>3555</v>
      </c>
      <c r="G86" s="3471" t="s">
        <v>3556</v>
      </c>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3557</v>
      </c>
      <c r="D88" s="503" t="s">
        <v>3514</v>
      </c>
      <c r="E88" s="503" t="s">
        <v>3558</v>
      </c>
      <c r="F88" s="1925" t="s">
        <v>3559</v>
      </c>
      <c r="G88" s="503" t="s">
        <v>3560</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71" t="s">
        <v>3561</v>
      </c>
      <c r="D90" s="3471" t="s">
        <v>3562</v>
      </c>
      <c r="E90" s="3471" t="s">
        <v>3563</v>
      </c>
      <c r="F90" s="3471" t="s">
        <v>3564</v>
      </c>
      <c r="G90" s="3471" t="s">
        <v>3565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v>1</v>
      </c>
      <c r="D92" s="3492" t="s">
        <v>3627</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70" t="s">
        <v>3618</v>
      </c>
      <c r="D100" s="3470" t="s">
        <v>3551</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v>500</v>
      </c>
      <c r="H103" s="544">
        <v>1000</v>
      </c>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3471"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3469" t="s">
        <v>3532</v>
      </c>
      <c r="D107" s="3469" t="s">
        <v>3533</v>
      </c>
      <c r="E107" s="3469" t="s">
        <v>3534</v>
      </c>
      <c r="F107" s="3472" t="s">
        <v>3535</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3469" t="s">
        <v>3539</v>
      </c>
      <c r="D112" s="3469" t="s">
        <v>3540</v>
      </c>
      <c r="E112" s="3469" t="s">
        <v>3541</v>
      </c>
      <c r="F112" s="3469" t="s">
        <v>3542</v>
      </c>
      <c r="G112" s="3469" t="s">
        <v>3543</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71" t="s">
        <v>3547</v>
      </c>
      <c r="D114" s="3471" t="s">
        <v>3549</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3472" t="s">
        <v>3544</v>
      </c>
      <c r="D116" s="3473" t="s">
        <v>3545</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69" t="s">
        <v>3532</v>
      </c>
      <c r="D122" s="3469" t="s">
        <v>3533</v>
      </c>
      <c r="E122" s="3469" t="s">
        <v>3534</v>
      </c>
      <c r="F122" s="3472" t="s">
        <v>3535</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24" priority="20" stopIfTrue="1" operator="containsText" text="超过">
      <formula>NOT(ISERROR(SEARCH("超过",F52)))</formula>
    </cfRule>
  </conditionalFormatting>
  <conditionalFormatting sqref="H54">
    <cfRule type="containsText" dxfId="23" priority="19" stopIfTrue="1" operator="containsText" text="超过">
      <formula>NOT(ISERROR(SEARCH("超过",H54)))</formula>
    </cfRule>
  </conditionalFormatting>
  <conditionalFormatting sqref="F54">
    <cfRule type="containsText" dxfId="22" priority="18" stopIfTrue="1" operator="containsText" text="超过">
      <formula>NOT(ISERROR(SEARCH("超过",F54)))</formula>
    </cfRule>
  </conditionalFormatting>
  <conditionalFormatting sqref="F53 H53">
    <cfRule type="containsText" dxfId="21" priority="17" stopIfTrue="1" operator="containsText" text="超过">
      <formula>NOT(ISERROR(SEARCH("超过",F53)))</formula>
    </cfRule>
  </conditionalFormatting>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G54">
    <cfRule type="expression" dxfId="17" priority="13" stopIfTrue="1">
      <formula>$H$54="超过30%"</formula>
    </cfRule>
  </conditionalFormatting>
  <conditionalFormatting sqref="G52">
    <cfRule type="expression" dxfId="16" priority="12" stopIfTrue="1">
      <formula>$H$52="超过30%"</formula>
    </cfRule>
  </conditionalFormatting>
  <conditionalFormatting sqref="G53">
    <cfRule type="expression" dxfId="15" priority="11" stopIfTrue="1">
      <formula>$H$53="超过20%"</formula>
    </cfRule>
  </conditionalFormatting>
  <conditionalFormatting sqref="J52">
    <cfRule type="containsText" dxfId="14" priority="10" stopIfTrue="1" operator="containsText" text="超过">
      <formula>NOT(ISERROR(SEARCH("超过",J52)))</formula>
    </cfRule>
  </conditionalFormatting>
  <conditionalFormatting sqref="J54">
    <cfRule type="containsText" dxfId="13" priority="9" stopIfTrue="1" operator="containsText" text="超过">
      <formula>NOT(ISERROR(SEARCH("超过",J54)))</formula>
    </cfRule>
  </conditionalFormatting>
  <conditionalFormatting sqref="J53">
    <cfRule type="containsText" dxfId="12" priority="8" stopIfTrue="1" operator="containsText" text="超过">
      <formula>NOT(ISERROR(SEARCH("超过",J53)))</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57" sqref="K5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30.83</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2">
        <f ca="1">ROUND(D2/10000,4)</f>
        <v>336.86810000000003</v>
      </c>
      <c r="C2" s="1385" t="s">
        <v>879</v>
      </c>
      <c r="D2" s="1469">
        <f ca="1">C40+J29+L46</f>
        <v>3368681</v>
      </c>
      <c r="E2" s="1386" t="s">
        <v>880</v>
      </c>
      <c r="F2" s="1387"/>
      <c r="G2" s="2703"/>
      <c r="H2" s="2692"/>
      <c r="I2" s="2692"/>
      <c r="J2" s="2692"/>
      <c r="K2" s="2693"/>
      <c r="L2" s="2692"/>
      <c r="M2" s="2692"/>
    </row>
    <row r="3" spans="1:37" ht="18" customHeight="1" thickBot="1">
      <c r="A3" s="1388" t="s">
        <v>881</v>
      </c>
      <c r="B3" s="1389">
        <f ca="1">IF(ISERROR(D2/F43),0,ROUND(D2/F43,0))</f>
        <v>26791</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206786</v>
      </c>
      <c r="D5" s="1362" t="s">
        <v>889</v>
      </c>
      <c r="E5" s="1070"/>
      <c r="F5" s="1071"/>
      <c r="G5" s="1382"/>
      <c r="H5" s="299">
        <v>1</v>
      </c>
      <c r="I5" s="300" t="s">
        <v>888</v>
      </c>
      <c r="J5" s="1069">
        <f ca="1">J6+J10+J12</f>
        <v>0</v>
      </c>
      <c r="K5" s="1362" t="s">
        <v>889</v>
      </c>
      <c r="L5" s="1070"/>
      <c r="M5" s="1071"/>
    </row>
    <row r="6" spans="1:37" ht="18" customHeight="1">
      <c r="A6" s="1068" t="s">
        <v>398</v>
      </c>
      <c r="B6" s="3693" t="s">
        <v>694</v>
      </c>
      <c r="C6" s="1073">
        <f ca="1">ROUND(F6*F8*F7*(1-F9),0)</f>
        <v>206528</v>
      </c>
      <c r="D6" s="155" t="s">
        <v>2101</v>
      </c>
      <c r="E6" s="302" t="s">
        <v>696</v>
      </c>
      <c r="F6" s="303">
        <f ca="1">INDIRECT("'数据-取费表'!u"&amp;$G$1)</f>
        <v>5</v>
      </c>
      <c r="G6" s="1382"/>
      <c r="H6" s="1068" t="s">
        <v>398</v>
      </c>
      <c r="I6" s="3693" t="s">
        <v>694</v>
      </c>
      <c r="J6" s="301">
        <f ca="1">ROUND(M6*M8*M7*(1-M9),0)</f>
        <v>0</v>
      </c>
      <c r="K6" s="1374" t="s">
        <v>2102</v>
      </c>
      <c r="L6" s="302" t="s">
        <v>696</v>
      </c>
      <c r="M6" s="303">
        <f ca="1">INDIRECT("'数据-取费表'!z"&amp;$G$1)</f>
        <v>0</v>
      </c>
    </row>
    <row r="7" spans="1:37" ht="18" customHeight="1">
      <c r="A7" s="1072"/>
      <c r="B7" s="3694"/>
      <c r="C7" s="1074"/>
      <c r="D7" s="307"/>
      <c r="E7" s="1075" t="s">
        <v>697</v>
      </c>
      <c r="F7" s="303">
        <f ca="1">IF(INDIRECT("'数据-取费表'!ah"&amp;$G$1)="",INDIRECT("'数据-取费表'!k"&amp;$G$1),INDIRECT("'数据-取费表'!ah"&amp;$G$1))</f>
        <v>125.74</v>
      </c>
      <c r="G7" s="1382"/>
      <c r="H7" s="304"/>
      <c r="I7" s="3694"/>
      <c r="J7" s="306"/>
      <c r="K7" s="307"/>
      <c r="L7" s="302" t="s">
        <v>697</v>
      </c>
      <c r="M7" s="303">
        <f ca="1">F7</f>
        <v>125.74</v>
      </c>
    </row>
    <row r="8" spans="1:37" ht="18" customHeight="1">
      <c r="A8" s="304"/>
      <c r="B8" s="3694"/>
      <c r="C8" s="306"/>
      <c r="D8" s="307"/>
      <c r="E8" s="302" t="s">
        <v>698</v>
      </c>
      <c r="F8" s="303">
        <f ca="1">INDIRECT("'数据-取费表'!ai"&amp;$G$1)</f>
        <v>365</v>
      </c>
      <c r="G8" s="1382"/>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2"/>
      <c r="H9" s="304"/>
      <c r="I9" s="3695"/>
      <c r="J9" s="306"/>
      <c r="K9" s="307"/>
      <c r="L9" s="313" t="s">
        <v>699</v>
      </c>
      <c r="M9" s="314">
        <f ca="1">INDIRECT("'数据-取费表'!ab"&amp;$G$1)</f>
        <v>0</v>
      </c>
    </row>
    <row r="10" spans="1:37" ht="18" customHeight="1">
      <c r="A10" s="1068" t="s">
        <v>402</v>
      </c>
      <c r="B10" s="1363" t="s">
        <v>700</v>
      </c>
      <c r="C10" s="316">
        <f ca="1">ROUND(IF(F10="押一",C6/12*F11,IF(F10="押二",C6/12*2*F11,IF(F10="押三",C6/12*3*F11,C11*F11))),0)</f>
        <v>258</v>
      </c>
      <c r="D10" s="1364" t="s">
        <v>2111</v>
      </c>
      <c r="E10" s="313" t="s">
        <v>701</v>
      </c>
      <c r="F10" s="1115" t="s">
        <v>3599</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669183</v>
      </c>
      <c r="D13" s="1080" t="s">
        <v>705</v>
      </c>
      <c r="E13" s="1080" t="s">
        <v>706</v>
      </c>
      <c r="F13" s="1081">
        <f ca="1">INDIRECT("'数据-取费表'!y"&amp;$G$1)</f>
        <v>0.9</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502960</v>
      </c>
      <c r="D14" s="1343" t="s">
        <v>708</v>
      </c>
      <c r="E14" s="1340"/>
      <c r="F14" s="319"/>
      <c r="G14" s="1382"/>
      <c r="H14" s="981" t="s">
        <v>398</v>
      </c>
      <c r="I14" s="302" t="s">
        <v>709</v>
      </c>
      <c r="J14" s="21">
        <f ca="1">C29</f>
        <v>743537</v>
      </c>
      <c r="K14" s="12"/>
      <c r="L14" s="806"/>
      <c r="M14" s="807"/>
    </row>
    <row r="15" spans="1:37" s="1395" customFormat="1" ht="18" customHeight="1" thickBot="1">
      <c r="A15" s="981" t="s">
        <v>399</v>
      </c>
      <c r="B15" s="302" t="s">
        <v>710</v>
      </c>
      <c r="C15" s="21">
        <f ca="1">ROUND(C14*F15,0)</f>
        <v>15089</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7435</v>
      </c>
      <c r="K16" s="1086" t="s">
        <v>715</v>
      </c>
      <c r="L16" s="1087"/>
      <c r="M16" s="1071"/>
    </row>
    <row r="17" spans="1:37" s="1395" customFormat="1" ht="18" customHeight="1">
      <c r="A17" s="981" t="s">
        <v>681</v>
      </c>
      <c r="B17" s="302" t="s">
        <v>716</v>
      </c>
      <c r="C17" s="21">
        <f ca="1">ROUND(F17*(F43+INDIRECT("'数据-取费表'!S"&amp;$G$1)),0)</f>
        <v>25148</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7544</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550741</v>
      </c>
      <c r="D19" s="131" t="s">
        <v>726</v>
      </c>
      <c r="E19" s="1358"/>
      <c r="F19" s="23"/>
      <c r="G19" s="1382"/>
      <c r="H19" s="981"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1" t="s">
        <v>402</v>
      </c>
      <c r="B20" s="302" t="s">
        <v>728</v>
      </c>
      <c r="C20" s="21">
        <f ca="1">ROUND(C19*F20,0)</f>
        <v>11015</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f ca="1">ROUND(J14*M22,0)</f>
        <v>7435</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11657</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-7435</v>
      </c>
      <c r="K25" s="1094" t="s">
        <v>753</v>
      </c>
      <c r="L25" s="1095"/>
      <c r="M25" s="1096"/>
    </row>
    <row r="26" spans="1:37" ht="18" customHeight="1">
      <c r="A26" s="981" t="s">
        <v>397</v>
      </c>
      <c r="B26" s="302" t="s">
        <v>754</v>
      </c>
      <c r="C26" s="21">
        <f ca="1">ROUND((C19+C20)*F26,0)</f>
        <v>112351</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743537</v>
      </c>
      <c r="D29" s="1091"/>
      <c r="E29" s="1089"/>
      <c r="F29" s="1092"/>
      <c r="G29" s="1394"/>
      <c r="H29" s="334" t="s">
        <v>396</v>
      </c>
      <c r="I29" s="335" t="s">
        <v>768</v>
      </c>
      <c r="J29" s="336">
        <f ca="1">ROUND(J26/(1+F40)^F41,0)</f>
        <v>0</v>
      </c>
      <c r="K29" s="337" t="s">
        <v>769</v>
      </c>
      <c r="L29" s="338"/>
      <c r="M29" s="339">
        <f ca="1">INDIRECT("'数据-取费表'!k"&amp;$G$1)</f>
        <v>125.74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23941</v>
      </c>
      <c r="D30" s="1086" t="s">
        <v>715</v>
      </c>
      <c r="E30" s="1087"/>
      <c r="F30" s="1071"/>
      <c r="G30" s="1382"/>
      <c r="H30" s="2694"/>
      <c r="I30" s="1396"/>
      <c r="J30" s="1397"/>
      <c r="K30" s="2473"/>
      <c r="L30" s="2695"/>
      <c r="M30" s="2696"/>
    </row>
    <row r="31" spans="1:37" ht="18" customHeight="1">
      <c r="A31" s="981" t="s">
        <v>398</v>
      </c>
      <c r="B31" s="302" t="s">
        <v>719</v>
      </c>
      <c r="C31" s="2314">
        <f ca="1">ROUND(IF(AND(项目基本情况!B11="自然人",项目基本情况!B10="北京市"),C6*F31/(1+'数据-取费表'!C42),C32+C33+C34),0)</f>
        <v>13769</v>
      </c>
      <c r="D31" s="1343" t="s">
        <v>720</v>
      </c>
      <c r="E31" s="1342" t="s">
        <v>770</v>
      </c>
      <c r="F31" s="2313">
        <f ca="1">IF(项目基本情况!B11="企业","——",IF(M47="住宅",IF(F6*F7*F8/12/(1+'数据-取费表'!F30)&gt;100000,4%,2.5%),IF(F6*F7*F8/12/(1+'数据-取费表'!F30)&gt;100000,12%,7%)))</f>
        <v>7.0000000000000007E-2</v>
      </c>
      <c r="G31" s="1382"/>
      <c r="H31" s="2805" t="s">
        <v>2301</v>
      </c>
      <c r="I31" s="1396"/>
      <c r="J31" s="1397"/>
      <c r="K31" s="2473"/>
      <c r="L31" s="2695"/>
      <c r="M31" s="2696"/>
    </row>
    <row r="32" spans="1:37" ht="18" customHeight="1">
      <c r="A32" s="981" t="s">
        <v>397</v>
      </c>
      <c r="B32" s="302" t="s">
        <v>723</v>
      </c>
      <c r="C32" s="21" t="str">
        <f>IF(项目基本情况!B11="自然人","——",ROUND(C6*F32/(1+'数据-取费表'!C42),0))</f>
        <v>——</v>
      </c>
      <c r="D32" s="1342" t="s">
        <v>724</v>
      </c>
      <c r="E32" s="302" t="s">
        <v>712</v>
      </c>
      <c r="F32" s="331">
        <f>'数据-取费表'!B41</f>
        <v>5.6000000000000001E-2</v>
      </c>
      <c r="G32" s="1382"/>
      <c r="H32" s="2694"/>
      <c r="I32" s="1396"/>
      <c r="J32" s="1397"/>
      <c r="K32" s="2473"/>
      <c r="L32" s="2695"/>
      <c r="M32" s="2696"/>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8" t="s">
        <v>3332</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str">
        <f>IF(项目基本情况!B11="自然人","——",ROUND(F34*F35,0))</f>
        <v>——</v>
      </c>
      <c r="D34" s="324" t="s">
        <v>731</v>
      </c>
      <c r="E34" s="302" t="s">
        <v>732</v>
      </c>
      <c r="F34" s="325">
        <f>'数据-取费表'!B52</f>
        <v>0</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ROUND(C29*F36,0)</f>
        <v>7435</v>
      </c>
      <c r="D36" s="1342" t="s">
        <v>771</v>
      </c>
      <c r="E36" s="302" t="s">
        <v>712</v>
      </c>
      <c r="F36" s="328">
        <f ca="1">INDIRECT("'数据-取费表'!Ak"&amp;$G$1)</f>
        <v>0.01</v>
      </c>
      <c r="G36" s="1382"/>
      <c r="H36" s="2697"/>
      <c r="I36" s="1396"/>
      <c r="J36" s="1397"/>
      <c r="K36" s="2542"/>
      <c r="L36" s="2697"/>
      <c r="M36" s="2697"/>
    </row>
    <row r="37" spans="1:18" ht="18" customHeight="1">
      <c r="A37" s="981" t="s">
        <v>437</v>
      </c>
      <c r="B37" s="302" t="s">
        <v>742</v>
      </c>
      <c r="C37" s="21">
        <f ca="1">ROUND(C13*F37,0)</f>
        <v>669</v>
      </c>
      <c r="D37" s="1342" t="s">
        <v>743</v>
      </c>
      <c r="E37" s="302" t="s">
        <v>744</v>
      </c>
      <c r="F37" s="330">
        <f ca="1">INDIRECT("'数据-取费表'!Al"&amp;$G$1)</f>
        <v>1E-3</v>
      </c>
      <c r="G37" s="1382"/>
      <c r="H37" s="2697"/>
      <c r="I37" s="1396"/>
      <c r="J37" s="1397"/>
      <c r="K37" s="2542"/>
      <c r="L37" s="2697"/>
      <c r="M37" s="2697"/>
    </row>
    <row r="38" spans="1:18" ht="18" customHeight="1" thickBot="1">
      <c r="A38" s="1088" t="s">
        <v>684</v>
      </c>
      <c r="B38" s="1089" t="s">
        <v>728</v>
      </c>
      <c r="C38" s="1090">
        <f ca="1">ROUND(C5*F38,0)</f>
        <v>2068</v>
      </c>
      <c r="D38" s="1091" t="s">
        <v>748</v>
      </c>
      <c r="E38" s="1089" t="s">
        <v>744</v>
      </c>
      <c r="F38" s="1085">
        <f ca="1">INDIRECT("'数据-取费表'!Am"&amp;$G$1)</f>
        <v>0.01</v>
      </c>
      <c r="G38" s="1382"/>
      <c r="H38" s="2697"/>
      <c r="I38" s="1396"/>
      <c r="J38" s="1397"/>
      <c r="K38" s="2701"/>
      <c r="L38" s="2697"/>
      <c r="M38" s="2697"/>
    </row>
    <row r="39" spans="1:18" ht="24.6" customHeight="1" thickTop="1">
      <c r="A39" s="1078" t="s">
        <v>394</v>
      </c>
      <c r="B39" s="1093" t="s">
        <v>772</v>
      </c>
      <c r="C39" s="310">
        <f ca="1">C5-C30</f>
        <v>182845</v>
      </c>
      <c r="D39" s="1094" t="s">
        <v>773</v>
      </c>
      <c r="E39" s="1095"/>
      <c r="F39" s="1096"/>
      <c r="G39" s="1382"/>
      <c r="H39" s="2697">
        <f ca="1">C39/C5</f>
        <v>0.88422330331840648</v>
      </c>
      <c r="I39" s="1396"/>
      <c r="J39" s="1397"/>
      <c r="K39" s="2701"/>
      <c r="L39" s="2697"/>
      <c r="M39" s="2697"/>
    </row>
    <row r="40" spans="1:18" ht="18" customHeight="1">
      <c r="A40" s="299" t="s">
        <v>395</v>
      </c>
      <c r="B40" s="300" t="s">
        <v>774</v>
      </c>
      <c r="C40" s="301">
        <f ca="1">ROUND(C39*(1-((1+F42)/(1+F40))^F41)/(F40-F42),0)</f>
        <v>3368681</v>
      </c>
      <c r="D40" s="324" t="s">
        <v>758</v>
      </c>
      <c r="E40" s="302" t="s">
        <v>759</v>
      </c>
      <c r="F40" s="312">
        <f ca="1">INDIRECT("'数据-取费表'!I"&amp;$G$1)</f>
        <v>0.06</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30.83</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26791</v>
      </c>
      <c r="D43" s="337" t="s">
        <v>777</v>
      </c>
      <c r="E43" s="338" t="s">
        <v>778</v>
      </c>
      <c r="F43" s="339">
        <f ca="1">INDIRECT("'数据-取费表'!k"&amp;$G$1)</f>
        <v>125.74</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8" t="s">
        <v>3348</v>
      </c>
      <c r="B45" s="1398"/>
      <c r="C45" s="1470">
        <f ca="1">ROUND((C68-C40)/10000,4)</f>
        <v>-348.13409999999999</v>
      </c>
      <c r="D45" s="3429" t="s">
        <v>3349</v>
      </c>
      <c r="E45" s="1398"/>
      <c r="F45" s="1398"/>
      <c r="O45" s="1401" t="s">
        <v>808</v>
      </c>
      <c r="P45" s="1459"/>
      <c r="Q45" s="1459"/>
      <c r="R45" s="1459"/>
    </row>
    <row r="46" spans="1:18" s="1382" customFormat="1" ht="13.5" thickBot="1">
      <c r="A46" s="1402" t="s">
        <v>809</v>
      </c>
      <c r="C46" s="1403">
        <f ca="1">ROUND(C45,0)</f>
        <v>-348</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3567</v>
      </c>
      <c r="K47" s="1414" t="s">
        <v>816</v>
      </c>
      <c r="L47" s="1415">
        <f ca="1">INDIRECT("'数据-取费表'!d"&amp;$G$1)</f>
        <v>40</v>
      </c>
      <c r="M47" s="1378" t="str">
        <f>IF(ISNUMBER(FIND("住宅",C1)),"住宅","非住宅")</f>
        <v>非住宅</v>
      </c>
      <c r="O47" s="1416" t="s">
        <v>403</v>
      </c>
      <c r="P47" s="1417" t="s">
        <v>817</v>
      </c>
      <c r="Q47" s="1418">
        <f ca="1">C40+J29</f>
        <v>3368681</v>
      </c>
      <c r="R47" s="1418" t="s">
        <v>818</v>
      </c>
    </row>
    <row r="48" spans="1:18" s="1382" customFormat="1" ht="28.5" thickBot="1">
      <c r="A48" s="1109" t="s">
        <v>438</v>
      </c>
      <c r="B48" s="300" t="s">
        <v>692</v>
      </c>
      <c r="C48" s="1357">
        <f ca="1">C49+C53+C55</f>
        <v>0</v>
      </c>
      <c r="D48" s="1111"/>
      <c r="E48" s="1112"/>
      <c r="F48" s="961"/>
      <c r="G48" s="721"/>
      <c r="H48" s="722"/>
      <c r="I48" s="1419" t="s">
        <v>819</v>
      </c>
      <c r="J48" s="1420" t="s">
        <v>3581</v>
      </c>
      <c r="K48" s="1421" t="s">
        <v>820</v>
      </c>
      <c r="L48" s="1422">
        <f ca="1">INDIRECT("'数据-取费表'!f"&amp;$G$1)</f>
        <v>30.83</v>
      </c>
      <c r="O48" s="1416" t="s">
        <v>404</v>
      </c>
      <c r="P48" s="1417" t="s">
        <v>821</v>
      </c>
      <c r="Q48" s="1418" t="str">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v>2005</v>
      </c>
      <c r="K49" s="1421" t="s">
        <v>824</v>
      </c>
      <c r="L49" s="1425"/>
      <c r="O49" s="1426" t="s">
        <v>405</v>
      </c>
      <c r="P49" s="1417" t="s">
        <v>825</v>
      </c>
      <c r="Q49" s="1418">
        <f ca="1">C29</f>
        <v>743537</v>
      </c>
      <c r="R49" s="1418" t="s">
        <v>818</v>
      </c>
    </row>
    <row r="50" spans="1:18" s="1382" customFormat="1" ht="13.5" thickBot="1">
      <c r="A50" s="975"/>
      <c r="B50" s="978"/>
      <c r="C50" s="979"/>
      <c r="D50" s="952"/>
      <c r="E50" s="1055" t="s">
        <v>697</v>
      </c>
      <c r="F50" s="1056">
        <f ca="1">F7</f>
        <v>125.74</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3">
        <f ca="1">F8</f>
        <v>365</v>
      </c>
      <c r="I51" s="1430" t="s">
        <v>829</v>
      </c>
      <c r="J51" s="1431">
        <f>IF(J49="",J50,J49+J50-YEAR('数据-取费表'!B2))</f>
        <v>42</v>
      </c>
      <c r="K51" s="1432" t="s">
        <v>830</v>
      </c>
      <c r="L51" s="1433">
        <f ca="1">ROUND(-PV(INDIRECT("'数据-取费表'!h"&amp;$G$1),J51,(C39-C13*C76),0),0)</f>
        <v>2311298</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30.83</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30.83</v>
      </c>
      <c r="K53" s="3691" t="s">
        <v>837</v>
      </c>
      <c r="L53" s="3692"/>
      <c r="O53" s="1416" t="s">
        <v>409</v>
      </c>
      <c r="P53" s="1417" t="s">
        <v>838</v>
      </c>
      <c r="Q53" s="1418">
        <f ca="1">Q47+Q48</f>
        <v>3368681</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669183</v>
      </c>
      <c r="D56" s="1445"/>
      <c r="E56" s="1446"/>
      <c r="F56" s="1438"/>
      <c r="I56" s="1447" t="s">
        <v>842</v>
      </c>
      <c r="J56" s="1448" t="s">
        <v>3504</v>
      </c>
      <c r="K56" s="1419" t="s">
        <v>843</v>
      </c>
      <c r="L56" s="1422" t="str">
        <f ca="1">IF(L48&lt;J51,"——",L48-J51)</f>
        <v>——</v>
      </c>
      <c r="O56" s="1416" t="s">
        <v>403</v>
      </c>
      <c r="P56" s="1417" t="s">
        <v>817</v>
      </c>
      <c r="Q56" s="1418">
        <f ca="1">C40+J29</f>
        <v>3368681</v>
      </c>
      <c r="R56" s="1418" t="s">
        <v>818</v>
      </c>
    </row>
    <row r="57" spans="1:18" s="1382" customFormat="1" ht="24.75" thickBot="1">
      <c r="A57" s="1449"/>
      <c r="B57" s="949" t="s">
        <v>767</v>
      </c>
      <c r="C57" s="238">
        <f ca="1">C29</f>
        <v>743537</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8104</v>
      </c>
      <c r="D58" s="959" t="s">
        <v>715</v>
      </c>
      <c r="E58" s="960"/>
      <c r="F58" s="961"/>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t="str">
        <f ca="1">IF(项目基本情况!B11="自然人","——",IF(D61="按租金收入计税",ROUND(C49*F61/(1+'数据-取费表'!C42),0),IF(D61="按房产原值计税",ROUND(C57*F61*0.7,0),INDIRECT("'数据-取费表'!Aj"&amp;$G$1))))</f>
        <v>——</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t="str">
        <f>IF(项目基本情况!B11="自然人","——",ROUND(F62*F63,0))</f>
        <v>——</v>
      </c>
      <c r="D62" s="964" t="s">
        <v>786</v>
      </c>
      <c r="E62" s="949" t="s">
        <v>787</v>
      </c>
      <c r="F62" s="325">
        <f t="shared" si="0"/>
        <v>0</v>
      </c>
      <c r="I62" s="1460" t="s">
        <v>858</v>
      </c>
      <c r="J62" s="1461" t="s">
        <v>859</v>
      </c>
      <c r="K62" s="1461" t="s">
        <v>860</v>
      </c>
      <c r="L62" s="1461" t="s">
        <v>861</v>
      </c>
      <c r="M62" s="1462" t="s">
        <v>862</v>
      </c>
      <c r="O62" s="1416" t="s">
        <v>409</v>
      </c>
      <c r="P62" s="1417" t="s">
        <v>863</v>
      </c>
      <c r="Q62" s="1418">
        <f ca="1">Q56+Q57</f>
        <v>3368681</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7435</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669</v>
      </c>
      <c r="D65" s="963" t="s">
        <v>743</v>
      </c>
      <c r="E65" s="949" t="s">
        <v>744</v>
      </c>
      <c r="F65" s="330">
        <f t="shared" ca="1" si="0"/>
        <v>1E-3</v>
      </c>
      <c r="I65" s="1460" t="s">
        <v>867</v>
      </c>
      <c r="J65" s="1461">
        <v>40</v>
      </c>
      <c r="K65" s="1461">
        <v>30</v>
      </c>
      <c r="L65" s="1461">
        <v>50</v>
      </c>
      <c r="M65" s="1463">
        <v>0.02</v>
      </c>
      <c r="O65" s="1416" t="s">
        <v>403</v>
      </c>
      <c r="P65" s="1417" t="s">
        <v>868</v>
      </c>
      <c r="Q65" s="1418">
        <f ca="1">C40+J29</f>
        <v>3368681</v>
      </c>
      <c r="R65" s="1418" t="s">
        <v>818</v>
      </c>
    </row>
    <row r="66" spans="1:18" s="1382" customFormat="1" ht="16.5" thickBot="1">
      <c r="A66" s="981" t="s">
        <v>793</v>
      </c>
      <c r="B66" s="949" t="s">
        <v>728</v>
      </c>
      <c r="C66" s="21">
        <f ca="1">ROUND(C48*F66,0)</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-8104</v>
      </c>
      <c r="D67" s="962" t="s">
        <v>753</v>
      </c>
      <c r="E67" s="967"/>
      <c r="F67" s="968"/>
      <c r="O67" s="1426" t="s">
        <v>405</v>
      </c>
      <c r="P67" s="1417" t="s">
        <v>850</v>
      </c>
      <c r="Q67" s="1464">
        <f ca="1">L51</f>
        <v>2311298</v>
      </c>
      <c r="R67" s="1418" t="s">
        <v>870</v>
      </c>
    </row>
    <row r="68" spans="1:18" s="1382" customFormat="1" ht="16.5" thickBot="1">
      <c r="A68" s="946" t="s">
        <v>395</v>
      </c>
      <c r="B68" s="947" t="s">
        <v>774</v>
      </c>
      <c r="C68" s="301">
        <f ca="1">ROUND(C67*(1-((1+F70)/(1+F68))^F69)/(F68-F70),0)</f>
        <v>-112660</v>
      </c>
      <c r="D68" s="964" t="s">
        <v>758</v>
      </c>
      <c r="E68" s="949" t="s">
        <v>759</v>
      </c>
      <c r="F68" s="312">
        <f ca="1">F40</f>
        <v>0.06</v>
      </c>
      <c r="O68" s="1426" t="s">
        <v>406</v>
      </c>
      <c r="P68" s="1465" t="s">
        <v>871</v>
      </c>
      <c r="Q68" s="1418">
        <f ca="1">ROUND(Q69-Q70*Q71,0)</f>
        <v>132656</v>
      </c>
      <c r="R68" s="1418" t="s">
        <v>414</v>
      </c>
    </row>
    <row r="69" spans="1:18" s="1382" customFormat="1" ht="13.5" thickBot="1">
      <c r="A69" s="950"/>
      <c r="B69" s="951"/>
      <c r="C69" s="306"/>
      <c r="D69" s="969" t="s">
        <v>762</v>
      </c>
      <c r="E69" s="949" t="s">
        <v>763</v>
      </c>
      <c r="F69" s="333">
        <f ca="1">F41</f>
        <v>30.83</v>
      </c>
      <c r="O69" s="1426" t="s">
        <v>411</v>
      </c>
      <c r="P69" s="1465" t="s">
        <v>872</v>
      </c>
      <c r="Q69" s="1418">
        <f ca="1">C39</f>
        <v>182845</v>
      </c>
      <c r="R69" s="1418" t="s">
        <v>818</v>
      </c>
    </row>
    <row r="70" spans="1:18" s="1382" customFormat="1" ht="13.5" thickBot="1">
      <c r="A70" s="953"/>
      <c r="B70" s="954"/>
      <c r="C70" s="310"/>
      <c r="D70" s="965"/>
      <c r="E70" s="949" t="s">
        <v>766</v>
      </c>
      <c r="F70" s="1053"/>
      <c r="O70" s="1426" t="s">
        <v>412</v>
      </c>
      <c r="P70" s="1465" t="s">
        <v>873</v>
      </c>
      <c r="Q70" s="1418">
        <f ca="1">C13</f>
        <v>669183</v>
      </c>
      <c r="R70" s="1418" t="s">
        <v>818</v>
      </c>
    </row>
    <row r="71" spans="1:18" s="1382" customFormat="1" ht="13.5" thickBot="1">
      <c r="A71" s="970" t="s">
        <v>396</v>
      </c>
      <c r="B71" s="971" t="s">
        <v>776</v>
      </c>
      <c r="C71" s="336">
        <f ca="1">ROUND(C68/F71,0)</f>
        <v>-896</v>
      </c>
      <c r="D71" s="972" t="s">
        <v>777</v>
      </c>
      <c r="E71" s="973" t="s">
        <v>778</v>
      </c>
      <c r="F71" s="339">
        <f ca="1">F43</f>
        <v>125.74</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50189</v>
      </c>
      <c r="D75" s="1382"/>
      <c r="E75" s="1382"/>
      <c r="F75" s="1382"/>
      <c r="K75" s="1400"/>
      <c r="L75" s="1382"/>
      <c r="O75" s="1416" t="s">
        <v>409</v>
      </c>
      <c r="P75" s="1417" t="s">
        <v>838</v>
      </c>
      <c r="Q75" s="1418">
        <f ca="1">Q65+Q66</f>
        <v>3368681</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0.72599999999999998</v>
      </c>
    </row>
    <row r="80" spans="1:18">
      <c r="B80" s="340" t="s">
        <v>800</v>
      </c>
      <c r="C80" s="274">
        <f ca="1">ROUND(C75/C39,3)</f>
        <v>0.27400000000000002</v>
      </c>
    </row>
    <row r="81" spans="2:3">
      <c r="B81" s="270" t="s">
        <v>801</v>
      </c>
      <c r="C81" s="238"/>
    </row>
    <row r="82" spans="2:3">
      <c r="B82" s="273" t="s">
        <v>802</v>
      </c>
      <c r="C82" s="275">
        <f ca="1">1-C83</f>
        <v>0.80099999999999993</v>
      </c>
    </row>
    <row r="83" spans="2:3">
      <c r="B83" s="273" t="s">
        <v>803</v>
      </c>
      <c r="C83" s="274">
        <f ca="1">ROUND(C13/C40,3)</f>
        <v>0.19900000000000001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28" t="s">
        <v>2835</v>
      </c>
      <c r="B1" s="3828"/>
      <c r="C1" s="3828"/>
      <c r="D1" s="3828"/>
      <c r="E1" s="3828"/>
      <c r="F1" s="3828"/>
      <c r="G1" s="3829"/>
      <c r="I1" s="3220" t="s">
        <v>2836</v>
      </c>
      <c r="J1" s="3221" t="s">
        <v>2837</v>
      </c>
      <c r="K1" s="3221" t="s">
        <v>2838</v>
      </c>
      <c r="L1" s="3221" t="s">
        <v>2839</v>
      </c>
      <c r="M1" s="3221" t="s">
        <v>2840</v>
      </c>
      <c r="N1" s="3221" t="s">
        <v>2841</v>
      </c>
      <c r="O1" s="3221" t="s">
        <v>2842</v>
      </c>
      <c r="P1" s="3221" t="s">
        <v>2843</v>
      </c>
      <c r="Q1" s="3221" t="s">
        <v>2844</v>
      </c>
      <c r="R1" s="3221" t="s">
        <v>2845</v>
      </c>
      <c r="S1" s="3221" t="s">
        <v>2846</v>
      </c>
      <c r="T1" s="3222" t="s">
        <v>2847</v>
      </c>
    </row>
    <row r="2" spans="1:20" ht="12" thickBot="1">
      <c r="A2" s="3224" t="s">
        <v>2848</v>
      </c>
      <c r="B2" s="3224"/>
      <c r="C2" s="3224"/>
      <c r="D2" s="3224"/>
      <c r="E2" s="3224"/>
      <c r="F2" s="3224"/>
      <c r="G2" s="3225" t="s">
        <v>2849</v>
      </c>
      <c r="I2" s="3226" t="s">
        <v>2850</v>
      </c>
      <c r="J2" s="3226" t="s">
        <v>2851</v>
      </c>
      <c r="K2" s="3226" t="s">
        <v>2852</v>
      </c>
      <c r="L2" s="3226" t="s">
        <v>2853</v>
      </c>
      <c r="M2" s="3226" t="s">
        <v>2854</v>
      </c>
      <c r="N2" s="3226" t="s">
        <v>2855</v>
      </c>
      <c r="O2" s="3226" t="s">
        <v>2856</v>
      </c>
      <c r="P2" s="3226" t="s">
        <v>2857</v>
      </c>
      <c r="Q2" s="3226" t="s">
        <v>2858</v>
      </c>
      <c r="R2" s="3226" t="s">
        <v>2859</v>
      </c>
      <c r="S2" s="3226" t="s">
        <v>2860</v>
      </c>
      <c r="T2" s="3226" t="s">
        <v>2861</v>
      </c>
    </row>
    <row r="3" spans="1:20" s="3232" customFormat="1">
      <c r="A3" s="3826" t="s">
        <v>2862</v>
      </c>
      <c r="B3" s="3227"/>
      <c r="C3" s="3228" t="s">
        <v>2805</v>
      </c>
      <c r="D3" s="3228" t="s">
        <v>2863</v>
      </c>
      <c r="E3" s="3228" t="s">
        <v>2807</v>
      </c>
      <c r="F3" s="3228" t="s">
        <v>2864</v>
      </c>
      <c r="G3" s="3228" t="s">
        <v>2625</v>
      </c>
      <c r="H3" s="3229"/>
      <c r="I3" s="3230" t="s">
        <v>2865</v>
      </c>
      <c r="J3" s="3231" t="s">
        <v>128</v>
      </c>
      <c r="K3" s="3231" t="s">
        <v>129</v>
      </c>
      <c r="L3" s="3230" t="s">
        <v>130</v>
      </c>
      <c r="M3" s="3230" t="s">
        <v>131</v>
      </c>
      <c r="N3" s="3230" t="s">
        <v>132</v>
      </c>
      <c r="O3" s="3230" t="s">
        <v>133</v>
      </c>
      <c r="P3" s="3230" t="s">
        <v>134</v>
      </c>
      <c r="Q3" s="3230" t="s">
        <v>135</v>
      </c>
      <c r="R3" s="3230" t="s">
        <v>136</v>
      </c>
      <c r="S3" s="3230" t="s">
        <v>2866</v>
      </c>
      <c r="T3" s="3230" t="s">
        <v>2867</v>
      </c>
    </row>
    <row r="4" spans="1:20" s="3232" customFormat="1" ht="12" thickBot="1">
      <c r="A4" s="3827"/>
      <c r="B4" s="3233" t="s">
        <v>2868</v>
      </c>
      <c r="C4" s="3233" t="s">
        <v>2869</v>
      </c>
      <c r="D4" s="3233" t="s">
        <v>2869</v>
      </c>
      <c r="E4" s="3233" t="s">
        <v>2869</v>
      </c>
      <c r="F4" s="3234" t="s">
        <v>2869</v>
      </c>
      <c r="G4" s="3234" t="s">
        <v>2869</v>
      </c>
      <c r="H4" s="3229"/>
      <c r="I4" s="3231" t="s">
        <v>137</v>
      </c>
      <c r="J4" s="3231" t="s">
        <v>111</v>
      </c>
      <c r="K4" s="3231" t="s">
        <v>138</v>
      </c>
      <c r="L4" s="3230" t="s">
        <v>139</v>
      </c>
      <c r="M4" s="3230" t="s">
        <v>140</v>
      </c>
      <c r="N4" s="3230" t="s">
        <v>141</v>
      </c>
      <c r="O4" s="3230" t="s">
        <v>142</v>
      </c>
      <c r="P4" s="3230" t="s">
        <v>143</v>
      </c>
      <c r="Q4" s="3230" t="s">
        <v>2870</v>
      </c>
      <c r="R4" s="3230" t="s">
        <v>2871</v>
      </c>
      <c r="S4" s="3230" t="s">
        <v>2872</v>
      </c>
      <c r="T4" s="3230" t="s">
        <v>2873</v>
      </c>
    </row>
    <row r="5" spans="1:20">
      <c r="A5" s="3235" t="s">
        <v>2836</v>
      </c>
      <c r="B5" s="3226" t="s">
        <v>2850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2874</v>
      </c>
      <c r="R5" s="3230" t="s">
        <v>2875</v>
      </c>
      <c r="S5" s="3230" t="s">
        <v>153</v>
      </c>
      <c r="T5" s="3230" t="s">
        <v>2876</v>
      </c>
    </row>
    <row r="6" spans="1:20" ht="12" thickBot="1">
      <c r="A6" s="3230" t="s">
        <v>144</v>
      </c>
      <c r="B6" s="3230" t="s">
        <v>2865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2877</v>
      </c>
      <c r="Q6" s="3230" t="s">
        <v>2878</v>
      </c>
      <c r="R6" s="3230" t="s">
        <v>161</v>
      </c>
      <c r="S6" s="3230" t="s">
        <v>2879</v>
      </c>
      <c r="T6" s="3230" t="s">
        <v>2880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2881</v>
      </c>
      <c r="Q7" s="3230" t="s">
        <v>2882</v>
      </c>
      <c r="R7" s="3230" t="s">
        <v>2883</v>
      </c>
      <c r="S7" s="3230" t="s">
        <v>2884</v>
      </c>
      <c r="T7" s="3230" t="s">
        <v>2885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2886</v>
      </c>
      <c r="Q8" s="3230" t="s">
        <v>174</v>
      </c>
      <c r="R8" s="3230" t="s">
        <v>2887</v>
      </c>
      <c r="S8" s="3230" t="s">
        <v>2888</v>
      </c>
      <c r="T8" s="3237" t="s">
        <v>2889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2890</v>
      </c>
      <c r="Q9" s="3230" t="s">
        <v>182</v>
      </c>
      <c r="R9" s="3230" t="s">
        <v>183</v>
      </c>
      <c r="S9" s="3230" t="s">
        <v>200</v>
      </c>
    </row>
    <row r="10" spans="1:20">
      <c r="A10" s="3235" t="s">
        <v>184</v>
      </c>
      <c r="B10" s="3226" t="s">
        <v>2851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2892</v>
      </c>
      <c r="P11" s="3230" t="s">
        <v>191</v>
      </c>
      <c r="Q11" s="3230" t="s">
        <v>199</v>
      </c>
      <c r="R11" s="3230" t="s">
        <v>2893</v>
      </c>
      <c r="S11" s="3230" t="s">
        <v>2894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2895</v>
      </c>
      <c r="P12" s="3230" t="s">
        <v>2896</v>
      </c>
      <c r="Q12" s="3230" t="s">
        <v>2897</v>
      </c>
      <c r="R12" s="3230" t="s">
        <v>2898</v>
      </c>
      <c r="S12" s="3230" t="s">
        <v>2899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2901</v>
      </c>
      <c r="K14" s="3231" t="s">
        <v>215</v>
      </c>
      <c r="L14" s="3230" t="s">
        <v>216</v>
      </c>
      <c r="M14" s="3230" t="s">
        <v>217</v>
      </c>
      <c r="N14" s="3230" t="s">
        <v>218</v>
      </c>
      <c r="O14" s="3230" t="s">
        <v>240</v>
      </c>
      <c r="P14" s="3230" t="s">
        <v>213</v>
      </c>
      <c r="Q14" s="3230" t="s">
        <v>2902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2903</v>
      </c>
      <c r="P15" s="3230" t="s">
        <v>2904</v>
      </c>
      <c r="Q15" s="3230" t="s">
        <v>242</v>
      </c>
      <c r="R15" s="3230" t="s">
        <v>2905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2906</v>
      </c>
      <c r="P16" s="3230" t="s">
        <v>227</v>
      </c>
      <c r="Q16" s="3230" t="s">
        <v>250</v>
      </c>
      <c r="R16" s="3230" t="s">
        <v>207</v>
      </c>
      <c r="S16" s="3230" t="s">
        <v>2907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2908</v>
      </c>
      <c r="P17" s="3230" t="s">
        <v>2909</v>
      </c>
      <c r="Q17" s="3230" t="s">
        <v>256</v>
      </c>
      <c r="R17" s="3230" t="s">
        <v>2910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2911</v>
      </c>
      <c r="P18" s="3230" t="s">
        <v>241</v>
      </c>
      <c r="Q18" s="3230" t="s">
        <v>2912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2913</v>
      </c>
      <c r="P19" s="3230" t="s">
        <v>249</v>
      </c>
      <c r="Q19" s="3230" t="s">
        <v>2914</v>
      </c>
      <c r="R19" s="3230" t="s">
        <v>265</v>
      </c>
      <c r="S19" s="3230" t="s">
        <v>2915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2916</v>
      </c>
      <c r="P20" s="3230" t="s">
        <v>2917</v>
      </c>
      <c r="Q20" s="3230" t="s">
        <v>290</v>
      </c>
      <c r="R20" s="3230" t="s">
        <v>2918</v>
      </c>
      <c r="S20" s="3230" t="s">
        <v>277</v>
      </c>
    </row>
    <row r="21" spans="1:19" ht="14.25" customHeight="1" thickBot="1">
      <c r="A21" s="3230" t="s">
        <v>184</v>
      </c>
      <c r="B21" s="3231" t="s">
        <v>208</v>
      </c>
      <c r="C21" s="3230">
        <v>32370</v>
      </c>
      <c r="D21" s="3230">
        <v>26730</v>
      </c>
      <c r="E21" s="3230">
        <v>26640</v>
      </c>
      <c r="F21" s="3230"/>
      <c r="G21" s="3230">
        <v>19440</v>
      </c>
      <c r="J21" s="3237" t="s">
        <v>2919</v>
      </c>
      <c r="K21" s="3231" t="s">
        <v>267</v>
      </c>
      <c r="L21" s="3230" t="s">
        <v>268</v>
      </c>
      <c r="M21" s="3230" t="s">
        <v>269</v>
      </c>
      <c r="N21" s="3230" t="s">
        <v>270</v>
      </c>
      <c r="O21" s="3230" t="s">
        <v>264</v>
      </c>
      <c r="P21" s="3230" t="s">
        <v>283</v>
      </c>
      <c r="Q21" s="3230" t="s">
        <v>293</v>
      </c>
      <c r="R21" s="3230" t="s">
        <v>2920</v>
      </c>
      <c r="S21" s="3237" t="s">
        <v>2921</v>
      </c>
    </row>
    <row r="22" spans="1:19" ht="14.25" customHeight="1">
      <c r="A22" s="3230" t="s">
        <v>184</v>
      </c>
      <c r="B22" s="3231" t="s">
        <v>2901</v>
      </c>
      <c r="C22" s="3230">
        <v>29830</v>
      </c>
      <c r="D22" s="3230">
        <v>27600</v>
      </c>
      <c r="E22" s="3230">
        <v>28150</v>
      </c>
      <c r="F22" s="3230"/>
      <c r="G22" s="3230">
        <v>20080</v>
      </c>
      <c r="K22" s="3231" t="s">
        <v>2922</v>
      </c>
      <c r="L22" s="3230" t="s">
        <v>272</v>
      </c>
      <c r="M22" s="3230" t="s">
        <v>273</v>
      </c>
      <c r="N22" s="3230" t="s">
        <v>274</v>
      </c>
      <c r="O22" s="3230" t="s">
        <v>2923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2924</v>
      </c>
      <c r="L23" s="3230" t="s">
        <v>278</v>
      </c>
      <c r="M23" s="3230" t="s">
        <v>279</v>
      </c>
      <c r="N23" s="3230" t="s">
        <v>2925</v>
      </c>
      <c r="O23" s="3230" t="s">
        <v>2926</v>
      </c>
      <c r="P23" s="3230" t="s">
        <v>289</v>
      </c>
      <c r="Q23" s="3230" t="s">
        <v>298</v>
      </c>
      <c r="R23" s="3230" t="s">
        <v>2927</v>
      </c>
    </row>
    <row r="24" spans="1:19" ht="14.25" customHeight="1">
      <c r="A24" s="3230" t="s">
        <v>184</v>
      </c>
      <c r="B24" s="3231" t="s">
        <v>230</v>
      </c>
      <c r="C24" s="3230">
        <v>27930</v>
      </c>
      <c r="D24" s="3230">
        <v>32260</v>
      </c>
      <c r="E24" s="3230">
        <v>32120</v>
      </c>
      <c r="F24" s="3230"/>
      <c r="G24" s="3230">
        <v>23470</v>
      </c>
      <c r="K24" s="3231" t="s">
        <v>2928</v>
      </c>
      <c r="L24" s="3230" t="s">
        <v>281</v>
      </c>
      <c r="M24" s="3230" t="s">
        <v>282</v>
      </c>
      <c r="N24" s="3230" t="s">
        <v>2929</v>
      </c>
      <c r="O24" s="3230" t="s">
        <v>285</v>
      </c>
      <c r="P24" s="3230" t="s">
        <v>2930</v>
      </c>
      <c r="Q24" s="3239" t="s">
        <v>2931</v>
      </c>
      <c r="R24" s="3230" t="s">
        <v>2932</v>
      </c>
    </row>
    <row r="25" spans="1:19" ht="14.25" customHeight="1">
      <c r="A25" s="3230" t="s">
        <v>184</v>
      </c>
      <c r="B25" s="3231" t="s">
        <v>235</v>
      </c>
      <c r="C25" s="3230">
        <v>32230</v>
      </c>
      <c r="D25" s="3230">
        <v>29640</v>
      </c>
      <c r="E25" s="3230">
        <v>29510</v>
      </c>
      <c r="F25" s="3230"/>
      <c r="G25" s="3230">
        <v>21560</v>
      </c>
      <c r="K25" s="3231" t="s">
        <v>2933</v>
      </c>
      <c r="L25" s="3230" t="s">
        <v>2934</v>
      </c>
      <c r="M25" s="3230" t="s">
        <v>284</v>
      </c>
      <c r="N25" s="3230" t="s">
        <v>292</v>
      </c>
      <c r="O25" s="3230" t="s">
        <v>288</v>
      </c>
      <c r="P25" s="3230" t="s">
        <v>275</v>
      </c>
      <c r="Q25" s="3239" t="s">
        <v>271</v>
      </c>
      <c r="R25" s="3230" t="s">
        <v>2935</v>
      </c>
    </row>
    <row r="26" spans="1:19" ht="14.25" customHeight="1" thickBot="1">
      <c r="A26" s="3230" t="s">
        <v>184</v>
      </c>
      <c r="B26" s="3231" t="s">
        <v>244</v>
      </c>
      <c r="C26" s="3230">
        <v>31690</v>
      </c>
      <c r="D26" s="3230">
        <v>27650</v>
      </c>
      <c r="E26" s="3230">
        <v>28200</v>
      </c>
      <c r="F26" s="3230"/>
      <c r="G26" s="3230">
        <v>20110</v>
      </c>
      <c r="K26" s="3236" t="s">
        <v>2936</v>
      </c>
      <c r="L26" s="3230" t="s">
        <v>2937</v>
      </c>
      <c r="M26" s="3230" t="s">
        <v>287</v>
      </c>
      <c r="N26" s="3230" t="s">
        <v>294</v>
      </c>
      <c r="O26" s="3230" t="s">
        <v>2938</v>
      </c>
      <c r="P26" s="3230" t="s">
        <v>2939</v>
      </c>
      <c r="Q26" s="3239" t="s">
        <v>276</v>
      </c>
      <c r="R26" s="3230" t="s">
        <v>2940</v>
      </c>
    </row>
    <row r="27" spans="1:19" ht="14.25" customHeight="1">
      <c r="A27" s="3230" t="s">
        <v>184</v>
      </c>
      <c r="B27" s="3231" t="s">
        <v>251</v>
      </c>
      <c r="C27" s="3230">
        <v>29610</v>
      </c>
      <c r="D27" s="3230">
        <v>27770</v>
      </c>
      <c r="E27" s="3230">
        <v>28300</v>
      </c>
      <c r="F27" s="3230"/>
      <c r="G27" s="3230">
        <v>20210</v>
      </c>
      <c r="L27" s="3230" t="s">
        <v>2941</v>
      </c>
      <c r="M27" s="3230" t="s">
        <v>291</v>
      </c>
      <c r="N27" s="3230" t="s">
        <v>297</v>
      </c>
      <c r="O27" s="3230" t="s">
        <v>2942</v>
      </c>
      <c r="P27" s="3230" t="s">
        <v>2943</v>
      </c>
      <c r="Q27" s="3230" t="s">
        <v>2944</v>
      </c>
      <c r="R27" s="3230" t="s">
        <v>2945</v>
      </c>
    </row>
    <row r="28" spans="1:19" ht="14.25" customHeight="1">
      <c r="A28" s="3230" t="s">
        <v>184</v>
      </c>
      <c r="B28" s="3231" t="s">
        <v>259</v>
      </c>
      <c r="C28" s="3230"/>
      <c r="D28" s="3230">
        <v>31520</v>
      </c>
      <c r="E28" s="3230">
        <v>31410</v>
      </c>
      <c r="F28" s="3230"/>
      <c r="G28" s="3230">
        <v>22940</v>
      </c>
      <c r="L28" s="3230" t="s">
        <v>2946</v>
      </c>
      <c r="M28" s="3230" t="s">
        <v>2947</v>
      </c>
      <c r="N28" s="3230" t="s">
        <v>2948</v>
      </c>
      <c r="O28" s="3230" t="s">
        <v>2949</v>
      </c>
      <c r="P28" s="3230" t="s">
        <v>2950</v>
      </c>
      <c r="Q28" s="3230" t="s">
        <v>2951</v>
      </c>
      <c r="R28" s="3230" t="s">
        <v>2952</v>
      </c>
    </row>
    <row r="29" spans="1:19" ht="14.25" customHeight="1" thickBot="1">
      <c r="A29" s="3238" t="s">
        <v>184</v>
      </c>
      <c r="B29" s="3240" t="s">
        <v>2919</v>
      </c>
      <c r="C29" s="3241"/>
      <c r="D29" s="3241">
        <v>29460</v>
      </c>
      <c r="E29" s="3241">
        <v>28640</v>
      </c>
      <c r="F29" s="3241"/>
      <c r="G29" s="3241">
        <v>21430</v>
      </c>
      <c r="L29" s="3230" t="s">
        <v>2953</v>
      </c>
      <c r="M29" s="3230" t="s">
        <v>2954</v>
      </c>
      <c r="N29" s="3230" t="s">
        <v>2955</v>
      </c>
      <c r="O29" s="3230" t="s">
        <v>2956</v>
      </c>
      <c r="P29" s="3230" t="s">
        <v>2957</v>
      </c>
      <c r="Q29" s="3230" t="s">
        <v>2958</v>
      </c>
      <c r="R29" s="3230" t="s">
        <v>280</v>
      </c>
    </row>
    <row r="30" spans="1:19" ht="14.25" customHeight="1">
      <c r="A30" s="3235" t="s">
        <v>296</v>
      </c>
      <c r="B30" s="3226" t="s">
        <v>2852</v>
      </c>
      <c r="C30" s="3226">
        <v>26890</v>
      </c>
      <c r="D30" s="3226">
        <v>26770</v>
      </c>
      <c r="E30" s="3226">
        <v>25700</v>
      </c>
      <c r="F30" s="3226">
        <v>8180</v>
      </c>
      <c r="G30" s="3242">
        <v>18740</v>
      </c>
      <c r="L30" s="3230" t="s">
        <v>2959</v>
      </c>
      <c r="M30" s="3230" t="s">
        <v>2960</v>
      </c>
      <c r="N30" s="3230" t="s">
        <v>2961</v>
      </c>
      <c r="O30" s="3230" t="s">
        <v>2962</v>
      </c>
      <c r="P30" s="3230" t="s">
        <v>2963</v>
      </c>
      <c r="Q30" s="3230" t="s">
        <v>2964</v>
      </c>
      <c r="R30" s="3230" t="s">
        <v>2965</v>
      </c>
    </row>
    <row r="31" spans="1:19" ht="14.25" customHeight="1">
      <c r="A31" s="3230" t="s">
        <v>296</v>
      </c>
      <c r="B31" s="3231" t="s">
        <v>129</v>
      </c>
      <c r="C31" s="3230">
        <v>24550</v>
      </c>
      <c r="D31" s="3230">
        <v>23990</v>
      </c>
      <c r="E31" s="3230">
        <v>22930</v>
      </c>
      <c r="F31" s="3230">
        <v>7470</v>
      </c>
      <c r="G31" s="3243">
        <v>16790</v>
      </c>
      <c r="L31" s="3230" t="s">
        <v>2966</v>
      </c>
      <c r="M31" s="3230" t="s">
        <v>2967</v>
      </c>
      <c r="N31" s="3230" t="s">
        <v>2968</v>
      </c>
      <c r="O31" s="3230" t="s">
        <v>2969</v>
      </c>
      <c r="P31" s="3230" t="s">
        <v>2970</v>
      </c>
      <c r="Q31" s="3230" t="s">
        <v>2971</v>
      </c>
      <c r="R31" s="3230" t="s">
        <v>2972</v>
      </c>
    </row>
    <row r="32" spans="1:19" ht="14.25" customHeight="1" thickBot="1">
      <c r="A32" s="3230" t="s">
        <v>296</v>
      </c>
      <c r="B32" s="3231" t="s">
        <v>138</v>
      </c>
      <c r="C32" s="3230">
        <v>27210</v>
      </c>
      <c r="D32" s="3230">
        <v>23240</v>
      </c>
      <c r="E32" s="3230">
        <v>23260</v>
      </c>
      <c r="F32" s="3230">
        <v>7130</v>
      </c>
      <c r="G32" s="3243">
        <v>16270</v>
      </c>
      <c r="L32" s="3230" t="s">
        <v>2973</v>
      </c>
      <c r="M32" s="3230" t="s">
        <v>2974</v>
      </c>
      <c r="N32" s="3230" t="s">
        <v>300</v>
      </c>
      <c r="O32" s="3230" t="s">
        <v>2975</v>
      </c>
      <c r="P32" s="3230" t="s">
        <v>299</v>
      </c>
      <c r="Q32" s="3230" t="s">
        <v>2976</v>
      </c>
      <c r="R32" s="3237" t="s">
        <v>2977</v>
      </c>
    </row>
    <row r="33" spans="1:17" ht="14.25" customHeight="1" thickBot="1">
      <c r="A33" s="3230" t="s">
        <v>296</v>
      </c>
      <c r="B33" s="3231" t="s">
        <v>147</v>
      </c>
      <c r="C33" s="3230">
        <v>27300</v>
      </c>
      <c r="D33" s="3230">
        <v>22980</v>
      </c>
      <c r="E33" s="3230">
        <v>24260</v>
      </c>
      <c r="F33" s="3230">
        <v>5860</v>
      </c>
      <c r="G33" s="3243">
        <v>16090</v>
      </c>
      <c r="L33" s="3237" t="s">
        <v>2978</v>
      </c>
      <c r="M33" s="3230" t="s">
        <v>2979</v>
      </c>
      <c r="N33" s="3230" t="s">
        <v>301</v>
      </c>
      <c r="O33" s="3230" t="s">
        <v>2980</v>
      </c>
      <c r="P33" s="3230" t="s">
        <v>2981</v>
      </c>
      <c r="Q33" s="3230" t="s">
        <v>2982</v>
      </c>
    </row>
    <row r="34" spans="1:17" ht="14.25" customHeight="1">
      <c r="A34" s="3230" t="s">
        <v>296</v>
      </c>
      <c r="B34" s="3231" t="s">
        <v>156</v>
      </c>
      <c r="C34" s="3230">
        <v>23090</v>
      </c>
      <c r="D34" s="3230">
        <v>23390</v>
      </c>
      <c r="E34" s="3230">
        <v>23510</v>
      </c>
      <c r="F34" s="3230">
        <v>6700</v>
      </c>
      <c r="G34" s="3243">
        <v>16370</v>
      </c>
      <c r="M34" s="3230" t="s">
        <v>2983</v>
      </c>
      <c r="N34" s="3230" t="s">
        <v>302</v>
      </c>
      <c r="O34" s="3230" t="s">
        <v>2984</v>
      </c>
      <c r="P34" s="3230" t="s">
        <v>2985</v>
      </c>
      <c r="Q34" s="3230" t="s">
        <v>2986</v>
      </c>
    </row>
    <row r="35" spans="1:17" ht="14.25" customHeight="1">
      <c r="A35" s="3230" t="s">
        <v>296</v>
      </c>
      <c r="B35" s="3231" t="s">
        <v>163</v>
      </c>
      <c r="C35" s="3230">
        <v>27270</v>
      </c>
      <c r="D35" s="3230">
        <v>24270</v>
      </c>
      <c r="E35" s="3230">
        <v>24950</v>
      </c>
      <c r="F35" s="3230">
        <v>6600</v>
      </c>
      <c r="G35" s="3243">
        <v>16990</v>
      </c>
      <c r="M35" s="3230" t="s">
        <v>2987</v>
      </c>
      <c r="N35" s="3230" t="s">
        <v>2988</v>
      </c>
      <c r="O35" s="3230" t="s">
        <v>2989</v>
      </c>
      <c r="P35" s="3230" t="s">
        <v>2990</v>
      </c>
      <c r="Q35" s="3230" t="s">
        <v>2991</v>
      </c>
    </row>
    <row r="36" spans="1:17" ht="14.25" customHeight="1">
      <c r="A36" s="3230" t="s">
        <v>296</v>
      </c>
      <c r="B36" s="3231" t="s">
        <v>169</v>
      </c>
      <c r="C36" s="3230">
        <v>23490</v>
      </c>
      <c r="D36" s="3230">
        <v>23020</v>
      </c>
      <c r="E36" s="3230">
        <v>25230</v>
      </c>
      <c r="F36" s="3230">
        <v>6780</v>
      </c>
      <c r="G36" s="3243">
        <v>16120</v>
      </c>
      <c r="M36" s="3230" t="s">
        <v>2992</v>
      </c>
      <c r="N36" s="3230" t="s">
        <v>2993</v>
      </c>
      <c r="O36" s="3230" t="s">
        <v>2994</v>
      </c>
      <c r="P36" s="3230" t="s">
        <v>2995</v>
      </c>
      <c r="Q36" s="3230" t="s">
        <v>2996</v>
      </c>
    </row>
    <row r="37" spans="1:17" ht="14.25" customHeight="1">
      <c r="A37" s="3230" t="s">
        <v>296</v>
      </c>
      <c r="B37" s="3231" t="s">
        <v>176</v>
      </c>
      <c r="C37" s="3230">
        <v>24380</v>
      </c>
      <c r="D37" s="3230">
        <v>22240</v>
      </c>
      <c r="E37" s="3230">
        <v>25980</v>
      </c>
      <c r="F37" s="3230">
        <v>8160</v>
      </c>
      <c r="G37" s="3243">
        <v>15570</v>
      </c>
      <c r="M37" s="3230" t="s">
        <v>2997</v>
      </c>
      <c r="N37" s="3230" t="s">
        <v>2998</v>
      </c>
      <c r="O37" s="3230" t="s">
        <v>2999</v>
      </c>
      <c r="P37" s="3230" t="s">
        <v>3000</v>
      </c>
      <c r="Q37" s="3230" t="s">
        <v>3001</v>
      </c>
    </row>
    <row r="38" spans="1:17" ht="14.25" customHeight="1">
      <c r="A38" s="3230" t="s">
        <v>296</v>
      </c>
      <c r="B38" s="3231" t="s">
        <v>186</v>
      </c>
      <c r="C38" s="3230">
        <v>23120</v>
      </c>
      <c r="D38" s="3230">
        <v>24630</v>
      </c>
      <c r="E38" s="3230">
        <v>25030</v>
      </c>
      <c r="F38" s="3230">
        <v>7710</v>
      </c>
      <c r="G38" s="3243">
        <v>17240</v>
      </c>
      <c r="M38" s="3230" t="s">
        <v>3002</v>
      </c>
      <c r="N38" s="3230" t="s">
        <v>3003</v>
      </c>
      <c r="O38" s="3230" t="s">
        <v>3004</v>
      </c>
      <c r="P38" s="3230" t="s">
        <v>3005</v>
      </c>
      <c r="Q38" s="3230" t="s">
        <v>3006</v>
      </c>
    </row>
    <row r="39" spans="1:17" ht="14.25" customHeight="1">
      <c r="A39" s="3230" t="s">
        <v>296</v>
      </c>
      <c r="B39" s="3231" t="s">
        <v>195</v>
      </c>
      <c r="C39" s="3230">
        <v>22330</v>
      </c>
      <c r="D39" s="3230">
        <v>21140</v>
      </c>
      <c r="E39" s="3230">
        <v>23970</v>
      </c>
      <c r="F39" s="3230">
        <v>7940</v>
      </c>
      <c r="G39" s="3243">
        <v>14790</v>
      </c>
      <c r="M39" s="3230" t="s">
        <v>3007</v>
      </c>
      <c r="N39" s="3230" t="s">
        <v>3008</v>
      </c>
      <c r="O39" s="3230" t="s">
        <v>3009</v>
      </c>
      <c r="P39" s="3230" t="s">
        <v>3010</v>
      </c>
      <c r="Q39" s="3230" t="s">
        <v>3011</v>
      </c>
    </row>
    <row r="40" spans="1:17" ht="14.25" customHeight="1">
      <c r="A40" s="3230" t="s">
        <v>296</v>
      </c>
      <c r="B40" s="3231" t="s">
        <v>202</v>
      </c>
      <c r="C40" s="3230">
        <v>24740</v>
      </c>
      <c r="D40" s="3230">
        <v>24690</v>
      </c>
      <c r="E40" s="3230">
        <v>22610</v>
      </c>
      <c r="F40" s="3230"/>
      <c r="G40" s="3243">
        <v>17280</v>
      </c>
      <c r="M40" s="3230" t="s">
        <v>3012</v>
      </c>
      <c r="N40" s="3230" t="s">
        <v>3013</v>
      </c>
      <c r="O40" s="3230" t="s">
        <v>3014</v>
      </c>
      <c r="P40" s="3230" t="s">
        <v>3015</v>
      </c>
      <c r="Q40" s="3230" t="s">
        <v>3016</v>
      </c>
    </row>
    <row r="41" spans="1:17" ht="14.25" customHeight="1" thickBot="1">
      <c r="A41" s="3230" t="s">
        <v>296</v>
      </c>
      <c r="B41" s="3231" t="s">
        <v>209</v>
      </c>
      <c r="C41" s="3230">
        <v>21220</v>
      </c>
      <c r="D41" s="3230">
        <v>21120</v>
      </c>
      <c r="E41" s="3230">
        <v>22590</v>
      </c>
      <c r="F41" s="3230"/>
      <c r="G41" s="3243">
        <v>14780</v>
      </c>
      <c r="M41" s="3237" t="s">
        <v>3017</v>
      </c>
      <c r="N41" s="3230" t="s">
        <v>3018</v>
      </c>
      <c r="O41" s="3230" t="s">
        <v>3019</v>
      </c>
      <c r="P41" s="3230" t="s">
        <v>3020</v>
      </c>
      <c r="Q41" s="3230" t="s">
        <v>3021</v>
      </c>
    </row>
    <row r="42" spans="1:17" ht="14.25" customHeight="1">
      <c r="A42" s="3230" t="s">
        <v>296</v>
      </c>
      <c r="B42" s="3231" t="s">
        <v>215</v>
      </c>
      <c r="C42" s="3230">
        <v>24800</v>
      </c>
      <c r="D42" s="3230">
        <v>22280</v>
      </c>
      <c r="E42" s="3230">
        <v>24350</v>
      </c>
      <c r="F42" s="3230"/>
      <c r="G42" s="3243">
        <v>15590</v>
      </c>
      <c r="N42" s="3230" t="s">
        <v>3022</v>
      </c>
      <c r="O42" s="3230" t="s">
        <v>3023</v>
      </c>
      <c r="P42" s="3230" t="s">
        <v>3024</v>
      </c>
      <c r="Q42" s="3230" t="s">
        <v>3025</v>
      </c>
    </row>
    <row r="43" spans="1:17" ht="14.25" customHeight="1">
      <c r="A43" s="3230" t="s">
        <v>3026</v>
      </c>
      <c r="B43" s="3231" t="s">
        <v>223</v>
      </c>
      <c r="C43" s="3230">
        <v>21210</v>
      </c>
      <c r="D43" s="3230">
        <v>21160</v>
      </c>
      <c r="E43" s="3230">
        <v>22650</v>
      </c>
      <c r="F43" s="3230"/>
      <c r="G43" s="3243">
        <v>14800</v>
      </c>
      <c r="N43" s="3230" t="s">
        <v>3027</v>
      </c>
      <c r="O43" s="3230" t="s">
        <v>3028</v>
      </c>
      <c r="P43" s="3230" t="s">
        <v>3029</v>
      </c>
      <c r="Q43" s="3230" t="s">
        <v>3030</v>
      </c>
    </row>
    <row r="44" spans="1:17" ht="14.25" customHeight="1" thickBot="1">
      <c r="A44" s="3230" t="s">
        <v>296</v>
      </c>
      <c r="B44" s="3231" t="s">
        <v>231</v>
      </c>
      <c r="C44" s="3230">
        <v>22370</v>
      </c>
      <c r="D44" s="3230">
        <v>23140</v>
      </c>
      <c r="E44" s="3230">
        <v>25090</v>
      </c>
      <c r="F44" s="3230"/>
      <c r="G44" s="3243">
        <v>16190</v>
      </c>
      <c r="N44" s="3230" t="s">
        <v>3031</v>
      </c>
      <c r="O44" s="3230" t="s">
        <v>3032</v>
      </c>
      <c r="P44" s="3237" t="s">
        <v>3033</v>
      </c>
      <c r="Q44" s="3230" t="s">
        <v>3034</v>
      </c>
    </row>
    <row r="45" spans="1:17" ht="14.25" customHeight="1" thickBot="1">
      <c r="A45" s="3230" t="s">
        <v>296</v>
      </c>
      <c r="B45" s="3231" t="s">
        <v>236</v>
      </c>
      <c r="C45" s="3230">
        <v>21240</v>
      </c>
      <c r="D45" s="3230">
        <v>27050</v>
      </c>
      <c r="E45" s="3230">
        <v>28000</v>
      </c>
      <c r="F45" s="3230"/>
      <c r="G45" s="3243">
        <v>18940</v>
      </c>
      <c r="N45" s="3230" t="s">
        <v>3035</v>
      </c>
      <c r="O45" s="3237" t="s">
        <v>3036</v>
      </c>
      <c r="Q45" s="3230" t="s">
        <v>3037</v>
      </c>
    </row>
    <row r="46" spans="1:17" ht="14.25" customHeight="1">
      <c r="A46" s="3230" t="s">
        <v>296</v>
      </c>
      <c r="B46" s="3231" t="s">
        <v>245</v>
      </c>
      <c r="C46" s="3230">
        <v>23240</v>
      </c>
      <c r="D46" s="3230">
        <v>23000</v>
      </c>
      <c r="E46" s="3230">
        <v>24980</v>
      </c>
      <c r="F46" s="3230"/>
      <c r="G46" s="3243">
        <v>16100</v>
      </c>
      <c r="N46" s="3230" t="s">
        <v>3038</v>
      </c>
      <c r="Q46" s="3230" t="s">
        <v>3039</v>
      </c>
    </row>
    <row r="47" spans="1:17" ht="14.25" customHeight="1">
      <c r="A47" s="3230" t="s">
        <v>296</v>
      </c>
      <c r="B47" s="3231" t="s">
        <v>252</v>
      </c>
      <c r="C47" s="3230">
        <v>27150</v>
      </c>
      <c r="D47" s="3230">
        <v>23310</v>
      </c>
      <c r="E47" s="3230">
        <v>25150</v>
      </c>
      <c r="F47" s="3230"/>
      <c r="G47" s="3243">
        <v>16310</v>
      </c>
      <c r="N47" s="3230" t="s">
        <v>3040</v>
      </c>
      <c r="Q47" s="3230" t="s">
        <v>3041</v>
      </c>
    </row>
    <row r="48" spans="1:17" ht="14.25" customHeight="1">
      <c r="A48" s="3230" t="s">
        <v>296</v>
      </c>
      <c r="B48" s="3231" t="s">
        <v>260</v>
      </c>
      <c r="C48" s="3230">
        <v>23100</v>
      </c>
      <c r="D48" s="3230">
        <v>21110</v>
      </c>
      <c r="E48" s="3230">
        <v>23080</v>
      </c>
      <c r="F48" s="3230"/>
      <c r="G48" s="3243">
        <v>14780</v>
      </c>
      <c r="N48" s="3230" t="s">
        <v>3042</v>
      </c>
      <c r="Q48" s="3230" t="s">
        <v>3043</v>
      </c>
    </row>
    <row r="49" spans="1:17" ht="14.25" customHeight="1">
      <c r="A49" s="3230" t="s">
        <v>296</v>
      </c>
      <c r="B49" s="3231" t="s">
        <v>267</v>
      </c>
      <c r="C49" s="3230">
        <v>23400</v>
      </c>
      <c r="D49" s="3230">
        <v>22920</v>
      </c>
      <c r="E49" s="3230">
        <v>24900</v>
      </c>
      <c r="F49" s="3230"/>
      <c r="G49" s="3243">
        <v>16040</v>
      </c>
      <c r="N49" s="3230" t="s">
        <v>3044</v>
      </c>
      <c r="Q49" s="3230" t="s">
        <v>3045</v>
      </c>
    </row>
    <row r="50" spans="1:17" ht="14.25" customHeight="1">
      <c r="A50" s="3230" t="s">
        <v>296</v>
      </c>
      <c r="B50" s="3231" t="s">
        <v>2922</v>
      </c>
      <c r="C50" s="3230">
        <v>21200</v>
      </c>
      <c r="D50" s="3230">
        <v>26540</v>
      </c>
      <c r="E50" s="3230">
        <v>23200</v>
      </c>
      <c r="F50" s="3230"/>
      <c r="G50" s="3243">
        <v>18580</v>
      </c>
      <c r="N50" s="3230" t="s">
        <v>3046</v>
      </c>
      <c r="Q50" s="3231" t="s">
        <v>3047</v>
      </c>
    </row>
    <row r="51" spans="1:17" ht="14.25" customHeight="1" thickBot="1">
      <c r="A51" s="3230" t="s">
        <v>296</v>
      </c>
      <c r="B51" s="3231" t="s">
        <v>2924</v>
      </c>
      <c r="C51" s="3230">
        <v>23000</v>
      </c>
      <c r="D51" s="3230">
        <v>23460</v>
      </c>
      <c r="E51" s="3230">
        <v>25290</v>
      </c>
      <c r="F51" s="3230"/>
      <c r="G51" s="3243">
        <v>16420</v>
      </c>
      <c r="N51" s="3230" t="s">
        <v>3048</v>
      </c>
      <c r="Q51" s="3237" t="s">
        <v>3049</v>
      </c>
    </row>
    <row r="52" spans="1:17" ht="14.25" customHeight="1">
      <c r="A52" s="3230" t="s">
        <v>296</v>
      </c>
      <c r="B52" s="3231" t="s">
        <v>2928</v>
      </c>
      <c r="C52" s="3230">
        <v>26660</v>
      </c>
      <c r="D52" s="3230">
        <v>22350</v>
      </c>
      <c r="E52" s="3230">
        <v>22920</v>
      </c>
      <c r="F52" s="3230"/>
      <c r="G52" s="3243">
        <v>15640</v>
      </c>
      <c r="N52" s="3230" t="s">
        <v>3050</v>
      </c>
    </row>
    <row r="53" spans="1:17" ht="14.25" customHeight="1">
      <c r="A53" s="3230" t="s">
        <v>296</v>
      </c>
      <c r="B53" s="3231" t="s">
        <v>2933</v>
      </c>
      <c r="C53" s="3230">
        <v>23580</v>
      </c>
      <c r="D53" s="3230"/>
      <c r="E53" s="3230">
        <v>24280</v>
      </c>
      <c r="F53" s="3230"/>
      <c r="G53" s="3243"/>
      <c r="N53" s="3230" t="s">
        <v>3051</v>
      </c>
    </row>
    <row r="54" spans="1:17" ht="14.25" customHeight="1" thickBot="1">
      <c r="A54" s="3244" t="s">
        <v>296</v>
      </c>
      <c r="B54" s="3236" t="s">
        <v>2936</v>
      </c>
      <c r="C54" s="3237">
        <v>22460</v>
      </c>
      <c r="D54" s="3237"/>
      <c r="E54" s="3237"/>
      <c r="F54" s="3237"/>
      <c r="G54" s="3245"/>
      <c r="N54" s="3230" t="s">
        <v>3052</v>
      </c>
    </row>
    <row r="55" spans="1:17" ht="14.25" customHeight="1">
      <c r="A55" s="3235" t="s">
        <v>110</v>
      </c>
      <c r="B55" s="3226" t="s">
        <v>3053</v>
      </c>
      <c r="C55" s="3230">
        <v>21970</v>
      </c>
      <c r="D55" s="3230">
        <v>20370</v>
      </c>
      <c r="E55" s="3230">
        <v>20180</v>
      </c>
      <c r="F55" s="3230">
        <v>5730</v>
      </c>
      <c r="G55" s="3230">
        <v>13820</v>
      </c>
      <c r="N55" s="3230" t="s">
        <v>3054</v>
      </c>
    </row>
    <row r="56" spans="1:17" ht="14.25" customHeight="1">
      <c r="A56" s="3230" t="s">
        <v>110</v>
      </c>
      <c r="B56" s="3230" t="s">
        <v>130</v>
      </c>
      <c r="C56" s="3230">
        <v>20470</v>
      </c>
      <c r="D56" s="3230">
        <v>20700</v>
      </c>
      <c r="E56" s="3230">
        <v>20380</v>
      </c>
      <c r="F56" s="3230">
        <v>4760</v>
      </c>
      <c r="G56" s="3230">
        <v>14050</v>
      </c>
      <c r="N56" s="3230" t="s">
        <v>3055</v>
      </c>
    </row>
    <row r="57" spans="1:17" ht="14.25" customHeight="1">
      <c r="A57" s="3230" t="s">
        <v>110</v>
      </c>
      <c r="B57" s="3230" t="s">
        <v>139</v>
      </c>
      <c r="C57" s="3230">
        <v>20790</v>
      </c>
      <c r="D57" s="3230">
        <v>21370</v>
      </c>
      <c r="E57" s="3230">
        <v>20890</v>
      </c>
      <c r="F57" s="3230">
        <v>4910</v>
      </c>
      <c r="G57" s="3230">
        <v>14510</v>
      </c>
      <c r="N57" s="3230" t="s">
        <v>3056</v>
      </c>
    </row>
    <row r="58" spans="1:17" ht="14.25" customHeight="1">
      <c r="A58" s="3230" t="s">
        <v>110</v>
      </c>
      <c r="B58" s="3230" t="s">
        <v>148</v>
      </c>
      <c r="C58" s="3230">
        <v>21460</v>
      </c>
      <c r="D58" s="3230">
        <v>20920</v>
      </c>
      <c r="E58" s="3230">
        <v>23410</v>
      </c>
      <c r="F58" s="3230">
        <v>5100</v>
      </c>
      <c r="G58" s="3230">
        <v>14200</v>
      </c>
      <c r="N58" s="3230" t="s">
        <v>3057</v>
      </c>
    </row>
    <row r="59" spans="1:17" ht="14.25" customHeight="1">
      <c r="A59" s="3230" t="s">
        <v>110</v>
      </c>
      <c r="B59" s="3230" t="s">
        <v>157</v>
      </c>
      <c r="C59" s="3230">
        <v>21000</v>
      </c>
      <c r="D59" s="3230">
        <v>21550</v>
      </c>
      <c r="E59" s="3230">
        <v>21150</v>
      </c>
      <c r="F59" s="3230">
        <v>5250</v>
      </c>
      <c r="G59" s="3230">
        <v>14630</v>
      </c>
      <c r="N59" s="3230" t="s">
        <v>3058</v>
      </c>
    </row>
    <row r="60" spans="1:17" ht="14.25" customHeight="1">
      <c r="A60" s="3230" t="s">
        <v>110</v>
      </c>
      <c r="B60" s="3230" t="s">
        <v>164</v>
      </c>
      <c r="C60" s="3230">
        <v>21640</v>
      </c>
      <c r="D60" s="3230">
        <v>21260</v>
      </c>
      <c r="E60" s="3230">
        <v>24040</v>
      </c>
      <c r="F60" s="3230">
        <v>4470</v>
      </c>
      <c r="G60" s="3230">
        <v>14430</v>
      </c>
      <c r="N60" s="3230" t="s">
        <v>3059</v>
      </c>
    </row>
    <row r="61" spans="1:17" ht="14.25" customHeight="1">
      <c r="A61" s="3230" t="s">
        <v>110</v>
      </c>
      <c r="B61" s="3230" t="s">
        <v>170</v>
      </c>
      <c r="C61" s="3230">
        <v>21330</v>
      </c>
      <c r="D61" s="3230">
        <v>18640</v>
      </c>
      <c r="E61" s="3230">
        <v>21190</v>
      </c>
      <c r="F61" s="3230">
        <v>4180</v>
      </c>
      <c r="G61" s="3230">
        <v>12650</v>
      </c>
      <c r="N61" s="3230" t="s">
        <v>3060</v>
      </c>
    </row>
    <row r="62" spans="1:17" ht="14.25" customHeight="1">
      <c r="A62" s="3230" t="s">
        <v>110</v>
      </c>
      <c r="B62" s="3230" t="s">
        <v>177</v>
      </c>
      <c r="C62" s="3230">
        <v>18710</v>
      </c>
      <c r="D62" s="3230">
        <v>19400</v>
      </c>
      <c r="E62" s="3230">
        <v>23750</v>
      </c>
      <c r="F62" s="3230">
        <v>4860</v>
      </c>
      <c r="G62" s="3230">
        <v>13170</v>
      </c>
      <c r="N62" s="3230" t="s">
        <v>3061</v>
      </c>
    </row>
    <row r="63" spans="1:17" ht="14.25" customHeight="1">
      <c r="A63" s="3230" t="s">
        <v>110</v>
      </c>
      <c r="B63" s="3230" t="s">
        <v>187</v>
      </c>
      <c r="C63" s="3230">
        <v>19480</v>
      </c>
      <c r="D63" s="3230">
        <v>16830</v>
      </c>
      <c r="E63" s="3230">
        <v>21590</v>
      </c>
      <c r="F63" s="3230">
        <v>4560</v>
      </c>
      <c r="G63" s="3230">
        <v>11420</v>
      </c>
      <c r="N63" s="3230" t="s">
        <v>3062</v>
      </c>
    </row>
    <row r="64" spans="1:17" ht="14.25" customHeight="1" thickBot="1">
      <c r="A64" s="3230" t="s">
        <v>110</v>
      </c>
      <c r="B64" s="3230" t="s">
        <v>196</v>
      </c>
      <c r="C64" s="3230">
        <v>16920</v>
      </c>
      <c r="D64" s="3230">
        <v>19190</v>
      </c>
      <c r="E64" s="3230">
        <v>22200</v>
      </c>
      <c r="F64" s="3230">
        <v>4390</v>
      </c>
      <c r="G64" s="3230">
        <v>13030</v>
      </c>
      <c r="N64" s="3237" t="s">
        <v>3063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2934</v>
      </c>
      <c r="C78" s="3230">
        <v>19820</v>
      </c>
      <c r="D78" s="3230">
        <v>19780</v>
      </c>
      <c r="E78" s="3230">
        <v>18560</v>
      </c>
      <c r="F78" s="3230"/>
      <c r="G78" s="3230">
        <v>13430</v>
      </c>
    </row>
    <row r="79" spans="1:7" s="3219" customFormat="1" ht="14.25" customHeight="1">
      <c r="A79" s="3230" t="s">
        <v>110</v>
      </c>
      <c r="B79" s="3230" t="s">
        <v>2937</v>
      </c>
      <c r="C79" s="3230">
        <v>21660</v>
      </c>
      <c r="D79" s="3230">
        <v>18000</v>
      </c>
      <c r="E79" s="3230">
        <v>22570</v>
      </c>
      <c r="F79" s="3230"/>
      <c r="G79" s="3230">
        <v>12220</v>
      </c>
    </row>
    <row r="80" spans="1:7" s="3219" customFormat="1" ht="14.25" customHeight="1">
      <c r="A80" s="3230" t="s">
        <v>110</v>
      </c>
      <c r="B80" s="3230" t="s">
        <v>2941</v>
      </c>
      <c r="C80" s="3230">
        <v>19850</v>
      </c>
      <c r="D80" s="3230"/>
      <c r="E80" s="3230">
        <v>21700</v>
      </c>
      <c r="F80" s="3230"/>
      <c r="G80" s="3230"/>
    </row>
    <row r="81" spans="1:7" s="3219" customFormat="1" ht="14.25" customHeight="1">
      <c r="A81" s="3230" t="s">
        <v>110</v>
      </c>
      <c r="B81" s="3230" t="s">
        <v>2946</v>
      </c>
      <c r="C81" s="3230">
        <v>18080</v>
      </c>
      <c r="D81" s="3230"/>
      <c r="E81" s="3230">
        <v>20900</v>
      </c>
      <c r="F81" s="3230"/>
      <c r="G81" s="3230"/>
    </row>
    <row r="82" spans="1:7" s="3219" customFormat="1" ht="14.25" customHeight="1">
      <c r="A82" s="3230" t="s">
        <v>110</v>
      </c>
      <c r="B82" s="3230" t="s">
        <v>2953</v>
      </c>
      <c r="C82" s="3230"/>
      <c r="D82" s="3230"/>
      <c r="E82" s="3230">
        <v>20840</v>
      </c>
      <c r="F82" s="3230"/>
      <c r="G82" s="3230"/>
    </row>
    <row r="83" spans="1:7" s="3219" customFormat="1" ht="14.25" customHeight="1">
      <c r="A83" s="3230" t="s">
        <v>110</v>
      </c>
      <c r="B83" s="3230" t="s">
        <v>3064</v>
      </c>
      <c r="C83" s="3230"/>
      <c r="D83" s="3230"/>
      <c r="E83" s="3230"/>
      <c r="F83" s="3230">
        <v>4770</v>
      </c>
      <c r="G83" s="3230"/>
    </row>
    <row r="84" spans="1:7" s="3219" customFormat="1" ht="14.25" customHeight="1">
      <c r="A84" s="3230" t="s">
        <v>110</v>
      </c>
      <c r="B84" s="3230" t="s">
        <v>3065</v>
      </c>
      <c r="C84" s="3230"/>
      <c r="D84" s="3230"/>
      <c r="E84" s="3230"/>
      <c r="F84" s="3230">
        <v>4600</v>
      </c>
      <c r="G84" s="3230"/>
    </row>
    <row r="85" spans="1:7" s="3219" customFormat="1" ht="14.25" customHeight="1">
      <c r="A85" s="3230" t="s">
        <v>110</v>
      </c>
      <c r="B85" s="3230" t="s">
        <v>3066</v>
      </c>
      <c r="C85" s="3230"/>
      <c r="D85" s="3230"/>
      <c r="E85" s="3230"/>
      <c r="F85" s="3230">
        <v>4680</v>
      </c>
      <c r="G85" s="3230"/>
    </row>
    <row r="86" spans="1:7" s="3219" customFormat="1" ht="14.25" customHeight="1" thickBot="1">
      <c r="A86" s="3238" t="s">
        <v>110</v>
      </c>
      <c r="B86" s="3240" t="s">
        <v>3067</v>
      </c>
      <c r="C86" s="3241">
        <v>16610</v>
      </c>
      <c r="D86" s="3241">
        <v>16540</v>
      </c>
      <c r="E86" s="3241">
        <v>18850</v>
      </c>
      <c r="F86" s="3241"/>
      <c r="G86" s="3241">
        <v>11220</v>
      </c>
    </row>
    <row r="87" spans="1:7" s="3219" customFormat="1" ht="14.25" customHeight="1">
      <c r="A87" s="3235" t="s">
        <v>303</v>
      </c>
      <c r="B87" s="3226" t="s">
        <v>3068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2947</v>
      </c>
      <c r="C113" s="3230">
        <v>15520</v>
      </c>
      <c r="D113" s="3230">
        <v>15450</v>
      </c>
      <c r="E113" s="3230"/>
      <c r="F113" s="3230"/>
      <c r="G113" s="3243">
        <v>10210</v>
      </c>
    </row>
    <row r="114" spans="1:7" s="3219" customFormat="1" ht="14.25" customHeight="1">
      <c r="A114" s="3230" t="s">
        <v>303</v>
      </c>
      <c r="B114" s="3230" t="s">
        <v>2954</v>
      </c>
      <c r="C114" s="3230">
        <v>13110</v>
      </c>
      <c r="D114" s="3230">
        <v>13050</v>
      </c>
      <c r="E114" s="3230"/>
      <c r="F114" s="3230"/>
      <c r="G114" s="3243">
        <v>8620</v>
      </c>
    </row>
    <row r="115" spans="1:7" s="3219" customFormat="1" ht="14.25" customHeight="1">
      <c r="A115" s="3230" t="s">
        <v>303</v>
      </c>
      <c r="B115" s="3230" t="s">
        <v>2960</v>
      </c>
      <c r="C115" s="3230">
        <v>12460</v>
      </c>
      <c r="D115" s="3230">
        <v>12390</v>
      </c>
      <c r="E115" s="3230"/>
      <c r="F115" s="3230"/>
      <c r="G115" s="3243">
        <v>8190</v>
      </c>
    </row>
    <row r="116" spans="1:7" s="3219" customFormat="1" ht="14.25" customHeight="1">
      <c r="A116" s="3230" t="s">
        <v>303</v>
      </c>
      <c r="B116" s="3230" t="s">
        <v>2967</v>
      </c>
      <c r="C116" s="3230">
        <v>13580</v>
      </c>
      <c r="D116" s="3230">
        <v>13520</v>
      </c>
      <c r="E116" s="3230"/>
      <c r="F116" s="3230"/>
      <c r="G116" s="3243">
        <v>8930</v>
      </c>
    </row>
    <row r="117" spans="1:7" s="3219" customFormat="1" ht="14.25" customHeight="1">
      <c r="A117" s="3230" t="s">
        <v>303</v>
      </c>
      <c r="B117" s="3230" t="s">
        <v>2974</v>
      </c>
      <c r="C117" s="3230">
        <v>17120</v>
      </c>
      <c r="D117" s="3230">
        <v>17040</v>
      </c>
      <c r="E117" s="3230"/>
      <c r="F117" s="3230"/>
      <c r="G117" s="3243">
        <v>11260</v>
      </c>
    </row>
    <row r="118" spans="1:7" s="3219" customFormat="1" ht="14.25" customHeight="1">
      <c r="A118" s="3230" t="s">
        <v>303</v>
      </c>
      <c r="B118" s="3230" t="s">
        <v>2979</v>
      </c>
      <c r="C118" s="3230">
        <v>14860</v>
      </c>
      <c r="D118" s="3230">
        <v>14790</v>
      </c>
      <c r="E118" s="3230"/>
      <c r="F118" s="3230"/>
      <c r="G118" s="3243">
        <v>9780</v>
      </c>
    </row>
    <row r="119" spans="1:7" s="3219" customFormat="1" ht="14.25" customHeight="1">
      <c r="A119" s="3230" t="s">
        <v>303</v>
      </c>
      <c r="B119" s="3230" t="s">
        <v>2983</v>
      </c>
      <c r="C119" s="3230">
        <v>16470</v>
      </c>
      <c r="D119" s="3230">
        <v>16400</v>
      </c>
      <c r="E119" s="3230"/>
      <c r="F119" s="3230"/>
      <c r="G119" s="3243">
        <v>10840</v>
      </c>
    </row>
    <row r="120" spans="1:7" s="3219" customFormat="1" ht="14.25" customHeight="1">
      <c r="A120" s="3230" t="s">
        <v>303</v>
      </c>
      <c r="B120" s="3230" t="s">
        <v>3069</v>
      </c>
      <c r="C120" s="3230"/>
      <c r="D120" s="3230"/>
      <c r="E120" s="3230"/>
      <c r="F120" s="3230">
        <v>4160</v>
      </c>
      <c r="G120" s="3243"/>
    </row>
    <row r="121" spans="1:7" s="3219" customFormat="1" ht="14.25" customHeight="1">
      <c r="A121" s="3230" t="s">
        <v>303</v>
      </c>
      <c r="B121" s="3230" t="s">
        <v>3070</v>
      </c>
      <c r="C121" s="3230"/>
      <c r="D121" s="3230"/>
      <c r="E121" s="3230"/>
      <c r="F121" s="3230">
        <v>3880</v>
      </c>
      <c r="G121" s="3243"/>
    </row>
    <row r="122" spans="1:7" s="3219" customFormat="1" ht="14.25" customHeight="1">
      <c r="A122" s="3230" t="s">
        <v>303</v>
      </c>
      <c r="B122" s="3230" t="s">
        <v>3071</v>
      </c>
      <c r="C122" s="3230">
        <v>13750</v>
      </c>
      <c r="D122" s="3230">
        <v>13680</v>
      </c>
      <c r="E122" s="3230">
        <v>16460</v>
      </c>
      <c r="F122" s="3230">
        <v>2880</v>
      </c>
      <c r="G122" s="3243">
        <v>9040</v>
      </c>
    </row>
    <row r="123" spans="1:7" s="3219" customFormat="1" ht="14.25" customHeight="1">
      <c r="A123" s="3230" t="s">
        <v>303</v>
      </c>
      <c r="B123" s="3230" t="s">
        <v>3002</v>
      </c>
      <c r="C123" s="3230">
        <v>13590</v>
      </c>
      <c r="D123" s="3230">
        <v>13520</v>
      </c>
      <c r="E123" s="3230">
        <v>16290</v>
      </c>
      <c r="F123" s="3230">
        <v>2790</v>
      </c>
      <c r="G123" s="3243">
        <v>8930</v>
      </c>
    </row>
    <row r="124" spans="1:7" s="3219" customFormat="1" ht="14.25" customHeight="1">
      <c r="A124" s="3230" t="s">
        <v>303</v>
      </c>
      <c r="B124" s="3230" t="s">
        <v>3007</v>
      </c>
      <c r="C124" s="3230">
        <v>13400</v>
      </c>
      <c r="D124" s="3230">
        <v>13320</v>
      </c>
      <c r="E124" s="3230">
        <v>16100</v>
      </c>
      <c r="F124" s="3230">
        <v>2320</v>
      </c>
      <c r="G124" s="3243">
        <v>8800</v>
      </c>
    </row>
    <row r="125" spans="1:7" s="3219" customFormat="1" ht="14.25" customHeight="1">
      <c r="A125" s="3230" t="s">
        <v>303</v>
      </c>
      <c r="B125" s="3230" t="s">
        <v>3012</v>
      </c>
      <c r="C125" s="3230">
        <v>12860</v>
      </c>
      <c r="D125" s="3230">
        <v>12790</v>
      </c>
      <c r="E125" s="3230">
        <v>15370</v>
      </c>
      <c r="F125" s="3230">
        <v>2280</v>
      </c>
      <c r="G125" s="3243">
        <v>8450</v>
      </c>
    </row>
    <row r="126" spans="1:7" s="3219" customFormat="1" ht="14.25" customHeight="1" thickBot="1">
      <c r="A126" s="3244" t="s">
        <v>303</v>
      </c>
      <c r="B126" s="3237" t="s">
        <v>3017</v>
      </c>
      <c r="C126" s="3237">
        <v>12960</v>
      </c>
      <c r="D126" s="3237">
        <v>12890</v>
      </c>
      <c r="E126" s="3237">
        <v>15530</v>
      </c>
      <c r="F126" s="3237">
        <v>2910</v>
      </c>
      <c r="G126" s="3245">
        <v>8520</v>
      </c>
    </row>
    <row r="127" spans="1:7" s="3219" customFormat="1" ht="14.25" customHeight="1">
      <c r="A127" s="3235" t="s">
        <v>29</v>
      </c>
      <c r="B127" s="3226" t="s">
        <v>3072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3073</v>
      </c>
      <c r="C148" s="3230">
        <v>10370</v>
      </c>
      <c r="D148" s="3230">
        <v>10310</v>
      </c>
      <c r="E148" s="3230">
        <v>12970</v>
      </c>
      <c r="F148" s="3230"/>
      <c r="G148" s="3230">
        <v>6630</v>
      </c>
    </row>
    <row r="149" spans="1:7" s="3219" customFormat="1" ht="14.25" customHeight="1">
      <c r="A149" s="3230" t="s">
        <v>29</v>
      </c>
      <c r="B149" s="3230" t="s">
        <v>3074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2948</v>
      </c>
      <c r="C153" s="3230">
        <v>10880</v>
      </c>
      <c r="D153" s="3230">
        <v>10820</v>
      </c>
      <c r="E153" s="3230">
        <v>13660</v>
      </c>
      <c r="F153" s="3230">
        <v>2260</v>
      </c>
      <c r="G153" s="3230">
        <v>6970</v>
      </c>
    </row>
    <row r="154" spans="1:7" s="3219" customFormat="1" ht="14.25" customHeight="1">
      <c r="A154" s="3230" t="s">
        <v>29</v>
      </c>
      <c r="B154" s="3230" t="s">
        <v>3075</v>
      </c>
      <c r="C154" s="3230">
        <v>11220</v>
      </c>
      <c r="D154" s="3230">
        <v>11160</v>
      </c>
      <c r="E154" s="3230">
        <v>14130</v>
      </c>
      <c r="F154" s="3230">
        <v>2230</v>
      </c>
      <c r="G154" s="3230">
        <v>7180</v>
      </c>
    </row>
    <row r="155" spans="1:7" s="3219" customFormat="1" ht="14.25" customHeight="1">
      <c r="A155" s="3230" t="s">
        <v>29</v>
      </c>
      <c r="B155" s="3230" t="s">
        <v>2961</v>
      </c>
      <c r="C155" s="3230">
        <v>10430</v>
      </c>
      <c r="D155" s="3230">
        <v>10380</v>
      </c>
      <c r="E155" s="3230">
        <v>13140</v>
      </c>
      <c r="F155" s="3230">
        <v>2080</v>
      </c>
      <c r="G155" s="3230">
        <v>6650</v>
      </c>
    </row>
    <row r="156" spans="1:7" s="3219" customFormat="1" ht="14.25" customHeight="1">
      <c r="A156" s="3230" t="s">
        <v>29</v>
      </c>
      <c r="B156" s="3230" t="s">
        <v>3076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3077</v>
      </c>
      <c r="C160" s="3230">
        <v>11180</v>
      </c>
      <c r="D160" s="3230">
        <v>11140</v>
      </c>
      <c r="E160" s="3230">
        <v>14050</v>
      </c>
      <c r="F160" s="3230">
        <v>2270</v>
      </c>
      <c r="G160" s="3230">
        <v>7170</v>
      </c>
    </row>
    <row r="161" spans="1:7" s="3219" customFormat="1" ht="14.25" customHeight="1">
      <c r="A161" s="3230" t="s">
        <v>29</v>
      </c>
      <c r="B161" s="3230" t="s">
        <v>2993</v>
      </c>
      <c r="C161" s="3230">
        <v>11160</v>
      </c>
      <c r="D161" s="3230">
        <v>11120</v>
      </c>
      <c r="E161" s="3230">
        <v>14020</v>
      </c>
      <c r="F161" s="3230">
        <v>2150</v>
      </c>
      <c r="G161" s="3230">
        <v>7160</v>
      </c>
    </row>
    <row r="162" spans="1:7" s="3219" customFormat="1" ht="14.25" customHeight="1">
      <c r="A162" s="3230" t="s">
        <v>29</v>
      </c>
      <c r="B162" s="3230" t="s">
        <v>2998</v>
      </c>
      <c r="C162" s="3230">
        <v>9620</v>
      </c>
      <c r="D162" s="3230">
        <v>9570</v>
      </c>
      <c r="E162" s="3230">
        <v>12320</v>
      </c>
      <c r="F162" s="3230">
        <v>2010</v>
      </c>
      <c r="G162" s="3230">
        <v>6160</v>
      </c>
    </row>
    <row r="163" spans="1:7" s="3219" customFormat="1" ht="14.25" customHeight="1">
      <c r="A163" s="3230" t="s">
        <v>29</v>
      </c>
      <c r="B163" s="3230" t="s">
        <v>3003</v>
      </c>
      <c r="C163" s="3230">
        <v>9320</v>
      </c>
      <c r="D163" s="3230">
        <v>9270</v>
      </c>
      <c r="E163" s="3230">
        <v>11790</v>
      </c>
      <c r="F163" s="3230">
        <v>1920</v>
      </c>
      <c r="G163" s="3230">
        <v>5960</v>
      </c>
    </row>
    <row r="164" spans="1:7" s="3219" customFormat="1" ht="14.25" customHeight="1">
      <c r="A164" s="3230" t="s">
        <v>29</v>
      </c>
      <c r="B164" s="3230" t="s">
        <v>3008</v>
      </c>
      <c r="C164" s="3230"/>
      <c r="D164" s="3230"/>
      <c r="E164" s="3230"/>
      <c r="F164" s="3230">
        <v>1980</v>
      </c>
      <c r="G164" s="3230"/>
    </row>
    <row r="165" spans="1:7" s="3219" customFormat="1" ht="14.25" customHeight="1">
      <c r="A165" s="3230" t="s">
        <v>29</v>
      </c>
      <c r="B165" s="3230" t="s">
        <v>3078</v>
      </c>
      <c r="C165" s="3230">
        <v>11060</v>
      </c>
      <c r="D165" s="3230">
        <v>11030</v>
      </c>
      <c r="E165" s="3230">
        <v>13850</v>
      </c>
      <c r="F165" s="3230">
        <v>2170</v>
      </c>
      <c r="G165" s="3230">
        <v>7090</v>
      </c>
    </row>
    <row r="166" spans="1:7" s="3219" customFormat="1" ht="14.25" customHeight="1">
      <c r="A166" s="3230" t="s">
        <v>29</v>
      </c>
      <c r="B166" s="3230" t="s">
        <v>3018</v>
      </c>
      <c r="C166" s="3230">
        <v>11050</v>
      </c>
      <c r="D166" s="3230">
        <v>11010</v>
      </c>
      <c r="E166" s="3230">
        <v>13920</v>
      </c>
      <c r="F166" s="3230">
        <v>2140</v>
      </c>
      <c r="G166" s="3230">
        <v>7080</v>
      </c>
    </row>
    <row r="167" spans="1:7" s="3219" customFormat="1" ht="14.25" customHeight="1">
      <c r="A167" s="3230" t="s">
        <v>29</v>
      </c>
      <c r="B167" s="3230" t="s">
        <v>3022</v>
      </c>
      <c r="C167" s="3230">
        <v>10930</v>
      </c>
      <c r="D167" s="3230">
        <v>10890</v>
      </c>
      <c r="E167" s="3230">
        <v>13790</v>
      </c>
      <c r="F167" s="3230">
        <v>2010</v>
      </c>
      <c r="G167" s="3230">
        <v>7000</v>
      </c>
    </row>
    <row r="168" spans="1:7" s="3219" customFormat="1" ht="14.25" customHeight="1">
      <c r="A168" s="3230" t="s">
        <v>29</v>
      </c>
      <c r="B168" s="3230" t="s">
        <v>3027</v>
      </c>
      <c r="C168" s="3230">
        <v>9420</v>
      </c>
      <c r="D168" s="3230">
        <v>9380</v>
      </c>
      <c r="E168" s="3230">
        <v>11970</v>
      </c>
      <c r="F168" s="3230"/>
      <c r="G168" s="3230">
        <v>6040</v>
      </c>
    </row>
    <row r="169" spans="1:7" s="3219" customFormat="1" ht="14.25" customHeight="1">
      <c r="A169" s="3230" t="s">
        <v>29</v>
      </c>
      <c r="B169" s="3230" t="s">
        <v>3079</v>
      </c>
      <c r="C169" s="3230"/>
      <c r="D169" s="3230"/>
      <c r="E169" s="3230"/>
      <c r="F169" s="3230">
        <v>2880</v>
      </c>
      <c r="G169" s="3230"/>
    </row>
    <row r="170" spans="1:7" s="3219" customFormat="1" ht="14.25" customHeight="1">
      <c r="A170" s="3230" t="s">
        <v>29</v>
      </c>
      <c r="B170" s="3230" t="s">
        <v>3035</v>
      </c>
      <c r="C170" s="3230"/>
      <c r="D170" s="3230"/>
      <c r="E170" s="3230"/>
      <c r="F170" s="3230">
        <v>2880</v>
      </c>
      <c r="G170" s="3230"/>
    </row>
    <row r="171" spans="1:7" s="3219" customFormat="1" ht="14.25" customHeight="1">
      <c r="A171" s="3230" t="s">
        <v>29</v>
      </c>
      <c r="B171" s="3230" t="s">
        <v>3038</v>
      </c>
      <c r="C171" s="3230"/>
      <c r="D171" s="3230"/>
      <c r="E171" s="3230"/>
      <c r="F171" s="3230">
        <v>2880</v>
      </c>
      <c r="G171" s="3230"/>
    </row>
    <row r="172" spans="1:7" s="3219" customFormat="1" ht="14.25" customHeight="1">
      <c r="A172" s="3230" t="s">
        <v>29</v>
      </c>
      <c r="B172" s="3230" t="s">
        <v>3040</v>
      </c>
      <c r="C172" s="3230"/>
      <c r="D172" s="3230"/>
      <c r="E172" s="3230"/>
      <c r="F172" s="3230">
        <v>2880</v>
      </c>
      <c r="G172" s="3230"/>
    </row>
    <row r="173" spans="1:7" s="3219" customFormat="1" ht="14.25" customHeight="1">
      <c r="A173" s="3230" t="s">
        <v>29</v>
      </c>
      <c r="B173" s="3230" t="s">
        <v>3042</v>
      </c>
      <c r="C173" s="3230"/>
      <c r="D173" s="3230"/>
      <c r="E173" s="3230"/>
      <c r="F173" s="3230">
        <v>2150</v>
      </c>
      <c r="G173" s="3230"/>
    </row>
    <row r="174" spans="1:7" s="3219" customFormat="1" ht="14.25" customHeight="1">
      <c r="A174" s="3230" t="s">
        <v>29</v>
      </c>
      <c r="B174" s="3230" t="s">
        <v>3044</v>
      </c>
      <c r="C174" s="3230"/>
      <c r="D174" s="3230"/>
      <c r="E174" s="3230"/>
      <c r="F174" s="3230">
        <v>2030</v>
      </c>
      <c r="G174" s="3230"/>
    </row>
    <row r="175" spans="1:7" s="3219" customFormat="1" ht="14.25" customHeight="1">
      <c r="A175" s="3230" t="s">
        <v>29</v>
      </c>
      <c r="B175" s="3230" t="s">
        <v>3046</v>
      </c>
      <c r="C175" s="3230"/>
      <c r="D175" s="3230"/>
      <c r="E175" s="3230"/>
      <c r="F175" s="3230">
        <v>2780</v>
      </c>
      <c r="G175" s="3230"/>
    </row>
    <row r="176" spans="1:7" s="3219" customFormat="1" ht="14.25" customHeight="1">
      <c r="A176" s="3230" t="s">
        <v>29</v>
      </c>
      <c r="B176" s="3230" t="s">
        <v>3048</v>
      </c>
      <c r="C176" s="3230"/>
      <c r="D176" s="3230"/>
      <c r="E176" s="3230"/>
      <c r="F176" s="3230">
        <v>2780</v>
      </c>
      <c r="G176" s="3230"/>
    </row>
    <row r="177" spans="1:7" s="3219" customFormat="1" ht="14.25" customHeight="1">
      <c r="A177" s="3230" t="s">
        <v>29</v>
      </c>
      <c r="B177" s="3230" t="s">
        <v>3080</v>
      </c>
      <c r="C177" s="3230"/>
      <c r="D177" s="3230"/>
      <c r="E177" s="3230"/>
      <c r="F177" s="3230">
        <v>2780</v>
      </c>
      <c r="G177" s="3230"/>
    </row>
    <row r="178" spans="1:7" s="3219" customFormat="1" ht="14.25" customHeight="1">
      <c r="A178" s="3230" t="s">
        <v>29</v>
      </c>
      <c r="B178" s="3230" t="s">
        <v>3081</v>
      </c>
      <c r="C178" s="3230"/>
      <c r="D178" s="3230"/>
      <c r="E178" s="3230"/>
      <c r="F178" s="3230">
        <v>2060</v>
      </c>
      <c r="G178" s="3230"/>
    </row>
    <row r="179" spans="1:7" s="3219" customFormat="1" ht="14.25" customHeight="1">
      <c r="A179" s="3230" t="s">
        <v>29</v>
      </c>
      <c r="B179" s="3230" t="s">
        <v>3082</v>
      </c>
      <c r="C179" s="3230"/>
      <c r="D179" s="3230"/>
      <c r="E179" s="3230"/>
      <c r="F179" s="3230">
        <v>2120</v>
      </c>
      <c r="G179" s="3230"/>
    </row>
    <row r="180" spans="1:7" s="3219" customFormat="1" ht="14.25" customHeight="1">
      <c r="A180" s="3230" t="s">
        <v>29</v>
      </c>
      <c r="B180" s="3230" t="s">
        <v>3054</v>
      </c>
      <c r="C180" s="3230"/>
      <c r="D180" s="3230"/>
      <c r="E180" s="3230"/>
      <c r="F180" s="3230">
        <v>2340</v>
      </c>
      <c r="G180" s="3230"/>
    </row>
    <row r="181" spans="1:7" s="3219" customFormat="1" ht="14.25" customHeight="1">
      <c r="A181" s="3230" t="s">
        <v>29</v>
      </c>
      <c r="B181" s="3230" t="s">
        <v>3055</v>
      </c>
      <c r="C181" s="3230"/>
      <c r="D181" s="3230"/>
      <c r="E181" s="3230"/>
      <c r="F181" s="3230">
        <v>2340</v>
      </c>
      <c r="G181" s="3230"/>
    </row>
    <row r="182" spans="1:7" s="3219" customFormat="1" ht="14.25" customHeight="1">
      <c r="A182" s="3230" t="s">
        <v>29</v>
      </c>
      <c r="B182" s="3230" t="s">
        <v>3056</v>
      </c>
      <c r="C182" s="3230"/>
      <c r="D182" s="3230"/>
      <c r="E182" s="3230"/>
      <c r="F182" s="3230">
        <v>2340</v>
      </c>
      <c r="G182" s="3230"/>
    </row>
    <row r="183" spans="1:7" s="3219" customFormat="1" ht="14.25" customHeight="1">
      <c r="A183" s="3230" t="s">
        <v>29</v>
      </c>
      <c r="B183" s="3230" t="s">
        <v>3057</v>
      </c>
      <c r="C183" s="3230"/>
      <c r="D183" s="3230"/>
      <c r="E183" s="3230"/>
      <c r="F183" s="3230">
        <v>2340</v>
      </c>
      <c r="G183" s="3230"/>
    </row>
    <row r="184" spans="1:7" s="3219" customFormat="1" ht="14.25" customHeight="1">
      <c r="A184" s="3230" t="s">
        <v>29</v>
      </c>
      <c r="B184" s="3230" t="s">
        <v>3058</v>
      </c>
      <c r="C184" s="3230"/>
      <c r="D184" s="3230"/>
      <c r="E184" s="3230"/>
      <c r="F184" s="3230">
        <v>2340</v>
      </c>
      <c r="G184" s="3230"/>
    </row>
    <row r="185" spans="1:7" s="3219" customFormat="1" ht="14.25" customHeight="1">
      <c r="A185" s="3230" t="s">
        <v>29</v>
      </c>
      <c r="B185" s="3230" t="s">
        <v>3059</v>
      </c>
      <c r="C185" s="3230"/>
      <c r="D185" s="3230"/>
      <c r="E185" s="3230"/>
      <c r="F185" s="3230">
        <v>2530</v>
      </c>
      <c r="G185" s="3230"/>
    </row>
    <row r="186" spans="1:7" s="3219" customFormat="1" ht="14.25" customHeight="1">
      <c r="A186" s="3230" t="s">
        <v>29</v>
      </c>
      <c r="B186" s="3230" t="s">
        <v>3060</v>
      </c>
      <c r="C186" s="3230"/>
      <c r="D186" s="3230"/>
      <c r="E186" s="3230"/>
      <c r="F186" s="3230">
        <v>2550</v>
      </c>
      <c r="G186" s="3230"/>
    </row>
    <row r="187" spans="1:7" s="3219" customFormat="1" ht="14.25" customHeight="1">
      <c r="A187" s="3230" t="s">
        <v>29</v>
      </c>
      <c r="B187" s="3230" t="s">
        <v>3061</v>
      </c>
      <c r="C187" s="3230"/>
      <c r="D187" s="3230"/>
      <c r="E187" s="3230"/>
      <c r="F187" s="3230">
        <v>2070</v>
      </c>
      <c r="G187" s="3230"/>
    </row>
    <row r="188" spans="1:7" s="3219" customFormat="1" ht="14.25" customHeight="1">
      <c r="A188" s="3230" t="s">
        <v>29</v>
      </c>
      <c r="B188" s="3230" t="s">
        <v>3062</v>
      </c>
      <c r="C188" s="3230"/>
      <c r="D188" s="3230"/>
      <c r="E188" s="3230"/>
      <c r="F188" s="3230">
        <v>2340</v>
      </c>
      <c r="G188" s="3230"/>
    </row>
    <row r="189" spans="1:7" s="3219" customFormat="1" ht="14.25" customHeight="1" thickBot="1">
      <c r="A189" s="3238" t="s">
        <v>29</v>
      </c>
      <c r="B189" s="3241" t="s">
        <v>3063</v>
      </c>
      <c r="C189" s="3241"/>
      <c r="D189" s="3241"/>
      <c r="E189" s="3241"/>
      <c r="F189" s="3241">
        <v>2050</v>
      </c>
      <c r="G189" s="3241"/>
    </row>
    <row r="190" spans="1:7" s="3219" customFormat="1" ht="14.25" customHeight="1">
      <c r="A190" s="3235" t="s">
        <v>304</v>
      </c>
      <c r="B190" s="3226" t="s">
        <v>3083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3084</v>
      </c>
      <c r="C199" s="3230">
        <v>8690</v>
      </c>
      <c r="D199" s="3230">
        <v>8630</v>
      </c>
      <c r="E199" s="3230">
        <v>11350</v>
      </c>
      <c r="F199" s="3230">
        <v>1600</v>
      </c>
      <c r="G199" s="3243">
        <v>5450</v>
      </c>
    </row>
    <row r="200" spans="1:7" s="3219" customFormat="1" ht="14.25" customHeight="1">
      <c r="A200" s="3230" t="s">
        <v>304</v>
      </c>
      <c r="B200" s="3230" t="s">
        <v>2895</v>
      </c>
      <c r="C200" s="3230"/>
      <c r="D200" s="3230"/>
      <c r="E200" s="3230"/>
      <c r="F200" s="3230">
        <v>1510</v>
      </c>
      <c r="G200" s="3243"/>
    </row>
    <row r="201" spans="1:7" s="3219" customFormat="1" ht="14.25" customHeight="1">
      <c r="A201" s="3230" t="s">
        <v>304</v>
      </c>
      <c r="B201" s="3230" t="s">
        <v>3085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3086</v>
      </c>
      <c r="C203" s="3230">
        <v>8130</v>
      </c>
      <c r="D203" s="3230">
        <v>8070</v>
      </c>
      <c r="E203" s="3230">
        <v>10820</v>
      </c>
      <c r="F203" s="3230">
        <v>1690</v>
      </c>
      <c r="G203" s="3243">
        <v>5100</v>
      </c>
    </row>
    <row r="204" spans="1:7" s="3219" customFormat="1" ht="14.25" customHeight="1">
      <c r="A204" s="3230" t="s">
        <v>304</v>
      </c>
      <c r="B204" s="3230" t="s">
        <v>2906</v>
      </c>
      <c r="C204" s="3230">
        <v>8350</v>
      </c>
      <c r="D204" s="3230">
        <v>8290</v>
      </c>
      <c r="E204" s="3230">
        <v>11080</v>
      </c>
      <c r="F204" s="3230">
        <v>1450</v>
      </c>
      <c r="G204" s="3243">
        <v>5240</v>
      </c>
    </row>
    <row r="205" spans="1:7" s="3219" customFormat="1" ht="14.25" customHeight="1">
      <c r="A205" s="3230" t="s">
        <v>304</v>
      </c>
      <c r="B205" s="3230" t="s">
        <v>2908</v>
      </c>
      <c r="C205" s="3230">
        <v>7190</v>
      </c>
      <c r="D205" s="3230">
        <v>7130</v>
      </c>
      <c r="E205" s="3230">
        <v>9490</v>
      </c>
      <c r="F205" s="3230">
        <v>1470</v>
      </c>
      <c r="G205" s="3243">
        <v>4510</v>
      </c>
    </row>
    <row r="206" spans="1:7" s="3219" customFormat="1" ht="14.25" customHeight="1">
      <c r="A206" s="3230" t="s">
        <v>304</v>
      </c>
      <c r="B206" s="3230" t="s">
        <v>2911</v>
      </c>
      <c r="C206" s="3230">
        <v>7000</v>
      </c>
      <c r="D206" s="3230">
        <v>6950</v>
      </c>
      <c r="E206" s="3230">
        <v>9170</v>
      </c>
      <c r="F206" s="3230">
        <v>1400</v>
      </c>
      <c r="G206" s="3243">
        <v>4380</v>
      </c>
    </row>
    <row r="207" spans="1:7" s="3219" customFormat="1" ht="14.25" customHeight="1">
      <c r="A207" s="3230" t="s">
        <v>304</v>
      </c>
      <c r="B207" s="3230" t="s">
        <v>2913</v>
      </c>
      <c r="C207" s="3230">
        <v>6950</v>
      </c>
      <c r="D207" s="3230">
        <v>6900</v>
      </c>
      <c r="E207" s="3230">
        <v>9110</v>
      </c>
      <c r="F207" s="3230">
        <v>1790</v>
      </c>
      <c r="G207" s="3243">
        <v>4360</v>
      </c>
    </row>
    <row r="208" spans="1:7" s="3219" customFormat="1" ht="14.25" customHeight="1">
      <c r="A208" s="3230" t="s">
        <v>304</v>
      </c>
      <c r="B208" s="3230" t="s">
        <v>3087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2923</v>
      </c>
      <c r="C210" s="3230">
        <v>8710</v>
      </c>
      <c r="D210" s="3230">
        <v>8660</v>
      </c>
      <c r="E210" s="3230">
        <v>11440</v>
      </c>
      <c r="F210" s="3230">
        <v>1740</v>
      </c>
      <c r="G210" s="3243">
        <v>5470</v>
      </c>
    </row>
    <row r="211" spans="1:7" s="3219" customFormat="1" ht="14.25" customHeight="1">
      <c r="A211" s="3230" t="s">
        <v>304</v>
      </c>
      <c r="B211" s="3230" t="s">
        <v>3088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3089</v>
      </c>
      <c r="C214" s="3230">
        <v>8090</v>
      </c>
      <c r="D214" s="3230">
        <v>8030</v>
      </c>
      <c r="E214" s="3230">
        <v>10780</v>
      </c>
      <c r="F214" s="3230">
        <v>1570</v>
      </c>
      <c r="G214" s="3243">
        <v>5070</v>
      </c>
    </row>
    <row r="215" spans="1:7" s="3219" customFormat="1" ht="14.25" customHeight="1">
      <c r="A215" s="3230" t="s">
        <v>304</v>
      </c>
      <c r="B215" s="3230" t="s">
        <v>3090</v>
      </c>
      <c r="C215" s="3230">
        <v>7950</v>
      </c>
      <c r="D215" s="3230">
        <v>7900</v>
      </c>
      <c r="E215" s="3230">
        <v>10560</v>
      </c>
      <c r="F215" s="3230">
        <v>1630</v>
      </c>
      <c r="G215" s="3243">
        <v>4990</v>
      </c>
    </row>
    <row r="216" spans="1:7" s="3219" customFormat="1" ht="14.25" customHeight="1">
      <c r="A216" s="3230" t="s">
        <v>304</v>
      </c>
      <c r="B216" s="3230" t="s">
        <v>3091</v>
      </c>
      <c r="C216" s="3230">
        <v>8490</v>
      </c>
      <c r="D216" s="3230">
        <v>8440</v>
      </c>
      <c r="E216" s="3230">
        <v>11260</v>
      </c>
      <c r="F216" s="3230">
        <v>1690</v>
      </c>
      <c r="G216" s="3243">
        <v>5330</v>
      </c>
    </row>
    <row r="217" spans="1:7" s="3219" customFormat="1" ht="14.25" customHeight="1">
      <c r="A217" s="3230" t="s">
        <v>304</v>
      </c>
      <c r="B217" s="3230" t="s">
        <v>2956</v>
      </c>
      <c r="C217" s="3230">
        <v>8200</v>
      </c>
      <c r="D217" s="3230">
        <v>8150</v>
      </c>
      <c r="E217" s="3230">
        <v>10910</v>
      </c>
      <c r="F217" s="3230">
        <v>1670</v>
      </c>
      <c r="G217" s="3243">
        <v>5150</v>
      </c>
    </row>
    <row r="218" spans="1:7" s="3219" customFormat="1" ht="14.25" customHeight="1">
      <c r="A218" s="3230" t="s">
        <v>304</v>
      </c>
      <c r="B218" s="3230" t="s">
        <v>3092</v>
      </c>
      <c r="C218" s="3230"/>
      <c r="D218" s="3230"/>
      <c r="E218" s="3230"/>
      <c r="F218" s="3230">
        <v>2040</v>
      </c>
      <c r="G218" s="3243"/>
    </row>
    <row r="219" spans="1:7" s="3219" customFormat="1" ht="14.25" customHeight="1">
      <c r="A219" s="3230" t="s">
        <v>304</v>
      </c>
      <c r="B219" s="3230" t="s">
        <v>3093</v>
      </c>
      <c r="C219" s="3230"/>
      <c r="D219" s="3230"/>
      <c r="E219" s="3230"/>
      <c r="F219" s="3230">
        <v>2040</v>
      </c>
      <c r="G219" s="3243"/>
    </row>
    <row r="220" spans="1:7" s="3219" customFormat="1" ht="14.25" customHeight="1">
      <c r="A220" s="3230" t="s">
        <v>304</v>
      </c>
      <c r="B220" s="3230" t="s">
        <v>3094</v>
      </c>
      <c r="C220" s="3230"/>
      <c r="D220" s="3230"/>
      <c r="E220" s="3230"/>
      <c r="F220" s="3230">
        <v>2040</v>
      </c>
      <c r="G220" s="3243"/>
    </row>
    <row r="221" spans="1:7" s="3219" customFormat="1" ht="14.25" customHeight="1">
      <c r="A221" s="3230" t="s">
        <v>304</v>
      </c>
      <c r="B221" s="3230" t="s">
        <v>3095</v>
      </c>
      <c r="C221" s="3230"/>
      <c r="D221" s="3230"/>
      <c r="E221" s="3230"/>
      <c r="F221" s="3230">
        <v>2040</v>
      </c>
      <c r="G221" s="3243"/>
    </row>
    <row r="222" spans="1:7" s="3219" customFormat="1" ht="14.25" customHeight="1">
      <c r="A222" s="3230" t="s">
        <v>304</v>
      </c>
      <c r="B222" s="3230" t="s">
        <v>3096</v>
      </c>
      <c r="C222" s="3230"/>
      <c r="D222" s="3230"/>
      <c r="E222" s="3230"/>
      <c r="F222" s="3230">
        <v>2040</v>
      </c>
      <c r="G222" s="3243"/>
    </row>
    <row r="223" spans="1:7" s="3219" customFormat="1" ht="14.25" customHeight="1">
      <c r="A223" s="3230" t="s">
        <v>304</v>
      </c>
      <c r="B223" s="3230" t="s">
        <v>3097</v>
      </c>
      <c r="C223" s="3230"/>
      <c r="D223" s="3230"/>
      <c r="E223" s="3230"/>
      <c r="F223" s="3230">
        <v>1930</v>
      </c>
      <c r="G223" s="3243"/>
    </row>
    <row r="224" spans="1:7" s="3219" customFormat="1" ht="14.25" customHeight="1">
      <c r="A224" s="3230" t="s">
        <v>304</v>
      </c>
      <c r="B224" s="3230" t="s">
        <v>3098</v>
      </c>
      <c r="C224" s="3230"/>
      <c r="D224" s="3230"/>
      <c r="E224" s="3230"/>
      <c r="F224" s="3230">
        <v>1930</v>
      </c>
      <c r="G224" s="3243"/>
    </row>
    <row r="225" spans="1:7" s="3219" customFormat="1" ht="14.25" customHeight="1">
      <c r="A225" s="3230" t="s">
        <v>304</v>
      </c>
      <c r="B225" s="3230" t="s">
        <v>3099</v>
      </c>
      <c r="C225" s="3230"/>
      <c r="D225" s="3230"/>
      <c r="E225" s="3230"/>
      <c r="F225" s="3230">
        <v>1930</v>
      </c>
      <c r="G225" s="3243"/>
    </row>
    <row r="226" spans="1:7" s="3219" customFormat="1" ht="14.25" customHeight="1">
      <c r="A226" s="3230" t="s">
        <v>304</v>
      </c>
      <c r="B226" s="3230" t="s">
        <v>3100</v>
      </c>
      <c r="C226" s="3230"/>
      <c r="D226" s="3230"/>
      <c r="E226" s="3230"/>
      <c r="F226" s="3230">
        <v>1700</v>
      </c>
      <c r="G226" s="3243"/>
    </row>
    <row r="227" spans="1:7" s="3219" customFormat="1" ht="14.25" customHeight="1">
      <c r="A227" s="3230" t="s">
        <v>304</v>
      </c>
      <c r="B227" s="3230" t="s">
        <v>3101</v>
      </c>
      <c r="C227" s="3230"/>
      <c r="D227" s="3230"/>
      <c r="E227" s="3230"/>
      <c r="F227" s="3230">
        <v>1520</v>
      </c>
      <c r="G227" s="3243"/>
    </row>
    <row r="228" spans="1:7" s="3219" customFormat="1" ht="14.25" customHeight="1">
      <c r="A228" s="3230" t="s">
        <v>304</v>
      </c>
      <c r="B228" s="3230" t="s">
        <v>3102</v>
      </c>
      <c r="C228" s="3230"/>
      <c r="D228" s="3230"/>
      <c r="E228" s="3230"/>
      <c r="F228" s="3230">
        <v>1520</v>
      </c>
      <c r="G228" s="3243"/>
    </row>
    <row r="229" spans="1:7" s="3219" customFormat="1" ht="14.25" customHeight="1">
      <c r="A229" s="3230" t="s">
        <v>304</v>
      </c>
      <c r="B229" s="3230" t="s">
        <v>3019</v>
      </c>
      <c r="C229" s="3230"/>
      <c r="D229" s="3230"/>
      <c r="E229" s="3230"/>
      <c r="F229" s="3230">
        <v>1520</v>
      </c>
      <c r="G229" s="3243"/>
    </row>
    <row r="230" spans="1:7" s="3219" customFormat="1" ht="14.25" customHeight="1">
      <c r="A230" s="3230" t="s">
        <v>304</v>
      </c>
      <c r="B230" s="3230" t="s">
        <v>3103</v>
      </c>
      <c r="C230" s="3230"/>
      <c r="D230" s="3230"/>
      <c r="E230" s="3230"/>
      <c r="F230" s="3230">
        <v>1820</v>
      </c>
      <c r="G230" s="3243"/>
    </row>
    <row r="231" spans="1:7" s="3219" customFormat="1" ht="14.25" customHeight="1">
      <c r="A231" s="3230" t="s">
        <v>304</v>
      </c>
      <c r="B231" s="3230" t="s">
        <v>3104</v>
      </c>
      <c r="C231" s="3230"/>
      <c r="D231" s="3230"/>
      <c r="E231" s="3230"/>
      <c r="F231" s="3230">
        <v>1760</v>
      </c>
      <c r="G231" s="3243"/>
    </row>
    <row r="232" spans="1:7" s="3219" customFormat="1" ht="14.25" customHeight="1">
      <c r="A232" s="3230" t="s">
        <v>304</v>
      </c>
      <c r="B232" s="3230" t="s">
        <v>3105</v>
      </c>
      <c r="C232" s="3230"/>
      <c r="D232" s="3230"/>
      <c r="E232" s="3230"/>
      <c r="F232" s="3230">
        <v>1840</v>
      </c>
      <c r="G232" s="3243"/>
    </row>
    <row r="233" spans="1:7" s="3219" customFormat="1" ht="14.25" customHeight="1" thickBot="1">
      <c r="A233" s="3244" t="s">
        <v>304</v>
      </c>
      <c r="B233" s="3237" t="s">
        <v>3036</v>
      </c>
      <c r="C233" s="3237"/>
      <c r="D233" s="3237"/>
      <c r="E233" s="3237"/>
      <c r="F233" s="3237">
        <v>1770</v>
      </c>
      <c r="G233" s="3245"/>
    </row>
    <row r="234" spans="1:7" s="3219" customFormat="1" ht="14.25" customHeight="1">
      <c r="A234" s="3235" t="s">
        <v>305</v>
      </c>
      <c r="B234" s="3226" t="s">
        <v>3106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2877</v>
      </c>
      <c r="C238" s="3230">
        <v>6920</v>
      </c>
      <c r="D238" s="3230">
        <v>6890</v>
      </c>
      <c r="E238" s="3230">
        <v>8640</v>
      </c>
      <c r="F238" s="3230">
        <v>1310</v>
      </c>
      <c r="G238" s="3230">
        <v>4230</v>
      </c>
    </row>
    <row r="239" spans="1:7" s="3219" customFormat="1" ht="14.25" customHeight="1">
      <c r="A239" s="3230" t="s">
        <v>305</v>
      </c>
      <c r="B239" s="3230" t="s">
        <v>3107</v>
      </c>
      <c r="C239" s="3230">
        <v>6780</v>
      </c>
      <c r="D239" s="3230">
        <v>6750</v>
      </c>
      <c r="E239" s="3230">
        <v>8440</v>
      </c>
      <c r="F239" s="3230">
        <v>1160</v>
      </c>
      <c r="G239" s="3230">
        <v>4140</v>
      </c>
    </row>
    <row r="240" spans="1:7" s="3219" customFormat="1" ht="14.25" customHeight="1">
      <c r="A240" s="3230" t="s">
        <v>305</v>
      </c>
      <c r="B240" s="3230" t="s">
        <v>3108</v>
      </c>
      <c r="C240" s="3230">
        <v>5420</v>
      </c>
      <c r="D240" s="3230">
        <v>5380</v>
      </c>
      <c r="E240" s="3230">
        <v>6640</v>
      </c>
      <c r="F240" s="3230">
        <v>1020</v>
      </c>
      <c r="G240" s="3230">
        <v>3300</v>
      </c>
    </row>
    <row r="241" spans="1:7" s="3219" customFormat="1" ht="14.25" customHeight="1">
      <c r="A241" s="3230" t="s">
        <v>305</v>
      </c>
      <c r="B241" s="3230" t="s">
        <v>3109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2939</v>
      </c>
      <c r="C258" s="3230">
        <v>6190</v>
      </c>
      <c r="D258" s="3230">
        <v>6160</v>
      </c>
      <c r="E258" s="3230">
        <v>7680</v>
      </c>
      <c r="F258" s="3230">
        <v>1170</v>
      </c>
      <c r="G258" s="3230">
        <v>3780</v>
      </c>
    </row>
    <row r="259" spans="1:7" s="3219" customFormat="1" ht="14.25" customHeight="1">
      <c r="A259" s="3230" t="s">
        <v>305</v>
      </c>
      <c r="B259" s="3230" t="s">
        <v>3115</v>
      </c>
      <c r="C259" s="3230">
        <v>7610</v>
      </c>
      <c r="D259" s="3230">
        <v>7570</v>
      </c>
      <c r="E259" s="3230">
        <v>9350</v>
      </c>
      <c r="F259" s="3230">
        <v>1350</v>
      </c>
      <c r="G259" s="3230">
        <v>4650</v>
      </c>
    </row>
    <row r="260" spans="1:7" s="3219" customFormat="1" ht="14.25" customHeight="1">
      <c r="A260" s="3230" t="s">
        <v>305</v>
      </c>
      <c r="B260" s="3230" t="s">
        <v>3116</v>
      </c>
      <c r="C260" s="3230">
        <v>6920</v>
      </c>
      <c r="D260" s="3230">
        <v>6880</v>
      </c>
      <c r="E260" s="3230">
        <v>8380</v>
      </c>
      <c r="F260" s="3230">
        <v>1160</v>
      </c>
      <c r="G260" s="3230">
        <v>4220</v>
      </c>
    </row>
    <row r="261" spans="1:7" s="3219" customFormat="1" ht="14.25" customHeight="1">
      <c r="A261" s="3230" t="s">
        <v>305</v>
      </c>
      <c r="B261" s="3230" t="s">
        <v>3117</v>
      </c>
      <c r="C261" s="3230">
        <v>6850</v>
      </c>
      <c r="D261" s="3230">
        <v>6810</v>
      </c>
      <c r="E261" s="3230">
        <v>8290</v>
      </c>
      <c r="F261" s="3230">
        <v>1130</v>
      </c>
      <c r="G261" s="3230">
        <v>4180</v>
      </c>
    </row>
    <row r="262" spans="1:7" s="3219" customFormat="1" ht="14.25" customHeight="1">
      <c r="A262" s="3230" t="s">
        <v>305</v>
      </c>
      <c r="B262" s="3230" t="s">
        <v>3118</v>
      </c>
      <c r="C262" s="3230">
        <v>5860</v>
      </c>
      <c r="D262" s="3230">
        <v>5820</v>
      </c>
      <c r="E262" s="3230">
        <v>7640</v>
      </c>
      <c r="F262" s="3230">
        <v>1070</v>
      </c>
      <c r="G262" s="3230">
        <v>3570</v>
      </c>
    </row>
    <row r="263" spans="1:7" s="3219" customFormat="1" ht="14.25" customHeight="1">
      <c r="A263" s="3230" t="s">
        <v>305</v>
      </c>
      <c r="B263" s="3230" t="s">
        <v>3119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3120</v>
      </c>
      <c r="C265" s="3230"/>
      <c r="D265" s="3230"/>
      <c r="E265" s="3230"/>
      <c r="F265" s="3230">
        <v>1500</v>
      </c>
      <c r="G265" s="3230"/>
    </row>
    <row r="266" spans="1:7" s="3219" customFormat="1" ht="14.25" customHeight="1">
      <c r="A266" s="3230" t="s">
        <v>305</v>
      </c>
      <c r="B266" s="3230" t="s">
        <v>3121</v>
      </c>
      <c r="C266" s="3230"/>
      <c r="D266" s="3230"/>
      <c r="E266" s="3230"/>
      <c r="F266" s="3230">
        <v>1500</v>
      </c>
      <c r="G266" s="3230"/>
    </row>
    <row r="267" spans="1:7" s="3219" customFormat="1" ht="14.25" customHeight="1">
      <c r="A267" s="3230" t="s">
        <v>305</v>
      </c>
      <c r="B267" s="3230" t="s">
        <v>3122</v>
      </c>
      <c r="C267" s="3230"/>
      <c r="D267" s="3230"/>
      <c r="E267" s="3230"/>
      <c r="F267" s="3230">
        <v>1500</v>
      </c>
      <c r="G267" s="3230"/>
    </row>
    <row r="268" spans="1:7" s="3219" customFormat="1" ht="14.25" customHeight="1">
      <c r="A268" s="3230" t="s">
        <v>305</v>
      </c>
      <c r="B268" s="3230" t="s">
        <v>3123</v>
      </c>
      <c r="C268" s="3230"/>
      <c r="D268" s="3230"/>
      <c r="E268" s="3230"/>
      <c r="F268" s="3230">
        <v>1290</v>
      </c>
      <c r="G268" s="3230"/>
    </row>
    <row r="269" spans="1:7" s="3219" customFormat="1" ht="14.25" customHeight="1">
      <c r="A269" s="3230" t="s">
        <v>305</v>
      </c>
      <c r="B269" s="3230" t="s">
        <v>3124</v>
      </c>
      <c r="C269" s="3230"/>
      <c r="D269" s="3230"/>
      <c r="E269" s="3230"/>
      <c r="F269" s="3230">
        <v>1150</v>
      </c>
      <c r="G269" s="3230"/>
    </row>
    <row r="270" spans="1:7" s="3219" customFormat="1" ht="14.25" customHeight="1">
      <c r="A270" s="3230" t="s">
        <v>305</v>
      </c>
      <c r="B270" s="3230" t="s">
        <v>3125</v>
      </c>
      <c r="C270" s="3230"/>
      <c r="D270" s="3230"/>
      <c r="E270" s="3230"/>
      <c r="F270" s="3230">
        <v>1380</v>
      </c>
      <c r="G270" s="3230"/>
    </row>
    <row r="271" spans="1:7" s="3219" customFormat="1" ht="14.25" customHeight="1">
      <c r="A271" s="3230" t="s">
        <v>305</v>
      </c>
      <c r="B271" s="3230" t="s">
        <v>3126</v>
      </c>
      <c r="C271" s="3230"/>
      <c r="D271" s="3230"/>
      <c r="E271" s="3230"/>
      <c r="F271" s="3230">
        <v>1460</v>
      </c>
      <c r="G271" s="3230"/>
    </row>
    <row r="272" spans="1:7" s="3219" customFormat="1" ht="14.25" customHeight="1">
      <c r="A272" s="3230" t="s">
        <v>305</v>
      </c>
      <c r="B272" s="3230" t="s">
        <v>3127</v>
      </c>
      <c r="C272" s="3230"/>
      <c r="D272" s="3230"/>
      <c r="E272" s="3230"/>
      <c r="F272" s="3230">
        <v>1460</v>
      </c>
      <c r="G272" s="3230"/>
    </row>
    <row r="273" spans="1:7" s="3219" customFormat="1" ht="14.25" customHeight="1">
      <c r="A273" s="3230" t="s">
        <v>305</v>
      </c>
      <c r="B273" s="3230" t="s">
        <v>3020</v>
      </c>
      <c r="C273" s="3230"/>
      <c r="D273" s="3230"/>
      <c r="E273" s="3230"/>
      <c r="F273" s="3230">
        <v>1490</v>
      </c>
      <c r="G273" s="3230"/>
    </row>
    <row r="274" spans="1:7" s="3219" customFormat="1" ht="14.25" customHeight="1">
      <c r="A274" s="3230" t="s">
        <v>305</v>
      </c>
      <c r="B274" s="3230" t="s">
        <v>3128</v>
      </c>
      <c r="C274" s="3230"/>
      <c r="D274" s="3230"/>
      <c r="E274" s="3230"/>
      <c r="F274" s="3230">
        <v>1490</v>
      </c>
      <c r="G274" s="3230"/>
    </row>
    <row r="275" spans="1:7" s="3219" customFormat="1" ht="14.25" customHeight="1">
      <c r="A275" s="3230" t="s">
        <v>305</v>
      </c>
      <c r="B275" s="3230" t="s">
        <v>3129</v>
      </c>
      <c r="C275" s="3230"/>
      <c r="D275" s="3230"/>
      <c r="E275" s="3230"/>
      <c r="F275" s="3230">
        <v>1220</v>
      </c>
      <c r="G275" s="3230"/>
    </row>
    <row r="276" spans="1:7" s="3219" customFormat="1" ht="14.25" customHeight="1" thickBot="1">
      <c r="A276" s="3238" t="s">
        <v>305</v>
      </c>
      <c r="B276" s="3240" t="s">
        <v>3130</v>
      </c>
      <c r="C276" s="3241"/>
      <c r="D276" s="3241"/>
      <c r="E276" s="3241"/>
      <c r="F276" s="3241">
        <v>1380</v>
      </c>
      <c r="G276" s="3241"/>
    </row>
    <row r="277" spans="1:7" s="3219" customFormat="1" ht="14.25" customHeight="1">
      <c r="A277" s="3235" t="s">
        <v>306</v>
      </c>
      <c r="B277" s="3226" t="s">
        <v>3131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3132</v>
      </c>
      <c r="C279" s="3230">
        <v>4760</v>
      </c>
      <c r="D279" s="3230">
        <v>4720</v>
      </c>
      <c r="E279" s="3230">
        <v>5540</v>
      </c>
      <c r="F279" s="3230">
        <v>810</v>
      </c>
      <c r="G279" s="3243">
        <v>2850</v>
      </c>
    </row>
    <row r="280" spans="1:7" s="3219" customFormat="1" ht="14.25" customHeight="1">
      <c r="A280" s="3230" t="s">
        <v>306</v>
      </c>
      <c r="B280" s="3230" t="s">
        <v>3133</v>
      </c>
      <c r="C280" s="3230">
        <v>4010</v>
      </c>
      <c r="D280" s="3230">
        <v>3950</v>
      </c>
      <c r="E280" s="3230">
        <v>4710</v>
      </c>
      <c r="F280" s="3230">
        <v>800</v>
      </c>
      <c r="G280" s="3243">
        <v>2390</v>
      </c>
    </row>
    <row r="281" spans="1:7" s="3219" customFormat="1" ht="14.25" customHeight="1">
      <c r="A281" s="3230" t="s">
        <v>306</v>
      </c>
      <c r="B281" s="3230" t="s">
        <v>3134</v>
      </c>
      <c r="C281" s="3230">
        <v>4480</v>
      </c>
      <c r="D281" s="3230">
        <v>4420</v>
      </c>
      <c r="E281" s="3230">
        <v>5230</v>
      </c>
      <c r="F281" s="3230">
        <v>870</v>
      </c>
      <c r="G281" s="3243">
        <v>2660</v>
      </c>
    </row>
    <row r="282" spans="1:7" s="3219" customFormat="1" ht="14.25" customHeight="1">
      <c r="A282" s="3230" t="s">
        <v>306</v>
      </c>
      <c r="B282" s="3230" t="s">
        <v>3135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2912</v>
      </c>
      <c r="C293" s="3230">
        <v>5320</v>
      </c>
      <c r="D293" s="3230">
        <v>5270</v>
      </c>
      <c r="E293" s="3230">
        <v>6160</v>
      </c>
      <c r="F293" s="3230">
        <v>990</v>
      </c>
      <c r="G293" s="3243">
        <v>3170</v>
      </c>
    </row>
    <row r="294" spans="1:7" s="3219" customFormat="1" ht="14.25" customHeight="1">
      <c r="A294" s="3230" t="s">
        <v>306</v>
      </c>
      <c r="B294" s="3230" t="s">
        <v>3138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3139</v>
      </c>
      <c r="C302" s="3230">
        <v>5520</v>
      </c>
      <c r="D302" s="3230">
        <v>5470</v>
      </c>
      <c r="E302" s="3230">
        <v>6410</v>
      </c>
      <c r="F302" s="3230">
        <v>950</v>
      </c>
      <c r="G302" s="3243">
        <v>3300</v>
      </c>
    </row>
    <row r="303" spans="1:7" s="3219" customFormat="1" ht="14.25" customHeight="1">
      <c r="A303" s="3230" t="s">
        <v>306</v>
      </c>
      <c r="B303" s="3230" t="s">
        <v>2951</v>
      </c>
      <c r="C303" s="3230">
        <v>5630</v>
      </c>
      <c r="D303" s="3230">
        <v>5590</v>
      </c>
      <c r="E303" s="3230">
        <v>6550</v>
      </c>
      <c r="F303" s="3230">
        <v>1010</v>
      </c>
      <c r="G303" s="3243">
        <v>3370</v>
      </c>
    </row>
    <row r="304" spans="1:7" s="3219" customFormat="1" ht="14.25" customHeight="1">
      <c r="A304" s="3230" t="s">
        <v>306</v>
      </c>
      <c r="B304" s="3230" t="s">
        <v>2958</v>
      </c>
      <c r="C304" s="3230">
        <v>5680</v>
      </c>
      <c r="D304" s="3230">
        <v>5620</v>
      </c>
      <c r="E304" s="3230">
        <v>6620</v>
      </c>
      <c r="F304" s="3230">
        <v>1050</v>
      </c>
      <c r="G304" s="3243">
        <v>3390</v>
      </c>
    </row>
    <row r="305" spans="1:7" s="3219" customFormat="1" ht="14.25" customHeight="1">
      <c r="A305" s="3230" t="s">
        <v>306</v>
      </c>
      <c r="B305" s="3230" t="s">
        <v>2964</v>
      </c>
      <c r="C305" s="3230">
        <v>5590</v>
      </c>
      <c r="D305" s="3230">
        <v>5530</v>
      </c>
      <c r="E305" s="3230">
        <v>6460</v>
      </c>
      <c r="F305" s="3230">
        <v>900</v>
      </c>
      <c r="G305" s="3243">
        <v>3340</v>
      </c>
    </row>
    <row r="306" spans="1:7" s="3219" customFormat="1" ht="14.25" customHeight="1">
      <c r="A306" s="3230" t="s">
        <v>306</v>
      </c>
      <c r="B306" s="3230" t="s">
        <v>3140</v>
      </c>
      <c r="C306" s="3230">
        <v>5560</v>
      </c>
      <c r="D306" s="3230">
        <v>5510</v>
      </c>
      <c r="E306" s="3230">
        <v>6440</v>
      </c>
      <c r="F306" s="3230">
        <v>900</v>
      </c>
      <c r="G306" s="3243">
        <v>3320</v>
      </c>
    </row>
    <row r="307" spans="1:7" s="3219" customFormat="1" ht="14.25" customHeight="1">
      <c r="A307" s="3230" t="s">
        <v>306</v>
      </c>
      <c r="B307" s="3230" t="s">
        <v>2976</v>
      </c>
      <c r="C307" s="3230">
        <v>5650</v>
      </c>
      <c r="D307" s="3230">
        <v>5600</v>
      </c>
      <c r="E307" s="3230">
        <v>6590</v>
      </c>
      <c r="F307" s="3230">
        <v>930</v>
      </c>
      <c r="G307" s="3243">
        <v>3380</v>
      </c>
    </row>
    <row r="308" spans="1:7" s="3219" customFormat="1" ht="14.25" customHeight="1">
      <c r="A308" s="3230" t="s">
        <v>306</v>
      </c>
      <c r="B308" s="3230" t="s">
        <v>3141</v>
      </c>
      <c r="C308" s="3230">
        <v>5620</v>
      </c>
      <c r="D308" s="3230">
        <v>5580</v>
      </c>
      <c r="E308" s="3230">
        <v>6540</v>
      </c>
      <c r="F308" s="3230">
        <v>910</v>
      </c>
      <c r="G308" s="3243">
        <v>3370</v>
      </c>
    </row>
    <row r="309" spans="1:7" s="3219" customFormat="1" ht="14.25" customHeight="1">
      <c r="A309" s="3230" t="s">
        <v>306</v>
      </c>
      <c r="B309" s="3230" t="s">
        <v>3142</v>
      </c>
      <c r="C309" s="3230">
        <v>5060</v>
      </c>
      <c r="D309" s="3230">
        <v>5020</v>
      </c>
      <c r="E309" s="3230">
        <v>6370</v>
      </c>
      <c r="F309" s="3230">
        <v>800</v>
      </c>
      <c r="G309" s="3243">
        <v>3020</v>
      </c>
    </row>
    <row r="310" spans="1:7" s="3219" customFormat="1" ht="14.25" customHeight="1">
      <c r="A310" s="3230" t="s">
        <v>306</v>
      </c>
      <c r="B310" s="3230" t="s">
        <v>2991</v>
      </c>
      <c r="C310" s="3230">
        <v>5150</v>
      </c>
      <c r="D310" s="3230">
        <v>5110</v>
      </c>
      <c r="E310" s="3230">
        <v>6500</v>
      </c>
      <c r="F310" s="3230">
        <v>880</v>
      </c>
      <c r="G310" s="3243">
        <v>3080</v>
      </c>
    </row>
    <row r="311" spans="1:7" s="3219" customFormat="1" ht="14.25" customHeight="1">
      <c r="A311" s="3230" t="s">
        <v>306</v>
      </c>
      <c r="B311" s="3230" t="s">
        <v>3143</v>
      </c>
      <c r="C311" s="3230">
        <v>4750</v>
      </c>
      <c r="D311" s="3230">
        <v>4710</v>
      </c>
      <c r="E311" s="3230">
        <v>5510</v>
      </c>
      <c r="F311" s="3230">
        <v>880</v>
      </c>
      <c r="G311" s="3243">
        <v>2840</v>
      </c>
    </row>
    <row r="312" spans="1:7" s="3219" customFormat="1" ht="14.25" customHeight="1">
      <c r="A312" s="3230" t="s">
        <v>306</v>
      </c>
      <c r="B312" s="3230" t="s">
        <v>3001</v>
      </c>
      <c r="C312" s="3230">
        <v>4690</v>
      </c>
      <c r="D312" s="3230">
        <v>4640</v>
      </c>
      <c r="E312" s="3230">
        <v>5420</v>
      </c>
      <c r="F312" s="3230">
        <v>800</v>
      </c>
      <c r="G312" s="3243">
        <v>2800</v>
      </c>
    </row>
    <row r="313" spans="1:7" s="3219" customFormat="1" ht="14.25" customHeight="1">
      <c r="A313" s="3230" t="s">
        <v>306</v>
      </c>
      <c r="B313" s="3230" t="s">
        <v>3006</v>
      </c>
      <c r="C313" s="3230">
        <v>4810</v>
      </c>
      <c r="D313" s="3230">
        <v>4760</v>
      </c>
      <c r="E313" s="3230">
        <v>5550</v>
      </c>
      <c r="F313" s="3230">
        <v>920</v>
      </c>
      <c r="G313" s="3243">
        <v>2870</v>
      </c>
    </row>
    <row r="314" spans="1:7" s="3219" customFormat="1" ht="14.25" customHeight="1">
      <c r="A314" s="3230" t="s">
        <v>306</v>
      </c>
      <c r="B314" s="3230" t="s">
        <v>3144</v>
      </c>
      <c r="C314" s="3230"/>
      <c r="D314" s="3230"/>
      <c r="E314" s="3230"/>
      <c r="F314" s="3230">
        <v>1020</v>
      </c>
      <c r="G314" s="3243"/>
    </row>
    <row r="315" spans="1:7" s="3219" customFormat="1" ht="14.25" customHeight="1">
      <c r="A315" s="3230" t="s">
        <v>306</v>
      </c>
      <c r="B315" s="3230" t="s">
        <v>3145</v>
      </c>
      <c r="C315" s="3230"/>
      <c r="D315" s="3230"/>
      <c r="E315" s="3230"/>
      <c r="F315" s="3230">
        <v>1050</v>
      </c>
      <c r="G315" s="3243"/>
    </row>
    <row r="316" spans="1:7" s="3219" customFormat="1" ht="14.25" customHeight="1">
      <c r="A316" s="3230" t="s">
        <v>306</v>
      </c>
      <c r="B316" s="3230" t="s">
        <v>3021</v>
      </c>
      <c r="C316" s="3230"/>
      <c r="D316" s="3230"/>
      <c r="E316" s="3230"/>
      <c r="F316" s="3230">
        <v>900</v>
      </c>
      <c r="G316" s="3243"/>
    </row>
    <row r="317" spans="1:7" s="3219" customFormat="1" ht="14.25" customHeight="1">
      <c r="A317" s="3230" t="s">
        <v>306</v>
      </c>
      <c r="B317" s="3230" t="s">
        <v>3146</v>
      </c>
      <c r="C317" s="3230"/>
      <c r="D317" s="3230"/>
      <c r="E317" s="3230"/>
      <c r="F317" s="3230">
        <v>920</v>
      </c>
      <c r="G317" s="3243"/>
    </row>
    <row r="318" spans="1:7" s="3219" customFormat="1" ht="14.25" customHeight="1">
      <c r="A318" s="3230" t="s">
        <v>306</v>
      </c>
      <c r="B318" s="3230" t="s">
        <v>3147</v>
      </c>
      <c r="C318" s="3230"/>
      <c r="D318" s="3230"/>
      <c r="E318" s="3230"/>
      <c r="F318" s="3230">
        <v>1080</v>
      </c>
      <c r="G318" s="3243"/>
    </row>
    <row r="319" spans="1:7" s="3219" customFormat="1" ht="14.25" customHeight="1">
      <c r="A319" s="3230" t="s">
        <v>306</v>
      </c>
      <c r="B319" s="3230" t="s">
        <v>3034</v>
      </c>
      <c r="C319" s="3230"/>
      <c r="D319" s="3230"/>
      <c r="E319" s="3230"/>
      <c r="F319" s="3230">
        <v>1020</v>
      </c>
      <c r="G319" s="3243"/>
    </row>
    <row r="320" spans="1:7" s="3219" customFormat="1" ht="14.25" customHeight="1">
      <c r="A320" s="3230" t="s">
        <v>306</v>
      </c>
      <c r="B320" s="3230" t="s">
        <v>3037</v>
      </c>
      <c r="C320" s="3230"/>
      <c r="D320" s="3230"/>
      <c r="E320" s="3230"/>
      <c r="F320" s="3230">
        <v>1050</v>
      </c>
      <c r="G320" s="3243"/>
    </row>
    <row r="321" spans="1:7" s="3219" customFormat="1" ht="14.25" customHeight="1">
      <c r="A321" s="3230" t="s">
        <v>306</v>
      </c>
      <c r="B321" s="3230" t="s">
        <v>3039</v>
      </c>
      <c r="C321" s="3230"/>
      <c r="D321" s="3230"/>
      <c r="E321" s="3230"/>
      <c r="F321" s="3230">
        <v>960</v>
      </c>
      <c r="G321" s="3243"/>
    </row>
    <row r="322" spans="1:7" s="3219" customFormat="1" ht="14.25" customHeight="1">
      <c r="A322" s="3230" t="s">
        <v>306</v>
      </c>
      <c r="B322" s="3230" t="s">
        <v>3041</v>
      </c>
      <c r="C322" s="3230"/>
      <c r="D322" s="3230"/>
      <c r="E322" s="3230"/>
      <c r="F322" s="3230">
        <v>960</v>
      </c>
      <c r="G322" s="3243"/>
    </row>
    <row r="323" spans="1:7" s="3219" customFormat="1" ht="14.25" customHeight="1">
      <c r="A323" s="3230" t="s">
        <v>306</v>
      </c>
      <c r="B323" s="3230" t="s">
        <v>3043</v>
      </c>
      <c r="C323" s="3230"/>
      <c r="D323" s="3230"/>
      <c r="E323" s="3230"/>
      <c r="F323" s="3230">
        <v>880</v>
      </c>
      <c r="G323" s="3243"/>
    </row>
    <row r="324" spans="1:7" s="3219" customFormat="1" ht="14.25" customHeight="1">
      <c r="A324" s="3230" t="s">
        <v>306</v>
      </c>
      <c r="B324" s="3230" t="s">
        <v>3045</v>
      </c>
      <c r="C324" s="3230"/>
      <c r="D324" s="3230"/>
      <c r="E324" s="3230"/>
      <c r="F324" s="3230">
        <v>930</v>
      </c>
      <c r="G324" s="3243"/>
    </row>
    <row r="325" spans="1:7" s="3219" customFormat="1" ht="14.25" customHeight="1">
      <c r="A325" s="3230" t="s">
        <v>306</v>
      </c>
      <c r="B325" s="3231" t="s">
        <v>3047</v>
      </c>
      <c r="C325" s="3230"/>
      <c r="D325" s="3230"/>
      <c r="E325" s="3230"/>
      <c r="F325" s="3230">
        <v>900</v>
      </c>
      <c r="G325" s="3243"/>
    </row>
    <row r="326" spans="1:7" s="3219" customFormat="1" ht="14.25" customHeight="1" thickBot="1">
      <c r="A326" s="3244" t="s">
        <v>306</v>
      </c>
      <c r="B326" s="3237" t="s">
        <v>3049</v>
      </c>
      <c r="C326" s="3237"/>
      <c r="D326" s="3237"/>
      <c r="E326" s="3237"/>
      <c r="F326" s="3237">
        <v>790</v>
      </c>
      <c r="G326" s="3245"/>
    </row>
    <row r="327" spans="1:7" s="3219" customFormat="1" ht="14.25" customHeight="1">
      <c r="A327" s="3235" t="s">
        <v>307</v>
      </c>
      <c r="B327" s="3226" t="s">
        <v>3148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3149</v>
      </c>
      <c r="C329" s="3230">
        <v>2730</v>
      </c>
      <c r="D329" s="3230">
        <v>2690</v>
      </c>
      <c r="E329" s="3230">
        <v>3100</v>
      </c>
      <c r="F329" s="3230">
        <v>660</v>
      </c>
      <c r="G329" s="3230">
        <v>1610</v>
      </c>
    </row>
    <row r="330" spans="1:7" s="3219" customFormat="1" ht="14.25" customHeight="1">
      <c r="A330" s="3230" t="s">
        <v>307</v>
      </c>
      <c r="B330" s="3230" t="s">
        <v>3150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2883</v>
      </c>
      <c r="C332" s="3230">
        <v>3520</v>
      </c>
      <c r="D332" s="3230">
        <v>3480</v>
      </c>
      <c r="E332" s="3230">
        <v>3830</v>
      </c>
      <c r="F332" s="3230">
        <v>720</v>
      </c>
      <c r="G332" s="3230">
        <v>2090</v>
      </c>
    </row>
    <row r="333" spans="1:7" s="3219" customFormat="1" ht="14.25" customHeight="1">
      <c r="A333" s="3230" t="s">
        <v>307</v>
      </c>
      <c r="B333" s="3230" t="s">
        <v>3151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2893</v>
      </c>
      <c r="C336" s="3230">
        <v>3570</v>
      </c>
      <c r="D336" s="3230">
        <v>3530</v>
      </c>
      <c r="E336" s="3230">
        <v>3880</v>
      </c>
      <c r="F336" s="3230">
        <v>770</v>
      </c>
      <c r="G336" s="3230">
        <v>2110</v>
      </c>
    </row>
    <row r="337" spans="1:10" s="3219" customFormat="1" ht="14.25" customHeight="1">
      <c r="A337" s="3230" t="s">
        <v>307</v>
      </c>
      <c r="B337" s="3230" t="s">
        <v>3152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2918</v>
      </c>
      <c r="C345" s="3230">
        <v>3190</v>
      </c>
      <c r="D345" s="3230">
        <v>3140</v>
      </c>
      <c r="E345" s="3230">
        <v>3450</v>
      </c>
      <c r="F345" s="3230">
        <v>720</v>
      </c>
      <c r="G345" s="3230">
        <v>1880</v>
      </c>
      <c r="J345" s="3219"/>
    </row>
    <row r="346" spans="1:10">
      <c r="A346" s="3230" t="s">
        <v>307</v>
      </c>
      <c r="B346" s="3230" t="s">
        <v>3155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2927</v>
      </c>
      <c r="C348" s="3230">
        <v>4000</v>
      </c>
      <c r="D348" s="3230">
        <v>3950</v>
      </c>
      <c r="E348" s="3230">
        <v>4430</v>
      </c>
      <c r="F348" s="3230">
        <v>760</v>
      </c>
      <c r="G348" s="3230">
        <v>2360</v>
      </c>
      <c r="J348" s="3219"/>
    </row>
    <row r="349" spans="1:10">
      <c r="A349" s="3230" t="s">
        <v>307</v>
      </c>
      <c r="B349" s="3230" t="s">
        <v>2932</v>
      </c>
      <c r="C349" s="3230">
        <v>3820</v>
      </c>
      <c r="D349" s="3230">
        <v>3780</v>
      </c>
      <c r="E349" s="3230">
        <v>4170</v>
      </c>
      <c r="F349" s="3230">
        <v>710</v>
      </c>
      <c r="G349" s="3230">
        <v>2260</v>
      </c>
      <c r="J349" s="3219"/>
    </row>
    <row r="350" spans="1:10">
      <c r="A350" s="3230" t="s">
        <v>307</v>
      </c>
      <c r="B350" s="3230" t="s">
        <v>3156</v>
      </c>
      <c r="C350" s="3230">
        <v>3760</v>
      </c>
      <c r="D350" s="3230">
        <v>3730</v>
      </c>
      <c r="E350" s="3230">
        <v>4100</v>
      </c>
      <c r="F350" s="3230">
        <v>800</v>
      </c>
      <c r="G350" s="3230">
        <v>2230</v>
      </c>
      <c r="J350" s="3219"/>
    </row>
    <row r="351" spans="1:10">
      <c r="A351" s="3230" t="s">
        <v>307</v>
      </c>
      <c r="B351" s="3230" t="s">
        <v>2940</v>
      </c>
      <c r="C351" s="3230">
        <v>3610</v>
      </c>
      <c r="D351" s="3230">
        <v>3580</v>
      </c>
      <c r="E351" s="3230">
        <v>3930</v>
      </c>
      <c r="F351" s="3230">
        <v>700</v>
      </c>
      <c r="G351" s="3230">
        <v>2140</v>
      </c>
      <c r="J351" s="3219"/>
    </row>
    <row r="352" spans="1:10">
      <c r="A352" s="3230" t="s">
        <v>307</v>
      </c>
      <c r="B352" s="3230" t="s">
        <v>2945</v>
      </c>
      <c r="C352" s="3230">
        <v>3670</v>
      </c>
      <c r="D352" s="3230">
        <v>3630</v>
      </c>
      <c r="E352" s="3230">
        <v>4000</v>
      </c>
      <c r="F352" s="3230">
        <v>750</v>
      </c>
      <c r="G352" s="3230">
        <v>2180</v>
      </c>
    </row>
    <row r="353" spans="1:7" s="3223" customFormat="1">
      <c r="A353" s="3230" t="s">
        <v>307</v>
      </c>
      <c r="B353" s="3230" t="s">
        <v>3157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2965</v>
      </c>
      <c r="C355" s="3230">
        <v>3650</v>
      </c>
      <c r="D355" s="3230">
        <v>3610</v>
      </c>
      <c r="E355" s="3230">
        <v>4200</v>
      </c>
      <c r="F355" s="3230">
        <v>640</v>
      </c>
      <c r="G355" s="3230">
        <v>2160</v>
      </c>
    </row>
    <row r="356" spans="1:7" s="3223" customFormat="1">
      <c r="A356" s="3230" t="s">
        <v>307</v>
      </c>
      <c r="B356" s="3230" t="s">
        <v>2972</v>
      </c>
      <c r="C356" s="3230">
        <v>3260</v>
      </c>
      <c r="D356" s="3230">
        <v>3230</v>
      </c>
      <c r="E356" s="3230">
        <v>3740</v>
      </c>
      <c r="F356" s="3230">
        <v>600</v>
      </c>
      <c r="G356" s="3230">
        <v>1930</v>
      </c>
    </row>
    <row r="357" spans="1:7" s="3223" customFormat="1" ht="12" thickBot="1">
      <c r="A357" s="3238" t="s">
        <v>307</v>
      </c>
      <c r="B357" s="3241" t="s">
        <v>3158</v>
      </c>
      <c r="C357" s="3241">
        <v>3690</v>
      </c>
      <c r="D357" s="3241">
        <v>3650</v>
      </c>
      <c r="E357" s="3241">
        <v>4020</v>
      </c>
      <c r="F357" s="3241">
        <v>700</v>
      </c>
      <c r="G357" s="3241">
        <v>2190</v>
      </c>
    </row>
    <row r="358" spans="1:7" s="3223" customFormat="1">
      <c r="A358" s="3235" t="s">
        <v>3159</v>
      </c>
      <c r="B358" s="3226" t="s">
        <v>3160</v>
      </c>
      <c r="C358" s="3226">
        <v>2080</v>
      </c>
      <c r="D358" s="3226">
        <v>2040</v>
      </c>
      <c r="E358" s="3226">
        <v>2010</v>
      </c>
      <c r="F358" s="3226">
        <v>530</v>
      </c>
      <c r="G358" s="3242">
        <v>1230</v>
      </c>
    </row>
    <row r="359" spans="1:7" s="3223" customFormat="1">
      <c r="A359" s="3230" t="s">
        <v>3159</v>
      </c>
      <c r="B359" s="3230" t="s">
        <v>3161</v>
      </c>
      <c r="C359" s="3230">
        <v>1850</v>
      </c>
      <c r="D359" s="3230">
        <v>1820</v>
      </c>
      <c r="E359" s="3230">
        <v>1780</v>
      </c>
      <c r="F359" s="3230">
        <v>520</v>
      </c>
      <c r="G359" s="3243">
        <v>1100</v>
      </c>
    </row>
    <row r="360" spans="1:7" s="3223" customFormat="1">
      <c r="A360" s="3230" t="s">
        <v>3159</v>
      </c>
      <c r="B360" s="3230" t="s">
        <v>3162</v>
      </c>
      <c r="C360" s="3230">
        <v>2020</v>
      </c>
      <c r="D360" s="3230">
        <v>1990</v>
      </c>
      <c r="E360" s="3230">
        <v>1950</v>
      </c>
      <c r="F360" s="3230">
        <v>500</v>
      </c>
      <c r="G360" s="3243">
        <v>1200</v>
      </c>
    </row>
    <row r="361" spans="1:7" s="3223" customFormat="1">
      <c r="A361" s="3230" t="s">
        <v>3159</v>
      </c>
      <c r="B361" s="3230" t="s">
        <v>153</v>
      </c>
      <c r="C361" s="3230">
        <v>2260</v>
      </c>
      <c r="D361" s="3230">
        <v>2220</v>
      </c>
      <c r="E361" s="3230">
        <v>2180</v>
      </c>
      <c r="F361" s="3230">
        <v>580</v>
      </c>
      <c r="G361" s="3243">
        <v>1340</v>
      </c>
    </row>
    <row r="362" spans="1:7" s="3223" customFormat="1">
      <c r="A362" s="3230" t="s">
        <v>3159</v>
      </c>
      <c r="B362" s="3230" t="s">
        <v>3163</v>
      </c>
      <c r="C362" s="3230">
        <v>2650</v>
      </c>
      <c r="D362" s="3230">
        <v>2610</v>
      </c>
      <c r="E362" s="3230">
        <v>2570</v>
      </c>
      <c r="F362" s="3230">
        <v>630</v>
      </c>
      <c r="G362" s="3243">
        <v>1570</v>
      </c>
    </row>
    <row r="363" spans="1:7" s="3223" customFormat="1">
      <c r="A363" s="3230" t="s">
        <v>3159</v>
      </c>
      <c r="B363" s="3230" t="s">
        <v>2884</v>
      </c>
      <c r="C363" s="3230">
        <v>2390</v>
      </c>
      <c r="D363" s="3230">
        <v>2360</v>
      </c>
      <c r="E363" s="3230">
        <v>2320</v>
      </c>
      <c r="F363" s="3230">
        <v>600</v>
      </c>
      <c r="G363" s="3243">
        <v>1420</v>
      </c>
    </row>
    <row r="364" spans="1:7" s="3223" customFormat="1">
      <c r="A364" s="3230" t="s">
        <v>3159</v>
      </c>
      <c r="B364" s="3230" t="s">
        <v>3164</v>
      </c>
      <c r="C364" s="3230">
        <v>2050</v>
      </c>
      <c r="D364" s="3230">
        <v>2030</v>
      </c>
      <c r="E364" s="3230">
        <v>1990</v>
      </c>
      <c r="F364" s="3230">
        <v>550</v>
      </c>
      <c r="G364" s="3243">
        <v>1220</v>
      </c>
    </row>
    <row r="365" spans="1:7" s="3223" customFormat="1">
      <c r="A365" s="3230" t="s">
        <v>3159</v>
      </c>
      <c r="B365" s="3230" t="s">
        <v>200</v>
      </c>
      <c r="C365" s="3230">
        <v>2140</v>
      </c>
      <c r="D365" s="3230">
        <v>2100</v>
      </c>
      <c r="E365" s="3230">
        <v>2060</v>
      </c>
      <c r="F365" s="3230">
        <v>540</v>
      </c>
      <c r="G365" s="3243">
        <v>1270</v>
      </c>
    </row>
    <row r="366" spans="1:7" s="3223" customFormat="1">
      <c r="A366" s="3230" t="s">
        <v>3159</v>
      </c>
      <c r="B366" s="3230" t="s">
        <v>2891</v>
      </c>
      <c r="C366" s="3230">
        <v>2410</v>
      </c>
      <c r="D366" s="3230">
        <v>2370</v>
      </c>
      <c r="E366" s="3230">
        <v>2330</v>
      </c>
      <c r="F366" s="3230">
        <v>570</v>
      </c>
      <c r="G366" s="3243">
        <v>1440</v>
      </c>
    </row>
    <row r="367" spans="1:7" s="3223" customFormat="1">
      <c r="A367" s="3230" t="s">
        <v>3159</v>
      </c>
      <c r="B367" s="3230" t="s">
        <v>3165</v>
      </c>
      <c r="C367" s="3230">
        <v>2300</v>
      </c>
      <c r="D367" s="3230">
        <v>2260</v>
      </c>
      <c r="E367" s="3230">
        <v>2220</v>
      </c>
      <c r="F367" s="3230">
        <v>560</v>
      </c>
      <c r="G367" s="3243">
        <v>1370</v>
      </c>
    </row>
    <row r="368" spans="1:7" s="3223" customFormat="1">
      <c r="A368" s="3230" t="s">
        <v>3159</v>
      </c>
      <c r="B368" s="3230" t="s">
        <v>3166</v>
      </c>
      <c r="C368" s="3230">
        <v>2430</v>
      </c>
      <c r="D368" s="3230">
        <v>2390</v>
      </c>
      <c r="E368" s="3230">
        <v>2350</v>
      </c>
      <c r="F368" s="3230">
        <v>570</v>
      </c>
      <c r="G368" s="3243">
        <v>1450</v>
      </c>
    </row>
    <row r="369" spans="1:7" s="3223" customFormat="1">
      <c r="A369" s="3230" t="s">
        <v>3159</v>
      </c>
      <c r="B369" s="3230" t="s">
        <v>214</v>
      </c>
      <c r="C369" s="3230">
        <v>2320</v>
      </c>
      <c r="D369" s="3230">
        <v>2290</v>
      </c>
      <c r="E369" s="3230">
        <v>2250</v>
      </c>
      <c r="F369" s="3230">
        <v>550</v>
      </c>
      <c r="G369" s="3243">
        <v>1380</v>
      </c>
    </row>
    <row r="370" spans="1:7" s="3223" customFormat="1">
      <c r="A370" s="3230" t="s">
        <v>3159</v>
      </c>
      <c r="B370" s="3230" t="s">
        <v>221</v>
      </c>
      <c r="C370" s="3230">
        <v>2190</v>
      </c>
      <c r="D370" s="3230">
        <v>2170</v>
      </c>
      <c r="E370" s="3230">
        <v>2130</v>
      </c>
      <c r="F370" s="3230">
        <v>530</v>
      </c>
      <c r="G370" s="3243">
        <v>1310</v>
      </c>
    </row>
    <row r="371" spans="1:7" s="3223" customFormat="1">
      <c r="A371" s="3230" t="s">
        <v>3159</v>
      </c>
      <c r="B371" s="3230" t="s">
        <v>229</v>
      </c>
      <c r="C371" s="3230">
        <v>2460</v>
      </c>
      <c r="D371" s="3230">
        <v>2420</v>
      </c>
      <c r="E371" s="3230">
        <v>2370</v>
      </c>
      <c r="F371" s="3230">
        <v>560</v>
      </c>
      <c r="G371" s="3243">
        <v>1470</v>
      </c>
    </row>
    <row r="372" spans="1:7" s="3223" customFormat="1">
      <c r="A372" s="3230" t="s">
        <v>3159</v>
      </c>
      <c r="B372" s="3230" t="s">
        <v>3167</v>
      </c>
      <c r="C372" s="3230">
        <v>2250</v>
      </c>
      <c r="D372" s="3230">
        <v>2210</v>
      </c>
      <c r="E372" s="3230">
        <v>2180</v>
      </c>
      <c r="F372" s="3230">
        <v>550</v>
      </c>
      <c r="G372" s="3243">
        <v>1340</v>
      </c>
    </row>
    <row r="373" spans="1:7" s="3223" customFormat="1">
      <c r="A373" s="3230" t="s">
        <v>3159</v>
      </c>
      <c r="B373" s="3230" t="s">
        <v>258</v>
      </c>
      <c r="C373" s="3230">
        <v>2210</v>
      </c>
      <c r="D373" s="3230">
        <v>2190</v>
      </c>
      <c r="E373" s="3230">
        <v>2150</v>
      </c>
      <c r="F373" s="3230">
        <v>530</v>
      </c>
      <c r="G373" s="3243">
        <v>1320</v>
      </c>
    </row>
    <row r="374" spans="1:7" s="3223" customFormat="1">
      <c r="A374" s="3230" t="s">
        <v>3159</v>
      </c>
      <c r="B374" s="3230" t="s">
        <v>266</v>
      </c>
      <c r="C374" s="3230">
        <v>2320</v>
      </c>
      <c r="D374" s="3230">
        <v>2280</v>
      </c>
      <c r="E374" s="3230">
        <v>2230</v>
      </c>
      <c r="F374" s="3230">
        <v>580</v>
      </c>
      <c r="G374" s="3243">
        <v>1380</v>
      </c>
    </row>
    <row r="375" spans="1:7" s="3223" customFormat="1">
      <c r="A375" s="3230" t="s">
        <v>3159</v>
      </c>
      <c r="B375" s="3230" t="s">
        <v>3168</v>
      </c>
      <c r="C375" s="3230">
        <v>2090</v>
      </c>
      <c r="D375" s="3230">
        <v>2050</v>
      </c>
      <c r="E375" s="3230">
        <v>2020</v>
      </c>
      <c r="F375" s="3230">
        <v>520</v>
      </c>
      <c r="G375" s="3243">
        <v>1240</v>
      </c>
    </row>
    <row r="376" spans="1:7" s="3223" customFormat="1">
      <c r="A376" s="3230" t="s">
        <v>3159</v>
      </c>
      <c r="B376" s="3230" t="s">
        <v>277</v>
      </c>
      <c r="C376" s="3230">
        <v>2010</v>
      </c>
      <c r="D376" s="3230">
        <v>1980</v>
      </c>
      <c r="E376" s="3230">
        <v>1940</v>
      </c>
      <c r="F376" s="3230">
        <v>540</v>
      </c>
      <c r="G376" s="3243">
        <v>1190</v>
      </c>
    </row>
    <row r="377" spans="1:7" s="3223" customFormat="1" ht="12" thickBot="1">
      <c r="A377" s="3238" t="s">
        <v>3159</v>
      </c>
      <c r="B377" s="3241" t="s">
        <v>2921</v>
      </c>
      <c r="C377" s="3241">
        <v>1930</v>
      </c>
      <c r="D377" s="3241">
        <v>1890</v>
      </c>
      <c r="E377" s="3241">
        <v>1860</v>
      </c>
      <c r="F377" s="3241">
        <v>530</v>
      </c>
      <c r="G377" s="3246">
        <v>1150</v>
      </c>
    </row>
    <row r="378" spans="1:7" s="3223" customFormat="1">
      <c r="A378" s="3247" t="s">
        <v>3169</v>
      </c>
      <c r="B378" s="3226" t="s">
        <v>3170</v>
      </c>
      <c r="C378" s="3226">
        <v>1520</v>
      </c>
      <c r="D378" s="3226">
        <v>1490</v>
      </c>
      <c r="E378" s="3226">
        <v>1460</v>
      </c>
      <c r="F378" s="3226">
        <v>460</v>
      </c>
      <c r="G378" s="3242">
        <v>940</v>
      </c>
    </row>
    <row r="379" spans="1:7" s="3223" customFormat="1">
      <c r="A379" s="3248" t="s">
        <v>3169</v>
      </c>
      <c r="B379" s="3230" t="s">
        <v>3171</v>
      </c>
      <c r="C379" s="3230">
        <v>1500</v>
      </c>
      <c r="D379" s="3230">
        <v>1470</v>
      </c>
      <c r="E379" s="3230">
        <v>1430</v>
      </c>
      <c r="F379" s="3230">
        <v>460</v>
      </c>
      <c r="G379" s="3243">
        <v>920</v>
      </c>
    </row>
    <row r="380" spans="1:7" s="3223" customFormat="1">
      <c r="A380" s="3248" t="s">
        <v>3169</v>
      </c>
      <c r="B380" s="3230" t="s">
        <v>3172</v>
      </c>
      <c r="C380" s="3230">
        <v>1620</v>
      </c>
      <c r="D380" s="3230">
        <v>1590</v>
      </c>
      <c r="E380" s="3230">
        <v>1560</v>
      </c>
      <c r="F380" s="3230">
        <v>480</v>
      </c>
      <c r="G380" s="3243">
        <v>1000</v>
      </c>
    </row>
    <row r="381" spans="1:7" s="3223" customFormat="1">
      <c r="A381" s="3248" t="s">
        <v>3169</v>
      </c>
      <c r="B381" s="3230" t="s">
        <v>3173</v>
      </c>
      <c r="C381" s="3230">
        <v>1460</v>
      </c>
      <c r="D381" s="3230">
        <v>1430</v>
      </c>
      <c r="E381" s="3230">
        <v>1390</v>
      </c>
      <c r="F381" s="3230">
        <v>450</v>
      </c>
      <c r="G381" s="3243">
        <v>900</v>
      </c>
    </row>
    <row r="382" spans="1:7" s="3223" customFormat="1">
      <c r="A382" s="3248" t="s">
        <v>3169</v>
      </c>
      <c r="B382" s="3230" t="s">
        <v>3174</v>
      </c>
      <c r="C382" s="3230">
        <v>1310</v>
      </c>
      <c r="D382" s="3230">
        <v>1280</v>
      </c>
      <c r="E382" s="3230">
        <v>1250</v>
      </c>
      <c r="F382" s="3230">
        <v>440</v>
      </c>
      <c r="G382" s="3243">
        <v>800</v>
      </c>
    </row>
    <row r="383" spans="1:7" s="3223" customFormat="1">
      <c r="A383" s="3248" t="s">
        <v>3169</v>
      </c>
      <c r="B383" s="3230" t="s">
        <v>3175</v>
      </c>
      <c r="C383" s="3230">
        <v>1260</v>
      </c>
      <c r="D383" s="3230">
        <v>1230</v>
      </c>
      <c r="E383" s="3230">
        <v>1200</v>
      </c>
      <c r="F383" s="3230">
        <v>420</v>
      </c>
      <c r="G383" s="3243">
        <v>770</v>
      </c>
    </row>
    <row r="384" spans="1:7" s="3223" customFormat="1" ht="12" thickBot="1">
      <c r="A384" s="3249" t="s">
        <v>3169</v>
      </c>
      <c r="B384" s="3237" t="s">
        <v>3176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30" t="s">
        <v>3177</v>
      </c>
      <c r="B1" s="3830"/>
    </row>
    <row r="2" spans="1:7" ht="14.25" thickBot="1">
      <c r="A2" s="3252"/>
      <c r="B2" s="3252"/>
    </row>
    <row r="3" spans="1:7" ht="14.25" thickBot="1">
      <c r="A3" s="3252"/>
      <c r="B3" s="3252"/>
      <c r="C3" s="3253" t="s">
        <v>2805</v>
      </c>
      <c r="D3" s="3253" t="s">
        <v>2863</v>
      </c>
      <c r="E3" s="3253" t="s">
        <v>2807</v>
      </c>
      <c r="F3" s="3253" t="s">
        <v>2864</v>
      </c>
      <c r="G3" s="3253" t="s">
        <v>2625</v>
      </c>
    </row>
    <row r="4" spans="1:7" ht="14.25" thickBot="1">
      <c r="A4" s="3254" t="s">
        <v>2862</v>
      </c>
      <c r="B4" s="3255" t="s">
        <v>2868</v>
      </c>
      <c r="C4" s="3253"/>
      <c r="D4" s="3253"/>
      <c r="E4" s="3253"/>
      <c r="F4" s="3253"/>
      <c r="G4" s="3253"/>
    </row>
    <row r="5" spans="1:7">
      <c r="A5" s="3256" t="s">
        <v>2836</v>
      </c>
      <c r="B5" s="3257" t="s">
        <v>2850</v>
      </c>
      <c r="C5" s="3258">
        <v>9.8000000000000004E-2</v>
      </c>
      <c r="D5" s="3258">
        <v>8.6999999999999994E-2</v>
      </c>
      <c r="E5" s="3258">
        <v>8.6999999999999994E-2</v>
      </c>
      <c r="F5" s="3258">
        <v>9.8000000000000004E-2</v>
      </c>
      <c r="G5" s="3259">
        <v>9.5000000000000001E-2</v>
      </c>
    </row>
    <row r="6" spans="1:7">
      <c r="A6" s="3260" t="s">
        <v>144</v>
      </c>
      <c r="B6" s="3261" t="s">
        <v>2865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2919</v>
      </c>
      <c r="C29" s="3270"/>
      <c r="D29" s="3266">
        <v>5.1999999999999998E-2</v>
      </c>
      <c r="E29" s="3266">
        <v>7.0000000000000007E-2</v>
      </c>
      <c r="F29" s="3270"/>
      <c r="G29" s="3268">
        <v>7.0999999999999994E-2</v>
      </c>
    </row>
    <row r="30" spans="1:7">
      <c r="A30" s="3271" t="s">
        <v>296</v>
      </c>
      <c r="B30" s="3257" t="s">
        <v>2852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2922</v>
      </c>
      <c r="C50" s="3262">
        <v>9.8000000000000004E-2</v>
      </c>
      <c r="D50" s="3262">
        <v>7.2999999999999995E-2</v>
      </c>
      <c r="E50" s="3262">
        <v>7.0999999999999994E-2</v>
      </c>
      <c r="F50" s="3273"/>
      <c r="G50" s="3263">
        <v>7.2999999999999995E-2</v>
      </c>
    </row>
    <row r="51" spans="1:7">
      <c r="A51" s="3272" t="s">
        <v>296</v>
      </c>
      <c r="B51" s="3261" t="s">
        <v>2924</v>
      </c>
      <c r="C51" s="3262">
        <v>9.9000000000000005E-2</v>
      </c>
      <c r="D51" s="3262">
        <v>8.5000000000000006E-2</v>
      </c>
      <c r="E51" s="3262">
        <v>6.3E-2</v>
      </c>
      <c r="F51" s="3273"/>
      <c r="G51" s="3263">
        <v>9.6000000000000002E-2</v>
      </c>
    </row>
    <row r="52" spans="1:7">
      <c r="A52" s="3272" t="s">
        <v>296</v>
      </c>
      <c r="B52" s="3261" t="s">
        <v>2928</v>
      </c>
      <c r="C52" s="3262">
        <v>7.3999999999999996E-2</v>
      </c>
      <c r="D52" s="3262">
        <v>9.6000000000000002E-2</v>
      </c>
      <c r="E52" s="3262">
        <v>0.05</v>
      </c>
      <c r="F52" s="3273"/>
      <c r="G52" s="3263">
        <v>9.8000000000000004E-2</v>
      </c>
    </row>
    <row r="53" spans="1:7">
      <c r="A53" s="3272" t="s">
        <v>296</v>
      </c>
      <c r="B53" s="3261" t="s">
        <v>2933</v>
      </c>
      <c r="C53" s="3262">
        <v>8.5999999999999993E-2</v>
      </c>
      <c r="D53" s="3273"/>
      <c r="E53" s="3262">
        <v>9.1999999999999998E-2</v>
      </c>
      <c r="F53" s="3273"/>
      <c r="G53" s="3274"/>
    </row>
    <row r="54" spans="1:7" ht="14.25" thickBot="1">
      <c r="A54" s="3275" t="s">
        <v>296</v>
      </c>
      <c r="B54" s="3265" t="s">
        <v>2936</v>
      </c>
      <c r="C54" s="3266">
        <v>9.6000000000000002E-2</v>
      </c>
      <c r="D54" s="3267"/>
      <c r="E54" s="3276"/>
      <c r="F54" s="3267"/>
      <c r="G54" s="3277"/>
    </row>
    <row r="55" spans="1:7">
      <c r="A55" s="3271" t="s">
        <v>110</v>
      </c>
      <c r="B55" s="3257" t="s">
        <v>2853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2934</v>
      </c>
      <c r="C78" s="3262">
        <v>0.1</v>
      </c>
      <c r="D78" s="3262">
        <v>8.5000000000000006E-2</v>
      </c>
      <c r="E78" s="3262">
        <v>9.6000000000000002E-2</v>
      </c>
      <c r="F78" s="3273"/>
      <c r="G78" s="3263">
        <v>9.6000000000000002E-2</v>
      </c>
    </row>
    <row r="79" spans="1:7">
      <c r="A79" s="3272" t="s">
        <v>110</v>
      </c>
      <c r="B79" s="3261" t="s">
        <v>2937</v>
      </c>
      <c r="C79" s="3262">
        <v>0.05</v>
      </c>
      <c r="D79" s="3262">
        <v>9.6000000000000002E-2</v>
      </c>
      <c r="E79" s="3262">
        <v>9.5000000000000001E-2</v>
      </c>
      <c r="F79" s="3273"/>
      <c r="G79" s="3263">
        <v>9.8000000000000004E-2</v>
      </c>
    </row>
    <row r="80" spans="1:7">
      <c r="A80" s="3272" t="s">
        <v>110</v>
      </c>
      <c r="B80" s="3261" t="s">
        <v>2941</v>
      </c>
      <c r="C80" s="3262">
        <v>8.5999999999999993E-2</v>
      </c>
      <c r="D80" s="3278"/>
      <c r="E80" s="3262">
        <v>0.1</v>
      </c>
      <c r="F80" s="3273"/>
      <c r="G80" s="3274"/>
    </row>
    <row r="81" spans="1:7">
      <c r="A81" s="3272" t="s">
        <v>110</v>
      </c>
      <c r="B81" s="3261" t="s">
        <v>2946</v>
      </c>
      <c r="C81" s="3262">
        <v>9.6000000000000002E-2</v>
      </c>
      <c r="D81" s="3273"/>
      <c r="E81" s="3262">
        <v>9.8000000000000004E-2</v>
      </c>
      <c r="F81" s="3273"/>
      <c r="G81" s="3274"/>
    </row>
    <row r="82" spans="1:7">
      <c r="A82" s="3272" t="s">
        <v>110</v>
      </c>
      <c r="B82" s="3261" t="s">
        <v>2953</v>
      </c>
      <c r="C82" s="3278"/>
      <c r="D82" s="3273"/>
      <c r="E82" s="3262">
        <v>7.6999999999999999E-2</v>
      </c>
      <c r="F82" s="3273"/>
      <c r="G82" s="3274"/>
    </row>
    <row r="83" spans="1:7">
      <c r="A83" s="3272" t="s">
        <v>110</v>
      </c>
      <c r="B83" s="3261" t="s">
        <v>2959</v>
      </c>
      <c r="C83" s="3273"/>
      <c r="D83" s="3273"/>
      <c r="E83" s="3273"/>
      <c r="F83" s="3262">
        <v>0.1</v>
      </c>
      <c r="G83" s="3279"/>
    </row>
    <row r="84" spans="1:7">
      <c r="A84" s="3272" t="s">
        <v>110</v>
      </c>
      <c r="B84" s="3261" t="s">
        <v>2966</v>
      </c>
      <c r="C84" s="3273"/>
      <c r="D84" s="3273"/>
      <c r="E84" s="3273"/>
      <c r="F84" s="3262">
        <v>0.1</v>
      </c>
      <c r="G84" s="3279"/>
    </row>
    <row r="85" spans="1:7">
      <c r="A85" s="3272" t="s">
        <v>110</v>
      </c>
      <c r="B85" s="3261" t="s">
        <v>2973</v>
      </c>
      <c r="C85" s="3273"/>
      <c r="D85" s="3273"/>
      <c r="E85" s="3273"/>
      <c r="F85" s="3262">
        <v>0.1</v>
      </c>
      <c r="G85" s="3279"/>
    </row>
    <row r="86" spans="1:7" ht="14.25" thickBot="1">
      <c r="A86" s="3275" t="s">
        <v>110</v>
      </c>
      <c r="B86" s="3265" t="s">
        <v>2978</v>
      </c>
      <c r="C86" s="3266">
        <v>9.8000000000000004E-2</v>
      </c>
      <c r="D86" s="3266">
        <v>9.8000000000000004E-2</v>
      </c>
      <c r="E86" s="3266">
        <v>9.6000000000000002E-2</v>
      </c>
      <c r="F86" s="3276"/>
      <c r="G86" s="3268">
        <v>0.1</v>
      </c>
    </row>
    <row r="87" spans="1:7">
      <c r="A87" s="3271" t="s">
        <v>303</v>
      </c>
      <c r="B87" s="3257" t="s">
        <v>2854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2947</v>
      </c>
      <c r="C113" s="3262">
        <v>0.1</v>
      </c>
      <c r="D113" s="3262">
        <v>0.1</v>
      </c>
      <c r="E113" s="3273"/>
      <c r="F113" s="3273"/>
      <c r="G113" s="3263">
        <v>0.1</v>
      </c>
    </row>
    <row r="114" spans="1:7">
      <c r="A114" s="3272" t="s">
        <v>303</v>
      </c>
      <c r="B114" s="3261" t="s">
        <v>2954</v>
      </c>
      <c r="C114" s="3262">
        <v>9.7000000000000003E-2</v>
      </c>
      <c r="D114" s="3262">
        <v>9.7000000000000003E-2</v>
      </c>
      <c r="E114" s="3273"/>
      <c r="F114" s="3273"/>
      <c r="G114" s="3263">
        <v>9.9000000000000005E-2</v>
      </c>
    </row>
    <row r="115" spans="1:7">
      <c r="A115" s="3272" t="s">
        <v>303</v>
      </c>
      <c r="B115" s="3261" t="s">
        <v>2960</v>
      </c>
      <c r="C115" s="3262">
        <v>0.1</v>
      </c>
      <c r="D115" s="3262">
        <v>0.1</v>
      </c>
      <c r="E115" s="3273"/>
      <c r="F115" s="3273"/>
      <c r="G115" s="3263">
        <v>0.1</v>
      </c>
    </row>
    <row r="116" spans="1:7">
      <c r="A116" s="3272" t="s">
        <v>303</v>
      </c>
      <c r="B116" s="3261" t="s">
        <v>2967</v>
      </c>
      <c r="C116" s="3262">
        <v>0.1</v>
      </c>
      <c r="D116" s="3262">
        <v>0.1</v>
      </c>
      <c r="E116" s="3273"/>
      <c r="F116" s="3273"/>
      <c r="G116" s="3263">
        <v>0.1</v>
      </c>
    </row>
    <row r="117" spans="1:7">
      <c r="A117" s="3272" t="s">
        <v>303</v>
      </c>
      <c r="B117" s="3261" t="s">
        <v>2974</v>
      </c>
      <c r="C117" s="3262">
        <v>9.7000000000000003E-2</v>
      </c>
      <c r="D117" s="3262">
        <v>9.7000000000000003E-2</v>
      </c>
      <c r="E117" s="3273"/>
      <c r="F117" s="3273"/>
      <c r="G117" s="3263">
        <v>9.7000000000000003E-2</v>
      </c>
    </row>
    <row r="118" spans="1:7">
      <c r="A118" s="3272" t="s">
        <v>303</v>
      </c>
      <c r="B118" s="3261" t="s">
        <v>2979</v>
      </c>
      <c r="C118" s="3262">
        <v>0.1</v>
      </c>
      <c r="D118" s="3262">
        <v>0.1</v>
      </c>
      <c r="E118" s="3273"/>
      <c r="F118" s="3273"/>
      <c r="G118" s="3263">
        <v>0.1</v>
      </c>
    </row>
    <row r="119" spans="1:7">
      <c r="A119" s="3272" t="s">
        <v>303</v>
      </c>
      <c r="B119" s="3261" t="s">
        <v>2983</v>
      </c>
      <c r="C119" s="3262">
        <v>5.0999999999999997E-2</v>
      </c>
      <c r="D119" s="3262">
        <v>5.1999999999999998E-2</v>
      </c>
      <c r="E119" s="3273"/>
      <c r="F119" s="3278"/>
      <c r="G119" s="3263">
        <v>0.06</v>
      </c>
    </row>
    <row r="120" spans="1:7">
      <c r="A120" s="3272" t="s">
        <v>303</v>
      </c>
      <c r="B120" s="3261" t="s">
        <v>2987</v>
      </c>
      <c r="C120" s="3273"/>
      <c r="D120" s="3273"/>
      <c r="E120" s="3273"/>
      <c r="F120" s="3262">
        <v>0.1</v>
      </c>
      <c r="G120" s="3279"/>
    </row>
    <row r="121" spans="1:7">
      <c r="A121" s="3272" t="s">
        <v>303</v>
      </c>
      <c r="B121" s="3261" t="s">
        <v>2992</v>
      </c>
      <c r="C121" s="3273"/>
      <c r="D121" s="3273"/>
      <c r="E121" s="3273"/>
      <c r="F121" s="3262">
        <v>0.1</v>
      </c>
      <c r="G121" s="3279"/>
    </row>
    <row r="122" spans="1:7">
      <c r="A122" s="3272" t="s">
        <v>303</v>
      </c>
      <c r="B122" s="3261" t="s">
        <v>2997</v>
      </c>
      <c r="C122" s="3262">
        <v>0.1</v>
      </c>
      <c r="D122" s="3262">
        <v>0.1</v>
      </c>
      <c r="E122" s="3262">
        <v>9.8000000000000004E-2</v>
      </c>
      <c r="F122" s="3262">
        <v>0.1</v>
      </c>
      <c r="G122" s="3263">
        <v>0.1</v>
      </c>
    </row>
    <row r="123" spans="1:7">
      <c r="A123" s="3272" t="s">
        <v>303</v>
      </c>
      <c r="B123" s="3261" t="s">
        <v>3002</v>
      </c>
      <c r="C123" s="3262">
        <v>0.1</v>
      </c>
      <c r="D123" s="3262">
        <v>0.1</v>
      </c>
      <c r="E123" s="3262">
        <v>9.8000000000000004E-2</v>
      </c>
      <c r="F123" s="3262">
        <v>0.1</v>
      </c>
      <c r="G123" s="3263">
        <v>0.1</v>
      </c>
    </row>
    <row r="124" spans="1:7">
      <c r="A124" s="3272" t="s">
        <v>303</v>
      </c>
      <c r="B124" s="3261" t="s">
        <v>3007</v>
      </c>
      <c r="C124" s="3262">
        <v>0.1</v>
      </c>
      <c r="D124" s="3262">
        <v>0.1</v>
      </c>
      <c r="E124" s="3262">
        <v>9.8000000000000004E-2</v>
      </c>
      <c r="F124" s="3278"/>
      <c r="G124" s="3263">
        <v>0.1</v>
      </c>
    </row>
    <row r="125" spans="1:7">
      <c r="A125" s="3272" t="s">
        <v>303</v>
      </c>
      <c r="B125" s="3261" t="s">
        <v>3012</v>
      </c>
      <c r="C125" s="3262">
        <v>9.8000000000000004E-2</v>
      </c>
      <c r="D125" s="3262">
        <v>9.8000000000000004E-2</v>
      </c>
      <c r="E125" s="3262">
        <v>9.6000000000000002E-2</v>
      </c>
      <c r="F125" s="3278"/>
      <c r="G125" s="3263">
        <v>0.1</v>
      </c>
    </row>
    <row r="126" spans="1:7" ht="14.25" thickBot="1">
      <c r="A126" s="3275" t="s">
        <v>303</v>
      </c>
      <c r="B126" s="3265" t="s">
        <v>3178</v>
      </c>
      <c r="C126" s="3266">
        <v>0.1</v>
      </c>
      <c r="D126" s="3266">
        <v>0.1</v>
      </c>
      <c r="E126" s="3266">
        <v>9.8000000000000004E-2</v>
      </c>
      <c r="F126" s="3266">
        <v>0.1</v>
      </c>
      <c r="G126" s="3268">
        <v>0.1</v>
      </c>
    </row>
    <row r="127" spans="1:7">
      <c r="A127" s="3271" t="s">
        <v>29</v>
      </c>
      <c r="B127" s="3257" t="s">
        <v>2855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2925</v>
      </c>
      <c r="C148" s="3262">
        <v>0.13</v>
      </c>
      <c r="D148" s="3262">
        <v>0.13</v>
      </c>
      <c r="E148" s="3262">
        <v>0.13</v>
      </c>
      <c r="F148" s="3273"/>
      <c r="G148" s="3263">
        <v>0.13</v>
      </c>
    </row>
    <row r="149" spans="1:7">
      <c r="A149" s="3272" t="s">
        <v>29</v>
      </c>
      <c r="B149" s="3261" t="s">
        <v>2929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2948</v>
      </c>
      <c r="C153" s="3262">
        <v>0.13</v>
      </c>
      <c r="D153" s="3262">
        <v>0.13</v>
      </c>
      <c r="E153" s="3262">
        <v>0.13</v>
      </c>
      <c r="F153" s="3262">
        <v>0.13</v>
      </c>
      <c r="G153" s="3263">
        <v>0.13</v>
      </c>
    </row>
    <row r="154" spans="1:7">
      <c r="A154" s="3272" t="s">
        <v>29</v>
      </c>
      <c r="B154" s="3261" t="s">
        <v>2955</v>
      </c>
      <c r="C154" s="3262">
        <v>0.121</v>
      </c>
      <c r="D154" s="3262">
        <v>0.121</v>
      </c>
      <c r="E154" s="3262">
        <v>0.105</v>
      </c>
      <c r="F154" s="3262">
        <v>0.121</v>
      </c>
      <c r="G154" s="3263">
        <v>0.123</v>
      </c>
    </row>
    <row r="155" spans="1:7">
      <c r="A155" s="3272" t="s">
        <v>29</v>
      </c>
      <c r="B155" s="3261" t="s">
        <v>2961</v>
      </c>
      <c r="C155" s="3262">
        <v>0.1</v>
      </c>
      <c r="D155" s="3262">
        <v>0.1</v>
      </c>
      <c r="E155" s="3262">
        <v>0.1</v>
      </c>
      <c r="F155" s="3262">
        <v>0.1</v>
      </c>
      <c r="G155" s="3263">
        <v>0.1</v>
      </c>
    </row>
    <row r="156" spans="1:7">
      <c r="A156" s="3272" t="s">
        <v>29</v>
      </c>
      <c r="B156" s="3261" t="s">
        <v>2968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2988</v>
      </c>
      <c r="C160" s="3262">
        <v>0.13</v>
      </c>
      <c r="D160" s="3262">
        <v>0.13</v>
      </c>
      <c r="E160" s="3262">
        <v>0.124</v>
      </c>
      <c r="F160" s="3262">
        <v>0.126</v>
      </c>
      <c r="G160" s="3263">
        <v>0.13</v>
      </c>
    </row>
    <row r="161" spans="1:7">
      <c r="A161" s="3272" t="s">
        <v>29</v>
      </c>
      <c r="B161" s="3261" t="s">
        <v>2993</v>
      </c>
      <c r="C161" s="3262">
        <v>0.13</v>
      </c>
      <c r="D161" s="3262">
        <v>0.13</v>
      </c>
      <c r="E161" s="3262">
        <v>0.124</v>
      </c>
      <c r="F161" s="3262">
        <v>0.127</v>
      </c>
      <c r="G161" s="3263">
        <v>0.13</v>
      </c>
    </row>
    <row r="162" spans="1:7">
      <c r="A162" s="3272" t="s">
        <v>29</v>
      </c>
      <c r="B162" s="3261" t="s">
        <v>2998</v>
      </c>
      <c r="C162" s="3262">
        <v>0.1</v>
      </c>
      <c r="D162" s="3262">
        <v>0.1</v>
      </c>
      <c r="E162" s="3262">
        <v>0.1</v>
      </c>
      <c r="F162" s="3262">
        <v>0.121</v>
      </c>
      <c r="G162" s="3263">
        <v>0.105</v>
      </c>
    </row>
    <row r="163" spans="1:7">
      <c r="A163" s="3272" t="s">
        <v>29</v>
      </c>
      <c r="B163" s="3261" t="s">
        <v>3003</v>
      </c>
      <c r="C163" s="3262">
        <v>0.1</v>
      </c>
      <c r="D163" s="3262">
        <v>0.1</v>
      </c>
      <c r="E163" s="3262">
        <v>0.1</v>
      </c>
      <c r="F163" s="3262">
        <v>0.1</v>
      </c>
      <c r="G163" s="3263">
        <v>0.1</v>
      </c>
    </row>
    <row r="164" spans="1:7">
      <c r="A164" s="3272" t="s">
        <v>29</v>
      </c>
      <c r="B164" s="3261" t="s">
        <v>3008</v>
      </c>
      <c r="C164" s="3278"/>
      <c r="D164" s="3278"/>
      <c r="E164" s="3278"/>
      <c r="F164" s="3262">
        <v>0.1</v>
      </c>
      <c r="G164" s="3274"/>
    </row>
    <row r="165" spans="1:7">
      <c r="A165" s="3272" t="s">
        <v>29</v>
      </c>
      <c r="B165" s="3261" t="s">
        <v>3179</v>
      </c>
      <c r="C165" s="3262">
        <v>0.126</v>
      </c>
      <c r="D165" s="3262">
        <v>0.126</v>
      </c>
      <c r="E165" s="3262">
        <v>0.11899999999999999</v>
      </c>
      <c r="F165" s="3262">
        <v>0.13</v>
      </c>
      <c r="G165" s="3263">
        <v>0.128</v>
      </c>
    </row>
    <row r="166" spans="1:7">
      <c r="A166" s="3272" t="s">
        <v>29</v>
      </c>
      <c r="B166" s="3261" t="s">
        <v>3018</v>
      </c>
      <c r="C166" s="3262">
        <v>0.129</v>
      </c>
      <c r="D166" s="3262">
        <v>0.129</v>
      </c>
      <c r="E166" s="3262">
        <v>0.123</v>
      </c>
      <c r="F166" s="3262">
        <v>0.128</v>
      </c>
      <c r="G166" s="3263">
        <v>0.13</v>
      </c>
    </row>
    <row r="167" spans="1:7">
      <c r="A167" s="3272" t="s">
        <v>29</v>
      </c>
      <c r="B167" s="3261" t="s">
        <v>3022</v>
      </c>
      <c r="C167" s="3262">
        <v>0.125</v>
      </c>
      <c r="D167" s="3262">
        <v>0.125</v>
      </c>
      <c r="E167" s="3262">
        <v>0.11700000000000001</v>
      </c>
      <c r="F167" s="3262">
        <v>0.13</v>
      </c>
      <c r="G167" s="3263">
        <v>0.126</v>
      </c>
    </row>
    <row r="168" spans="1:7">
      <c r="A168" s="3272" t="s">
        <v>29</v>
      </c>
      <c r="B168" s="3261" t="s">
        <v>3027</v>
      </c>
      <c r="C168" s="3262">
        <v>0.128</v>
      </c>
      <c r="D168" s="3262">
        <v>0.128</v>
      </c>
      <c r="E168" s="3262">
        <v>0.123</v>
      </c>
      <c r="F168" s="3273"/>
      <c r="G168" s="3263">
        <v>0.13</v>
      </c>
    </row>
    <row r="169" spans="1:7">
      <c r="A169" s="3272" t="s">
        <v>29</v>
      </c>
      <c r="B169" s="3261" t="s">
        <v>3180</v>
      </c>
      <c r="C169" s="3278"/>
      <c r="D169" s="3278"/>
      <c r="E169" s="3278"/>
      <c r="F169" s="3262">
        <v>0.05</v>
      </c>
      <c r="G169" s="3274"/>
    </row>
    <row r="170" spans="1:7">
      <c r="A170" s="3272" t="s">
        <v>29</v>
      </c>
      <c r="B170" s="3261" t="s">
        <v>3181</v>
      </c>
      <c r="C170" s="3278"/>
      <c r="D170" s="3278"/>
      <c r="E170" s="3278"/>
      <c r="F170" s="3262">
        <v>0.05</v>
      </c>
      <c r="G170" s="3274"/>
    </row>
    <row r="171" spans="1:7">
      <c r="A171" s="3272" t="s">
        <v>29</v>
      </c>
      <c r="B171" s="3261" t="s">
        <v>3182</v>
      </c>
      <c r="C171" s="3278"/>
      <c r="D171" s="3278"/>
      <c r="E171" s="3278"/>
      <c r="F171" s="3262">
        <v>0.05</v>
      </c>
      <c r="G171" s="3279"/>
    </row>
    <row r="172" spans="1:7">
      <c r="A172" s="3272" t="s">
        <v>29</v>
      </c>
      <c r="B172" s="3261" t="s">
        <v>3183</v>
      </c>
      <c r="C172" s="3278"/>
      <c r="D172" s="3278"/>
      <c r="E172" s="3278"/>
      <c r="F172" s="3262">
        <v>0.05</v>
      </c>
      <c r="G172" s="3279"/>
    </row>
    <row r="173" spans="1:7">
      <c r="A173" s="3272" t="s">
        <v>29</v>
      </c>
      <c r="B173" s="3261" t="s">
        <v>3184</v>
      </c>
      <c r="C173" s="3278"/>
      <c r="D173" s="3278"/>
      <c r="E173" s="3278"/>
      <c r="F173" s="3262">
        <v>0.05</v>
      </c>
      <c r="G173" s="3274"/>
    </row>
    <row r="174" spans="1:7">
      <c r="A174" s="3272" t="s">
        <v>29</v>
      </c>
      <c r="B174" s="3261" t="s">
        <v>3185</v>
      </c>
      <c r="C174" s="3278"/>
      <c r="D174" s="3278"/>
      <c r="E174" s="3278"/>
      <c r="F174" s="3262">
        <v>0.05</v>
      </c>
      <c r="G174" s="3274"/>
    </row>
    <row r="175" spans="1:7">
      <c r="A175" s="3272" t="s">
        <v>29</v>
      </c>
      <c r="B175" s="3261" t="s">
        <v>3186</v>
      </c>
      <c r="C175" s="3278"/>
      <c r="D175" s="3278"/>
      <c r="E175" s="3278"/>
      <c r="F175" s="3262">
        <v>0.05</v>
      </c>
      <c r="G175" s="3274"/>
    </row>
    <row r="176" spans="1:7">
      <c r="A176" s="3272" t="s">
        <v>29</v>
      </c>
      <c r="B176" s="3261" t="s">
        <v>3187</v>
      </c>
      <c r="C176" s="3278"/>
      <c r="D176" s="3278"/>
      <c r="E176" s="3278"/>
      <c r="F176" s="3262">
        <v>0.05</v>
      </c>
      <c r="G176" s="3274"/>
    </row>
    <row r="177" spans="1:7">
      <c r="A177" s="3272" t="s">
        <v>29</v>
      </c>
      <c r="B177" s="3261" t="s">
        <v>3188</v>
      </c>
      <c r="C177" s="3273"/>
      <c r="D177" s="3273"/>
      <c r="E177" s="3273"/>
      <c r="F177" s="3262">
        <v>0.05</v>
      </c>
      <c r="G177" s="3279"/>
    </row>
    <row r="178" spans="1:7">
      <c r="A178" s="3272" t="s">
        <v>29</v>
      </c>
      <c r="B178" s="3261" t="s">
        <v>3189</v>
      </c>
      <c r="C178" s="3273"/>
      <c r="D178" s="3273"/>
      <c r="E178" s="3273"/>
      <c r="F178" s="3262">
        <v>0.05</v>
      </c>
      <c r="G178" s="3279"/>
    </row>
    <row r="179" spans="1:7">
      <c r="A179" s="3272" t="s">
        <v>29</v>
      </c>
      <c r="B179" s="3261" t="s">
        <v>3190</v>
      </c>
      <c r="C179" s="3273"/>
      <c r="D179" s="3273"/>
      <c r="E179" s="3273"/>
      <c r="F179" s="3262">
        <v>0.05</v>
      </c>
      <c r="G179" s="3279"/>
    </row>
    <row r="180" spans="1:7">
      <c r="A180" s="3272" t="s">
        <v>29</v>
      </c>
      <c r="B180" s="3261" t="s">
        <v>3191</v>
      </c>
      <c r="C180" s="3273"/>
      <c r="D180" s="3273"/>
      <c r="E180" s="3273"/>
      <c r="F180" s="3262">
        <v>0.05</v>
      </c>
      <c r="G180" s="3279"/>
    </row>
    <row r="181" spans="1:7">
      <c r="A181" s="3272" t="s">
        <v>29</v>
      </c>
      <c r="B181" s="3261" t="s">
        <v>3192</v>
      </c>
      <c r="C181" s="3273"/>
      <c r="D181" s="3273"/>
      <c r="E181" s="3273"/>
      <c r="F181" s="3262">
        <v>0.05</v>
      </c>
      <c r="G181" s="3279"/>
    </row>
    <row r="182" spans="1:7">
      <c r="A182" s="3272" t="s">
        <v>29</v>
      </c>
      <c r="B182" s="3261" t="s">
        <v>3193</v>
      </c>
      <c r="C182" s="3273"/>
      <c r="D182" s="3273"/>
      <c r="E182" s="3273"/>
      <c r="F182" s="3262">
        <v>0.05</v>
      </c>
      <c r="G182" s="3279"/>
    </row>
    <row r="183" spans="1:7">
      <c r="A183" s="3272" t="s">
        <v>29</v>
      </c>
      <c r="B183" s="3261" t="s">
        <v>3194</v>
      </c>
      <c r="C183" s="3273"/>
      <c r="D183" s="3273"/>
      <c r="E183" s="3273"/>
      <c r="F183" s="3262">
        <v>0.05</v>
      </c>
      <c r="G183" s="3279"/>
    </row>
    <row r="184" spans="1:7">
      <c r="A184" s="3272" t="s">
        <v>29</v>
      </c>
      <c r="B184" s="3261" t="s">
        <v>3195</v>
      </c>
      <c r="C184" s="3273"/>
      <c r="D184" s="3273"/>
      <c r="E184" s="3273"/>
      <c r="F184" s="3262">
        <v>0.05</v>
      </c>
      <c r="G184" s="3279"/>
    </row>
    <row r="185" spans="1:7">
      <c r="A185" s="3272" t="s">
        <v>29</v>
      </c>
      <c r="B185" s="3261" t="s">
        <v>3196</v>
      </c>
      <c r="C185" s="3273"/>
      <c r="D185" s="3273"/>
      <c r="E185" s="3273"/>
      <c r="F185" s="3262">
        <v>0.05</v>
      </c>
      <c r="G185" s="3279"/>
    </row>
    <row r="186" spans="1:7">
      <c r="A186" s="3272" t="s">
        <v>29</v>
      </c>
      <c r="B186" s="3261" t="s">
        <v>3197</v>
      </c>
      <c r="C186" s="3273"/>
      <c r="D186" s="3273"/>
      <c r="E186" s="3273"/>
      <c r="F186" s="3262">
        <v>0.05</v>
      </c>
      <c r="G186" s="3279"/>
    </row>
    <row r="187" spans="1:7">
      <c r="A187" s="3272" t="s">
        <v>29</v>
      </c>
      <c r="B187" s="3261" t="s">
        <v>3198</v>
      </c>
      <c r="C187" s="3273"/>
      <c r="D187" s="3273"/>
      <c r="E187" s="3273"/>
      <c r="F187" s="3262">
        <v>0.05</v>
      </c>
      <c r="G187" s="3279"/>
    </row>
    <row r="188" spans="1:7">
      <c r="A188" s="3272" t="s">
        <v>29</v>
      </c>
      <c r="B188" s="3261" t="s">
        <v>3199</v>
      </c>
      <c r="C188" s="3273"/>
      <c r="D188" s="3273"/>
      <c r="E188" s="3273"/>
      <c r="F188" s="3262">
        <v>0.05</v>
      </c>
      <c r="G188" s="3279"/>
    </row>
    <row r="189" spans="1:7" ht="14.25" thickBot="1">
      <c r="A189" s="3275" t="s">
        <v>29</v>
      </c>
      <c r="B189" s="3265" t="s">
        <v>3200</v>
      </c>
      <c r="C189" s="3267"/>
      <c r="D189" s="3267"/>
      <c r="E189" s="3267"/>
      <c r="F189" s="3266">
        <v>0.05</v>
      </c>
      <c r="G189" s="3280"/>
    </row>
    <row r="190" spans="1:7">
      <c r="A190" s="3271" t="s">
        <v>304</v>
      </c>
      <c r="B190" s="3257" t="s">
        <v>2856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2892</v>
      </c>
      <c r="C199" s="3262">
        <v>0.13</v>
      </c>
      <c r="D199" s="3262">
        <v>0.13</v>
      </c>
      <c r="E199" s="3262">
        <v>0.13</v>
      </c>
      <c r="F199" s="3262">
        <v>0.13</v>
      </c>
      <c r="G199" s="3263">
        <v>0.13</v>
      </c>
    </row>
    <row r="200" spans="1:7">
      <c r="A200" s="3272" t="s">
        <v>304</v>
      </c>
      <c r="B200" s="3261" t="s">
        <v>2895</v>
      </c>
      <c r="C200" s="3278"/>
      <c r="D200" s="3278"/>
      <c r="E200" s="3278"/>
      <c r="F200" s="3262">
        <v>0.13</v>
      </c>
      <c r="G200" s="3274"/>
    </row>
    <row r="201" spans="1:7">
      <c r="A201" s="3272" t="s">
        <v>304</v>
      </c>
      <c r="B201" s="3261" t="s">
        <v>2900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2903</v>
      </c>
      <c r="C203" s="3262">
        <v>0.129</v>
      </c>
      <c r="D203" s="3262">
        <v>0.129</v>
      </c>
      <c r="E203" s="3262">
        <v>0.13</v>
      </c>
      <c r="F203" s="3262">
        <v>0.13</v>
      </c>
      <c r="G203" s="3263">
        <v>0.13</v>
      </c>
    </row>
    <row r="204" spans="1:7">
      <c r="A204" s="3272" t="s">
        <v>304</v>
      </c>
      <c r="B204" s="3261" t="s">
        <v>2906</v>
      </c>
      <c r="C204" s="3262">
        <v>0.129</v>
      </c>
      <c r="D204" s="3262">
        <v>0.129</v>
      </c>
      <c r="E204" s="3262">
        <v>0.123</v>
      </c>
      <c r="F204" s="3262">
        <v>0.13</v>
      </c>
      <c r="G204" s="3263">
        <v>0.13</v>
      </c>
    </row>
    <row r="205" spans="1:7">
      <c r="A205" s="3272" t="s">
        <v>304</v>
      </c>
      <c r="B205" s="3261" t="s">
        <v>2908</v>
      </c>
      <c r="C205" s="3262">
        <v>0.13</v>
      </c>
      <c r="D205" s="3262">
        <v>0.13</v>
      </c>
      <c r="E205" s="3262">
        <v>0.13</v>
      </c>
      <c r="F205" s="3262">
        <v>0.13</v>
      </c>
      <c r="G205" s="3263">
        <v>0.13</v>
      </c>
    </row>
    <row r="206" spans="1:7">
      <c r="A206" s="3272" t="s">
        <v>304</v>
      </c>
      <c r="B206" s="3261" t="s">
        <v>2911</v>
      </c>
      <c r="C206" s="3262">
        <v>0.13</v>
      </c>
      <c r="D206" s="3262">
        <v>0.13</v>
      </c>
      <c r="E206" s="3262">
        <v>0.13</v>
      </c>
      <c r="F206" s="3262">
        <v>0.128</v>
      </c>
      <c r="G206" s="3263">
        <v>0.13</v>
      </c>
    </row>
    <row r="207" spans="1:7">
      <c r="A207" s="3272" t="s">
        <v>304</v>
      </c>
      <c r="B207" s="3261" t="s">
        <v>2913</v>
      </c>
      <c r="C207" s="3262">
        <v>0.13</v>
      </c>
      <c r="D207" s="3262">
        <v>0.13</v>
      </c>
      <c r="E207" s="3262">
        <v>0.13</v>
      </c>
      <c r="F207" s="3262">
        <v>0.13</v>
      </c>
      <c r="G207" s="3263">
        <v>0.13</v>
      </c>
    </row>
    <row r="208" spans="1:7">
      <c r="A208" s="3272" t="s">
        <v>304</v>
      </c>
      <c r="B208" s="3261" t="s">
        <v>2916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2923</v>
      </c>
      <c r="C210" s="3262">
        <v>0.121</v>
      </c>
      <c r="D210" s="3262">
        <v>0.121</v>
      </c>
      <c r="E210" s="3262">
        <v>0.125</v>
      </c>
      <c r="F210" s="3262">
        <v>0.13</v>
      </c>
      <c r="G210" s="3263">
        <v>0.123</v>
      </c>
    </row>
    <row r="211" spans="1:7">
      <c r="A211" s="3272" t="s">
        <v>304</v>
      </c>
      <c r="B211" s="3261" t="s">
        <v>2926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2938</v>
      </c>
      <c r="C214" s="3262">
        <v>0.128</v>
      </c>
      <c r="D214" s="3262">
        <v>0.128</v>
      </c>
      <c r="E214" s="3262">
        <v>0.13</v>
      </c>
      <c r="F214" s="3262">
        <v>0.13</v>
      </c>
      <c r="G214" s="3263">
        <v>0.13</v>
      </c>
    </row>
    <row r="215" spans="1:7">
      <c r="A215" s="3272" t="s">
        <v>304</v>
      </c>
      <c r="B215" s="3261" t="s">
        <v>2942</v>
      </c>
      <c r="C215" s="3262">
        <v>0.13</v>
      </c>
      <c r="D215" s="3262">
        <v>0.13</v>
      </c>
      <c r="E215" s="3262">
        <v>0.13</v>
      </c>
      <c r="F215" s="3262">
        <v>0.129</v>
      </c>
      <c r="G215" s="3263">
        <v>0.13</v>
      </c>
    </row>
    <row r="216" spans="1:7">
      <c r="A216" s="3272" t="s">
        <v>304</v>
      </c>
      <c r="B216" s="3261" t="s">
        <v>2949</v>
      </c>
      <c r="C216" s="3262">
        <v>0.13</v>
      </c>
      <c r="D216" s="3262">
        <v>0.13</v>
      </c>
      <c r="E216" s="3262">
        <v>0.13</v>
      </c>
      <c r="F216" s="3262">
        <v>0.13</v>
      </c>
      <c r="G216" s="3263">
        <v>0.13</v>
      </c>
    </row>
    <row r="217" spans="1:7">
      <c r="A217" s="3272" t="s">
        <v>304</v>
      </c>
      <c r="B217" s="3261" t="s">
        <v>2956</v>
      </c>
      <c r="C217" s="3262">
        <v>0.129</v>
      </c>
      <c r="D217" s="3262">
        <v>0.129</v>
      </c>
      <c r="E217" s="3262">
        <v>0.13</v>
      </c>
      <c r="F217" s="3262">
        <v>0.13</v>
      </c>
      <c r="G217" s="3263">
        <v>0.13</v>
      </c>
    </row>
    <row r="218" spans="1:7">
      <c r="A218" s="3272" t="s">
        <v>304</v>
      </c>
      <c r="B218" s="3261" t="s">
        <v>2962</v>
      </c>
      <c r="C218" s="3273"/>
      <c r="D218" s="3273"/>
      <c r="E218" s="3273"/>
      <c r="F218" s="3262">
        <v>0.05</v>
      </c>
      <c r="G218" s="3279"/>
    </row>
    <row r="219" spans="1:7">
      <c r="A219" s="3272" t="s">
        <v>304</v>
      </c>
      <c r="B219" s="3261" t="s">
        <v>2969</v>
      </c>
      <c r="C219" s="3273"/>
      <c r="D219" s="3273"/>
      <c r="E219" s="3273"/>
      <c r="F219" s="3262">
        <v>0.05</v>
      </c>
      <c r="G219" s="3279"/>
    </row>
    <row r="220" spans="1:7">
      <c r="A220" s="3272" t="s">
        <v>304</v>
      </c>
      <c r="B220" s="3261" t="s">
        <v>2975</v>
      </c>
      <c r="C220" s="3273"/>
      <c r="D220" s="3273"/>
      <c r="E220" s="3273"/>
      <c r="F220" s="3262">
        <v>0.05</v>
      </c>
      <c r="G220" s="3279"/>
    </row>
    <row r="221" spans="1:7">
      <c r="A221" s="3272" t="s">
        <v>304</v>
      </c>
      <c r="B221" s="3261" t="s">
        <v>2980</v>
      </c>
      <c r="C221" s="3273"/>
      <c r="D221" s="3273"/>
      <c r="E221" s="3273"/>
      <c r="F221" s="3262">
        <v>0.05</v>
      </c>
      <c r="G221" s="3279"/>
    </row>
    <row r="222" spans="1:7">
      <c r="A222" s="3272" t="s">
        <v>304</v>
      </c>
      <c r="B222" s="3261" t="s">
        <v>2984</v>
      </c>
      <c r="C222" s="3273"/>
      <c r="D222" s="3273"/>
      <c r="E222" s="3273"/>
      <c r="F222" s="3262">
        <v>0.05</v>
      </c>
      <c r="G222" s="3279"/>
    </row>
    <row r="223" spans="1:7">
      <c r="A223" s="3272" t="s">
        <v>304</v>
      </c>
      <c r="B223" s="3261" t="s">
        <v>2989</v>
      </c>
      <c r="C223" s="3273"/>
      <c r="D223" s="3273"/>
      <c r="E223" s="3273"/>
      <c r="F223" s="3262">
        <v>0.05</v>
      </c>
      <c r="G223" s="3279"/>
    </row>
    <row r="224" spans="1:7">
      <c r="A224" s="3272" t="s">
        <v>304</v>
      </c>
      <c r="B224" s="3261" t="s">
        <v>2994</v>
      </c>
      <c r="C224" s="3273"/>
      <c r="D224" s="3273"/>
      <c r="E224" s="3273"/>
      <c r="F224" s="3262">
        <v>0.05</v>
      </c>
      <c r="G224" s="3279"/>
    </row>
    <row r="225" spans="1:7">
      <c r="A225" s="3272" t="s">
        <v>304</v>
      </c>
      <c r="B225" s="3261" t="s">
        <v>2999</v>
      </c>
      <c r="C225" s="3273"/>
      <c r="D225" s="3273"/>
      <c r="E225" s="3273"/>
      <c r="F225" s="3262">
        <v>0.05</v>
      </c>
      <c r="G225" s="3279"/>
    </row>
    <row r="226" spans="1:7">
      <c r="A226" s="3272" t="s">
        <v>304</v>
      </c>
      <c r="B226" s="3261" t="s">
        <v>3201</v>
      </c>
      <c r="C226" s="3273"/>
      <c r="D226" s="3273"/>
      <c r="E226" s="3273"/>
      <c r="F226" s="3262">
        <v>0.05</v>
      </c>
      <c r="G226" s="3279"/>
    </row>
    <row r="227" spans="1:7">
      <c r="A227" s="3272" t="s">
        <v>304</v>
      </c>
      <c r="B227" s="3261" t="s">
        <v>3202</v>
      </c>
      <c r="C227" s="3273"/>
      <c r="D227" s="3273"/>
      <c r="E227" s="3273"/>
      <c r="F227" s="3262">
        <v>0.05</v>
      </c>
      <c r="G227" s="3279"/>
    </row>
    <row r="228" spans="1:7">
      <c r="A228" s="3272" t="s">
        <v>304</v>
      </c>
      <c r="B228" s="3261" t="s">
        <v>3203</v>
      </c>
      <c r="C228" s="3273"/>
      <c r="D228" s="3273"/>
      <c r="E228" s="3273"/>
      <c r="F228" s="3262">
        <v>0.05</v>
      </c>
      <c r="G228" s="3279"/>
    </row>
    <row r="229" spans="1:7">
      <c r="A229" s="3272" t="s">
        <v>304</v>
      </c>
      <c r="B229" s="3261" t="s">
        <v>3204</v>
      </c>
      <c r="C229" s="3273"/>
      <c r="D229" s="3273"/>
      <c r="E229" s="3273"/>
      <c r="F229" s="3262">
        <v>0.05</v>
      </c>
      <c r="G229" s="3279"/>
    </row>
    <row r="230" spans="1:7">
      <c r="A230" s="3272" t="s">
        <v>304</v>
      </c>
      <c r="B230" s="3261" t="s">
        <v>3205</v>
      </c>
      <c r="C230" s="3273"/>
      <c r="D230" s="3273"/>
      <c r="E230" s="3273"/>
      <c r="F230" s="3262">
        <v>0.05</v>
      </c>
      <c r="G230" s="3279"/>
    </row>
    <row r="231" spans="1:7">
      <c r="A231" s="3272" t="s">
        <v>304</v>
      </c>
      <c r="B231" s="3261" t="s">
        <v>3206</v>
      </c>
      <c r="C231" s="3273"/>
      <c r="D231" s="3273"/>
      <c r="E231" s="3273"/>
      <c r="F231" s="3262">
        <v>0.05</v>
      </c>
      <c r="G231" s="3279"/>
    </row>
    <row r="232" spans="1:7">
      <c r="A232" s="3272" t="s">
        <v>304</v>
      </c>
      <c r="B232" s="3261" t="s">
        <v>3207</v>
      </c>
      <c r="C232" s="3273"/>
      <c r="D232" s="3273"/>
      <c r="E232" s="3273"/>
      <c r="F232" s="3262">
        <v>0.05</v>
      </c>
      <c r="G232" s="3279"/>
    </row>
    <row r="233" spans="1:7" ht="14.25" thickBot="1">
      <c r="A233" s="3275" t="s">
        <v>304</v>
      </c>
      <c r="B233" s="3265" t="s">
        <v>3208</v>
      </c>
      <c r="C233" s="3267"/>
      <c r="D233" s="3267"/>
      <c r="E233" s="3267"/>
      <c r="F233" s="3266">
        <v>0.05</v>
      </c>
      <c r="G233" s="3280"/>
    </row>
    <row r="234" spans="1:7">
      <c r="A234" s="3271" t="s">
        <v>305</v>
      </c>
      <c r="B234" s="3257" t="s">
        <v>2857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2877</v>
      </c>
      <c r="C238" s="3262">
        <v>0.14899999999999999</v>
      </c>
      <c r="D238" s="3262">
        <v>0.14899999999999999</v>
      </c>
      <c r="E238" s="3262">
        <v>0.15</v>
      </c>
      <c r="F238" s="3262">
        <v>0.15</v>
      </c>
      <c r="G238" s="3263">
        <v>0.15</v>
      </c>
    </row>
    <row r="239" spans="1:7">
      <c r="A239" s="3272" t="s">
        <v>305</v>
      </c>
      <c r="B239" s="3261" t="s">
        <v>2881</v>
      </c>
      <c r="C239" s="3262">
        <v>0.15</v>
      </c>
      <c r="D239" s="3262">
        <v>0.15</v>
      </c>
      <c r="E239" s="3262">
        <v>0.15</v>
      </c>
      <c r="F239" s="3262">
        <v>0.15</v>
      </c>
      <c r="G239" s="3263">
        <v>0.15</v>
      </c>
    </row>
    <row r="240" spans="1:7">
      <c r="A240" s="3272" t="s">
        <v>305</v>
      </c>
      <c r="B240" s="3261" t="s">
        <v>2886</v>
      </c>
      <c r="C240" s="3262">
        <v>0.15</v>
      </c>
      <c r="D240" s="3262">
        <v>0.15</v>
      </c>
      <c r="E240" s="3262">
        <v>0.15</v>
      </c>
      <c r="F240" s="3262">
        <v>0.15</v>
      </c>
      <c r="G240" s="3263">
        <v>0.15</v>
      </c>
    </row>
    <row r="241" spans="1:7">
      <c r="A241" s="3272" t="s">
        <v>305</v>
      </c>
      <c r="B241" s="3261" t="s">
        <v>2890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2939</v>
      </c>
      <c r="C258" s="3262">
        <v>0.14299999999999999</v>
      </c>
      <c r="D258" s="3262">
        <v>0.14299999999999999</v>
      </c>
      <c r="E258" s="3262">
        <v>0.15</v>
      </c>
      <c r="F258" s="3262">
        <v>0.14799999999999999</v>
      </c>
      <c r="G258" s="3263">
        <v>0.14599999999999999</v>
      </c>
    </row>
    <row r="259" spans="1:7">
      <c r="A259" s="3272" t="s">
        <v>305</v>
      </c>
      <c r="B259" s="3261" t="s">
        <v>2943</v>
      </c>
      <c r="C259" s="3262">
        <v>0.14399999999999999</v>
      </c>
      <c r="D259" s="3262">
        <v>0.14399999999999999</v>
      </c>
      <c r="E259" s="3262">
        <v>0.14899999999999999</v>
      </c>
      <c r="F259" s="3262">
        <v>0.14699999999999999</v>
      </c>
      <c r="G259" s="3263">
        <v>0.14599999999999999</v>
      </c>
    </row>
    <row r="260" spans="1:7">
      <c r="A260" s="3272" t="s">
        <v>305</v>
      </c>
      <c r="B260" s="3261" t="s">
        <v>2950</v>
      </c>
      <c r="C260" s="3262">
        <v>0.109</v>
      </c>
      <c r="D260" s="3262">
        <v>0.111</v>
      </c>
      <c r="E260" s="3262">
        <v>0.13100000000000001</v>
      </c>
      <c r="F260" s="3262">
        <v>0.126</v>
      </c>
      <c r="G260" s="3263">
        <v>0.11899999999999999</v>
      </c>
    </row>
    <row r="261" spans="1:7">
      <c r="A261" s="3272" t="s">
        <v>305</v>
      </c>
      <c r="B261" s="3261" t="s">
        <v>2957</v>
      </c>
      <c r="C261" s="3262">
        <v>0.1</v>
      </c>
      <c r="D261" s="3262">
        <v>0.1</v>
      </c>
      <c r="E261" s="3262">
        <v>0.11799999999999999</v>
      </c>
      <c r="F261" s="3262">
        <v>0.108</v>
      </c>
      <c r="G261" s="3263">
        <v>0.107</v>
      </c>
    </row>
    <row r="262" spans="1:7">
      <c r="A262" s="3272" t="s">
        <v>305</v>
      </c>
      <c r="B262" s="3261" t="s">
        <v>2963</v>
      </c>
      <c r="C262" s="3262">
        <v>0.1</v>
      </c>
      <c r="D262" s="3262">
        <v>0.1</v>
      </c>
      <c r="E262" s="3262">
        <v>0.1</v>
      </c>
      <c r="F262" s="3262">
        <v>0.14099999999999999</v>
      </c>
      <c r="G262" s="3263">
        <v>0.1</v>
      </c>
    </row>
    <row r="263" spans="1:7">
      <c r="A263" s="3272" t="s">
        <v>305</v>
      </c>
      <c r="B263" s="3261" t="s">
        <v>2970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2981</v>
      </c>
      <c r="C265" s="3273"/>
      <c r="D265" s="3273"/>
      <c r="E265" s="3273"/>
      <c r="F265" s="3262">
        <v>0.05</v>
      </c>
      <c r="G265" s="3279"/>
    </row>
    <row r="266" spans="1:7">
      <c r="A266" s="3272" t="s">
        <v>305</v>
      </c>
      <c r="B266" s="3261" t="s">
        <v>2985</v>
      </c>
      <c r="C266" s="3273"/>
      <c r="D266" s="3273"/>
      <c r="E266" s="3273"/>
      <c r="F266" s="3262">
        <v>0.05</v>
      </c>
      <c r="G266" s="3279"/>
    </row>
    <row r="267" spans="1:7">
      <c r="A267" s="3272" t="s">
        <v>305</v>
      </c>
      <c r="B267" s="3261" t="s">
        <v>2990</v>
      </c>
      <c r="C267" s="3273"/>
      <c r="D267" s="3273"/>
      <c r="E267" s="3273"/>
      <c r="F267" s="3262">
        <v>0.05</v>
      </c>
      <c r="G267" s="3279"/>
    </row>
    <row r="268" spans="1:7">
      <c r="A268" s="3272" t="s">
        <v>305</v>
      </c>
      <c r="B268" s="3261" t="s">
        <v>2995</v>
      </c>
      <c r="C268" s="3273"/>
      <c r="D268" s="3273"/>
      <c r="E268" s="3273"/>
      <c r="F268" s="3262">
        <v>0.05</v>
      </c>
      <c r="G268" s="3279"/>
    </row>
    <row r="269" spans="1:7">
      <c r="A269" s="3272" t="s">
        <v>305</v>
      </c>
      <c r="B269" s="3261" t="s">
        <v>3000</v>
      </c>
      <c r="C269" s="3273"/>
      <c r="D269" s="3273"/>
      <c r="E269" s="3273"/>
      <c r="F269" s="3262">
        <v>0.05</v>
      </c>
      <c r="G269" s="3279"/>
    </row>
    <row r="270" spans="1:7">
      <c r="A270" s="3272" t="s">
        <v>305</v>
      </c>
      <c r="B270" s="3261" t="s">
        <v>3005</v>
      </c>
      <c r="C270" s="3273"/>
      <c r="D270" s="3273"/>
      <c r="E270" s="3273"/>
      <c r="F270" s="3262">
        <v>0.05</v>
      </c>
      <c r="G270" s="3279"/>
    </row>
    <row r="271" spans="1:7">
      <c r="A271" s="3272" t="s">
        <v>305</v>
      </c>
      <c r="B271" s="3261" t="s">
        <v>3209</v>
      </c>
      <c r="C271" s="3273"/>
      <c r="D271" s="3273"/>
      <c r="E271" s="3273"/>
      <c r="F271" s="3262">
        <v>0.05</v>
      </c>
      <c r="G271" s="3279"/>
    </row>
    <row r="272" spans="1:7">
      <c r="A272" s="3272" t="s">
        <v>305</v>
      </c>
      <c r="B272" s="3261" t="s">
        <v>3210</v>
      </c>
      <c r="C272" s="3273"/>
      <c r="D272" s="3273"/>
      <c r="E272" s="3273"/>
      <c r="F272" s="3262">
        <v>0.05</v>
      </c>
      <c r="G272" s="3279"/>
    </row>
    <row r="273" spans="1:7">
      <c r="A273" s="3272" t="s">
        <v>305</v>
      </c>
      <c r="B273" s="3261" t="s">
        <v>3211</v>
      </c>
      <c r="C273" s="3273"/>
      <c r="D273" s="3273"/>
      <c r="E273" s="3273"/>
      <c r="F273" s="3262">
        <v>0.05</v>
      </c>
      <c r="G273" s="3279"/>
    </row>
    <row r="274" spans="1:7">
      <c r="A274" s="3272" t="s">
        <v>305</v>
      </c>
      <c r="B274" s="3261" t="s">
        <v>3212</v>
      </c>
      <c r="C274" s="3273"/>
      <c r="D274" s="3273"/>
      <c r="E274" s="3273"/>
      <c r="F274" s="3262">
        <v>0.05</v>
      </c>
      <c r="G274" s="3279"/>
    </row>
    <row r="275" spans="1:7">
      <c r="A275" s="3272" t="s">
        <v>305</v>
      </c>
      <c r="B275" s="3261" t="s">
        <v>3213</v>
      </c>
      <c r="C275" s="3273"/>
      <c r="D275" s="3273"/>
      <c r="E275" s="3273"/>
      <c r="F275" s="3262">
        <v>0.05</v>
      </c>
      <c r="G275" s="3279"/>
    </row>
    <row r="276" spans="1:7" ht="14.25" thickBot="1">
      <c r="A276" s="3275" t="s">
        <v>305</v>
      </c>
      <c r="B276" s="3265" t="s">
        <v>3214</v>
      </c>
      <c r="C276" s="3267"/>
      <c r="D276" s="3267"/>
      <c r="E276" s="3267"/>
      <c r="F276" s="3266">
        <v>0.05</v>
      </c>
      <c r="G276" s="3280"/>
    </row>
    <row r="277" spans="1:7">
      <c r="A277" s="3271" t="s">
        <v>306</v>
      </c>
      <c r="B277" s="3257" t="s">
        <v>2858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2870</v>
      </c>
      <c r="C279" s="3262">
        <v>0.15</v>
      </c>
      <c r="D279" s="3262">
        <v>0.15</v>
      </c>
      <c r="E279" s="3262">
        <v>0.15</v>
      </c>
      <c r="F279" s="3262">
        <v>0.15</v>
      </c>
      <c r="G279" s="3263">
        <v>0.15</v>
      </c>
    </row>
    <row r="280" spans="1:7">
      <c r="A280" s="3272" t="s">
        <v>306</v>
      </c>
      <c r="B280" s="3261" t="s">
        <v>2874</v>
      </c>
      <c r="C280" s="3262">
        <v>0.15</v>
      </c>
      <c r="D280" s="3262">
        <v>0.15</v>
      </c>
      <c r="E280" s="3262">
        <v>0.15</v>
      </c>
      <c r="F280" s="3262">
        <v>0.15</v>
      </c>
      <c r="G280" s="3263">
        <v>0.15</v>
      </c>
    </row>
    <row r="281" spans="1:7">
      <c r="A281" s="3272" t="s">
        <v>306</v>
      </c>
      <c r="B281" s="3261" t="s">
        <v>2878</v>
      </c>
      <c r="C281" s="3262">
        <v>0.15</v>
      </c>
      <c r="D281" s="3262">
        <v>0.15</v>
      </c>
      <c r="E281" s="3262">
        <v>0.15</v>
      </c>
      <c r="F281" s="3262">
        <v>0.15</v>
      </c>
      <c r="G281" s="3263">
        <v>0.15</v>
      </c>
    </row>
    <row r="282" spans="1:7">
      <c r="A282" s="3272" t="s">
        <v>306</v>
      </c>
      <c r="B282" s="3261" t="s">
        <v>2882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2912</v>
      </c>
      <c r="C293" s="3262">
        <v>0.15</v>
      </c>
      <c r="D293" s="3262">
        <v>0.15</v>
      </c>
      <c r="E293" s="3262">
        <v>0.15</v>
      </c>
      <c r="F293" s="3262">
        <v>0.14499999999999999</v>
      </c>
      <c r="G293" s="3263">
        <v>0.15</v>
      </c>
    </row>
    <row r="294" spans="1:7">
      <c r="A294" s="3272" t="s">
        <v>306</v>
      </c>
      <c r="B294" s="3261" t="s">
        <v>2914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2944</v>
      </c>
      <c r="C302" s="3262">
        <v>0.15</v>
      </c>
      <c r="D302" s="3262">
        <v>0.15</v>
      </c>
      <c r="E302" s="3262">
        <v>0.15</v>
      </c>
      <c r="F302" s="3262">
        <v>0.14699999999999999</v>
      </c>
      <c r="G302" s="3263">
        <v>0.15</v>
      </c>
    </row>
    <row r="303" spans="1:7">
      <c r="A303" s="3272" t="s">
        <v>306</v>
      </c>
      <c r="B303" s="3261" t="s">
        <v>2951</v>
      </c>
      <c r="C303" s="3262">
        <v>0.15</v>
      </c>
      <c r="D303" s="3262">
        <v>0.15</v>
      </c>
      <c r="E303" s="3262">
        <v>0.15</v>
      </c>
      <c r="F303" s="3262">
        <v>0.14199999999999999</v>
      </c>
      <c r="G303" s="3263">
        <v>0.15</v>
      </c>
    </row>
    <row r="304" spans="1:7">
      <c r="A304" s="3272" t="s">
        <v>306</v>
      </c>
      <c r="B304" s="3261" t="s">
        <v>2958</v>
      </c>
      <c r="C304" s="3262">
        <v>0.15</v>
      </c>
      <c r="D304" s="3262">
        <v>0.15</v>
      </c>
      <c r="E304" s="3262">
        <v>0.15</v>
      </c>
      <c r="F304" s="3262">
        <v>0.14499999999999999</v>
      </c>
      <c r="G304" s="3263">
        <v>0.15</v>
      </c>
    </row>
    <row r="305" spans="1:7">
      <c r="A305" s="3272" t="s">
        <v>306</v>
      </c>
      <c r="B305" s="3261" t="s">
        <v>2964</v>
      </c>
      <c r="C305" s="3262">
        <v>0.15</v>
      </c>
      <c r="D305" s="3262">
        <v>0.15</v>
      </c>
      <c r="E305" s="3262">
        <v>0.15</v>
      </c>
      <c r="F305" s="3262">
        <v>0.111</v>
      </c>
      <c r="G305" s="3263">
        <v>0.15</v>
      </c>
    </row>
    <row r="306" spans="1:7">
      <c r="A306" s="3272" t="s">
        <v>306</v>
      </c>
      <c r="B306" s="3261" t="s">
        <v>2971</v>
      </c>
      <c r="C306" s="3262">
        <v>0.15</v>
      </c>
      <c r="D306" s="3262">
        <v>0.15</v>
      </c>
      <c r="E306" s="3262">
        <v>0.15</v>
      </c>
      <c r="F306" s="3262">
        <v>0.126</v>
      </c>
      <c r="G306" s="3263">
        <v>0.15</v>
      </c>
    </row>
    <row r="307" spans="1:7">
      <c r="A307" s="3272" t="s">
        <v>306</v>
      </c>
      <c r="B307" s="3261" t="s">
        <v>2976</v>
      </c>
      <c r="C307" s="3262">
        <v>0.15</v>
      </c>
      <c r="D307" s="3262">
        <v>0.15</v>
      </c>
      <c r="E307" s="3262">
        <v>0.15</v>
      </c>
      <c r="F307" s="3262">
        <v>0.12</v>
      </c>
      <c r="G307" s="3263">
        <v>0.15</v>
      </c>
    </row>
    <row r="308" spans="1:7">
      <c r="A308" s="3272" t="s">
        <v>306</v>
      </c>
      <c r="B308" s="3261" t="s">
        <v>2982</v>
      </c>
      <c r="C308" s="3262">
        <v>0.15</v>
      </c>
      <c r="D308" s="3262">
        <v>0.15</v>
      </c>
      <c r="E308" s="3262">
        <v>0.15</v>
      </c>
      <c r="F308" s="3262">
        <v>0.13</v>
      </c>
      <c r="G308" s="3263">
        <v>0.15</v>
      </c>
    </row>
    <row r="309" spans="1:7">
      <c r="A309" s="3272" t="s">
        <v>306</v>
      </c>
      <c r="B309" s="3261" t="s">
        <v>2986</v>
      </c>
      <c r="C309" s="3262">
        <v>0.15</v>
      </c>
      <c r="D309" s="3262">
        <v>0.15</v>
      </c>
      <c r="E309" s="3262">
        <v>0.15</v>
      </c>
      <c r="F309" s="3262">
        <v>0.14099999999999999</v>
      </c>
      <c r="G309" s="3263">
        <v>0.15</v>
      </c>
    </row>
    <row r="310" spans="1:7">
      <c r="A310" s="3272" t="s">
        <v>306</v>
      </c>
      <c r="B310" s="3261" t="s">
        <v>2991</v>
      </c>
      <c r="C310" s="3262">
        <v>0.15</v>
      </c>
      <c r="D310" s="3262">
        <v>0.15</v>
      </c>
      <c r="E310" s="3262">
        <v>0.15</v>
      </c>
      <c r="F310" s="3262">
        <v>0.15</v>
      </c>
      <c r="G310" s="3263">
        <v>0.15</v>
      </c>
    </row>
    <row r="311" spans="1:7">
      <c r="A311" s="3272" t="s">
        <v>306</v>
      </c>
      <c r="B311" s="3261" t="s">
        <v>2996</v>
      </c>
      <c r="C311" s="3262">
        <v>0.13200000000000001</v>
      </c>
      <c r="D311" s="3262">
        <v>0.13300000000000001</v>
      </c>
      <c r="E311" s="3262">
        <v>0.14499999999999999</v>
      </c>
      <c r="F311" s="3262">
        <v>0.14199999999999999</v>
      </c>
      <c r="G311" s="3263">
        <v>0.14000000000000001</v>
      </c>
    </row>
    <row r="312" spans="1:7">
      <c r="A312" s="3272" t="s">
        <v>306</v>
      </c>
      <c r="B312" s="3261" t="s">
        <v>3001</v>
      </c>
      <c r="C312" s="3262">
        <v>0.13800000000000001</v>
      </c>
      <c r="D312" s="3262">
        <v>0.14000000000000001</v>
      </c>
      <c r="E312" s="3262">
        <v>0.14599999999999999</v>
      </c>
      <c r="F312" s="3262">
        <v>0.14899999999999999</v>
      </c>
      <c r="G312" s="3263">
        <v>0.14199999999999999</v>
      </c>
    </row>
    <row r="313" spans="1:7">
      <c r="A313" s="3272" t="s">
        <v>306</v>
      </c>
      <c r="B313" s="3261" t="s">
        <v>3006</v>
      </c>
      <c r="C313" s="3262">
        <v>0.125</v>
      </c>
      <c r="D313" s="3262">
        <v>0.127</v>
      </c>
      <c r="E313" s="3262">
        <v>0.14399999999999999</v>
      </c>
      <c r="F313" s="3262">
        <v>0.115</v>
      </c>
      <c r="G313" s="3263">
        <v>0.13600000000000001</v>
      </c>
    </row>
    <row r="314" spans="1:7">
      <c r="A314" s="3272" t="s">
        <v>306</v>
      </c>
      <c r="B314" s="3261" t="s">
        <v>3215</v>
      </c>
      <c r="C314" s="3278"/>
      <c r="D314" s="3278"/>
      <c r="E314" s="3278"/>
      <c r="F314" s="3262">
        <v>0.05</v>
      </c>
      <c r="G314" s="3279"/>
    </row>
    <row r="315" spans="1:7">
      <c r="A315" s="3272" t="s">
        <v>306</v>
      </c>
      <c r="B315" s="3261" t="s">
        <v>3216</v>
      </c>
      <c r="C315" s="3278"/>
      <c r="D315" s="3278"/>
      <c r="E315" s="3278"/>
      <c r="F315" s="3262">
        <v>0.05</v>
      </c>
      <c r="G315" s="3279"/>
    </row>
    <row r="316" spans="1:7">
      <c r="A316" s="3272" t="s">
        <v>306</v>
      </c>
      <c r="B316" s="3261" t="s">
        <v>3217</v>
      </c>
      <c r="C316" s="3273"/>
      <c r="D316" s="3273"/>
      <c r="E316" s="3273"/>
      <c r="F316" s="3262">
        <v>0.05</v>
      </c>
      <c r="G316" s="3279"/>
    </row>
    <row r="317" spans="1:7">
      <c r="A317" s="3272" t="s">
        <v>306</v>
      </c>
      <c r="B317" s="3261" t="s">
        <v>3218</v>
      </c>
      <c r="C317" s="3273"/>
      <c r="D317" s="3273"/>
      <c r="E317" s="3273"/>
      <c r="F317" s="3262">
        <v>0.05</v>
      </c>
      <c r="G317" s="3279"/>
    </row>
    <row r="318" spans="1:7">
      <c r="A318" s="3272" t="s">
        <v>306</v>
      </c>
      <c r="B318" s="3261" t="s">
        <v>3219</v>
      </c>
      <c r="C318" s="3273"/>
      <c r="D318" s="3273"/>
      <c r="E318" s="3273"/>
      <c r="F318" s="3262">
        <v>0.05</v>
      </c>
      <c r="G318" s="3279"/>
    </row>
    <row r="319" spans="1:7">
      <c r="A319" s="3272" t="s">
        <v>306</v>
      </c>
      <c r="B319" s="3261" t="s">
        <v>3220</v>
      </c>
      <c r="C319" s="3273"/>
      <c r="D319" s="3273"/>
      <c r="E319" s="3273"/>
      <c r="F319" s="3262">
        <v>0.05</v>
      </c>
      <c r="G319" s="3279"/>
    </row>
    <row r="320" spans="1:7">
      <c r="A320" s="3272" t="s">
        <v>306</v>
      </c>
      <c r="B320" s="3261" t="s">
        <v>3221</v>
      </c>
      <c r="C320" s="3273"/>
      <c r="D320" s="3273"/>
      <c r="E320" s="3273"/>
      <c r="F320" s="3262">
        <v>0.05</v>
      </c>
      <c r="G320" s="3279"/>
    </row>
    <row r="321" spans="1:7">
      <c r="A321" s="3272" t="s">
        <v>306</v>
      </c>
      <c r="B321" s="3261" t="s">
        <v>3222</v>
      </c>
      <c r="C321" s="3273"/>
      <c r="D321" s="3273"/>
      <c r="E321" s="3273"/>
      <c r="F321" s="3262">
        <v>0.05</v>
      </c>
      <c r="G321" s="3279"/>
    </row>
    <row r="322" spans="1:7">
      <c r="A322" s="3272" t="s">
        <v>306</v>
      </c>
      <c r="B322" s="3261" t="s">
        <v>3223</v>
      </c>
      <c r="C322" s="3273"/>
      <c r="D322" s="3273"/>
      <c r="E322" s="3273"/>
      <c r="F322" s="3262">
        <v>0.05</v>
      </c>
      <c r="G322" s="3279"/>
    </row>
    <row r="323" spans="1:7">
      <c r="A323" s="3272" t="s">
        <v>306</v>
      </c>
      <c r="B323" s="3261" t="s">
        <v>3224</v>
      </c>
      <c r="C323" s="3273"/>
      <c r="D323" s="3273"/>
      <c r="E323" s="3273"/>
      <c r="F323" s="3262">
        <v>0.05</v>
      </c>
      <c r="G323" s="3279"/>
    </row>
    <row r="324" spans="1:7">
      <c r="A324" s="3272" t="s">
        <v>306</v>
      </c>
      <c r="B324" s="3261" t="s">
        <v>3225</v>
      </c>
      <c r="C324" s="3273"/>
      <c r="D324" s="3273"/>
      <c r="E324" s="3273"/>
      <c r="F324" s="3262">
        <v>0.05</v>
      </c>
      <c r="G324" s="3279"/>
    </row>
    <row r="325" spans="1:7">
      <c r="A325" s="3272" t="s">
        <v>306</v>
      </c>
      <c r="B325" s="3261" t="s">
        <v>3226</v>
      </c>
      <c r="C325" s="3273"/>
      <c r="D325" s="3273"/>
      <c r="E325" s="3273"/>
      <c r="F325" s="3262">
        <v>0.05</v>
      </c>
      <c r="G325" s="3279"/>
    </row>
    <row r="326" spans="1:7" ht="14.25" thickBot="1">
      <c r="A326" s="3275" t="s">
        <v>306</v>
      </c>
      <c r="B326" s="3265" t="s">
        <v>3227</v>
      </c>
      <c r="C326" s="3267"/>
      <c r="D326" s="3267"/>
      <c r="E326" s="3267"/>
      <c r="F326" s="3266">
        <v>0.05</v>
      </c>
      <c r="G326" s="3280"/>
    </row>
    <row r="327" spans="1:7">
      <c r="A327" s="3271" t="s">
        <v>307</v>
      </c>
      <c r="B327" s="3257" t="s">
        <v>2859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2871</v>
      </c>
      <c r="C329" s="3262">
        <v>0.15</v>
      </c>
      <c r="D329" s="3262">
        <v>0.15</v>
      </c>
      <c r="E329" s="3262">
        <v>0.15</v>
      </c>
      <c r="F329" s="3262">
        <v>0.15</v>
      </c>
      <c r="G329" s="3263">
        <v>0.15</v>
      </c>
    </row>
    <row r="330" spans="1:7">
      <c r="A330" s="3272" t="s">
        <v>307</v>
      </c>
      <c r="B330" s="3261" t="s">
        <v>2875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2883</v>
      </c>
      <c r="C332" s="3262">
        <v>0.15</v>
      </c>
      <c r="D332" s="3262">
        <v>0.15</v>
      </c>
      <c r="E332" s="3262">
        <v>0.15</v>
      </c>
      <c r="F332" s="3262">
        <v>0.15</v>
      </c>
      <c r="G332" s="3263">
        <v>0.15</v>
      </c>
    </row>
    <row r="333" spans="1:7">
      <c r="A333" s="3272" t="s">
        <v>307</v>
      </c>
      <c r="B333" s="3261" t="s">
        <v>2887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2893</v>
      </c>
      <c r="C336" s="3262">
        <v>0.15</v>
      </c>
      <c r="D336" s="3262">
        <v>0.15</v>
      </c>
      <c r="E336" s="3262">
        <v>0.15</v>
      </c>
      <c r="F336" s="3262">
        <v>0.14199999999999999</v>
      </c>
      <c r="G336" s="3263">
        <v>0.15</v>
      </c>
    </row>
    <row r="337" spans="1:7">
      <c r="A337" s="3272" t="s">
        <v>307</v>
      </c>
      <c r="B337" s="3261" t="s">
        <v>2898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2918</v>
      </c>
      <c r="C345" s="3262">
        <v>0.15</v>
      </c>
      <c r="D345" s="3262">
        <v>0.15</v>
      </c>
      <c r="E345" s="3262">
        <v>0.15</v>
      </c>
      <c r="F345" s="3262">
        <v>0.13800000000000001</v>
      </c>
      <c r="G345" s="3263">
        <v>0.15</v>
      </c>
    </row>
    <row r="346" spans="1:7">
      <c r="A346" s="3272" t="s">
        <v>307</v>
      </c>
      <c r="B346" s="3261" t="s">
        <v>2920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2927</v>
      </c>
      <c r="C348" s="3262">
        <v>0.15</v>
      </c>
      <c r="D348" s="3262">
        <v>0.15</v>
      </c>
      <c r="E348" s="3262">
        <v>0.15</v>
      </c>
      <c r="F348" s="3262">
        <v>0.14399999999999999</v>
      </c>
      <c r="G348" s="3263">
        <v>0.15</v>
      </c>
    </row>
    <row r="349" spans="1:7">
      <c r="A349" s="3272" t="s">
        <v>307</v>
      </c>
      <c r="B349" s="3261" t="s">
        <v>2932</v>
      </c>
      <c r="C349" s="3262">
        <v>0.15</v>
      </c>
      <c r="D349" s="3262">
        <v>0.15</v>
      </c>
      <c r="E349" s="3262">
        <v>0.15</v>
      </c>
      <c r="F349" s="3262">
        <v>0.15</v>
      </c>
      <c r="G349" s="3263">
        <v>0.15</v>
      </c>
    </row>
    <row r="350" spans="1:7">
      <c r="A350" s="3272" t="s">
        <v>307</v>
      </c>
      <c r="B350" s="3261" t="s">
        <v>2935</v>
      </c>
      <c r="C350" s="3262">
        <v>0.15</v>
      </c>
      <c r="D350" s="3262">
        <v>0.15</v>
      </c>
      <c r="E350" s="3262">
        <v>0.15</v>
      </c>
      <c r="F350" s="3262">
        <v>0.14699999999999999</v>
      </c>
      <c r="G350" s="3263">
        <v>0.15</v>
      </c>
    </row>
    <row r="351" spans="1:7">
      <c r="A351" s="3272" t="s">
        <v>307</v>
      </c>
      <c r="B351" s="3261" t="s">
        <v>2940</v>
      </c>
      <c r="C351" s="3262">
        <v>0.15</v>
      </c>
      <c r="D351" s="3262">
        <v>0.15</v>
      </c>
      <c r="E351" s="3262">
        <v>0.15</v>
      </c>
      <c r="F351" s="3262">
        <v>0.13</v>
      </c>
      <c r="G351" s="3263">
        <v>0.15</v>
      </c>
    </row>
    <row r="352" spans="1:7">
      <c r="A352" s="3272" t="s">
        <v>307</v>
      </c>
      <c r="B352" s="3261" t="s">
        <v>2945</v>
      </c>
      <c r="C352" s="3262">
        <v>0.15</v>
      </c>
      <c r="D352" s="3262">
        <v>0.15</v>
      </c>
      <c r="E352" s="3262">
        <v>0.15</v>
      </c>
      <c r="F352" s="3262">
        <v>0.14599999999999999</v>
      </c>
      <c r="G352" s="3263">
        <v>0.15</v>
      </c>
    </row>
    <row r="353" spans="1:7">
      <c r="A353" s="3272" t="s">
        <v>307</v>
      </c>
      <c r="B353" s="3261" t="s">
        <v>2952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2965</v>
      </c>
      <c r="C355" s="3262">
        <v>0.15</v>
      </c>
      <c r="D355" s="3262">
        <v>0.15</v>
      </c>
      <c r="E355" s="3262">
        <v>0.15</v>
      </c>
      <c r="F355" s="3262">
        <v>0.15</v>
      </c>
      <c r="G355" s="3263">
        <v>0.15</v>
      </c>
    </row>
    <row r="356" spans="1:7">
      <c r="A356" s="3272" t="s">
        <v>307</v>
      </c>
      <c r="B356" s="3261" t="s">
        <v>2972</v>
      </c>
      <c r="C356" s="3262">
        <v>0.15</v>
      </c>
      <c r="D356" s="3262">
        <v>0.15</v>
      </c>
      <c r="E356" s="3262">
        <v>0.15</v>
      </c>
      <c r="F356" s="3262">
        <v>0.15</v>
      </c>
      <c r="G356" s="3263">
        <v>0.15</v>
      </c>
    </row>
    <row r="357" spans="1:7" ht="14.25" thickBot="1">
      <c r="A357" s="3275" t="s">
        <v>307</v>
      </c>
      <c r="B357" s="3265" t="s">
        <v>2977</v>
      </c>
      <c r="C357" s="3266">
        <v>0.126</v>
      </c>
      <c r="D357" s="3266">
        <v>0.127</v>
      </c>
      <c r="E357" s="3266">
        <v>0.14299999999999999</v>
      </c>
      <c r="F357" s="3266">
        <v>0.125</v>
      </c>
      <c r="G357" s="3268">
        <v>0.129</v>
      </c>
    </row>
    <row r="358" spans="1:7">
      <c r="A358" s="3271" t="s">
        <v>2846</v>
      </c>
      <c r="B358" s="3257" t="s">
        <v>2860</v>
      </c>
      <c r="C358" s="3258">
        <v>0.15</v>
      </c>
      <c r="D358" s="3258">
        <v>0.15</v>
      </c>
      <c r="E358" s="3258">
        <v>0.15</v>
      </c>
      <c r="F358" s="3258">
        <v>0.15</v>
      </c>
      <c r="G358" s="3259">
        <v>0.15</v>
      </c>
    </row>
    <row r="359" spans="1:7">
      <c r="A359" s="3272" t="s">
        <v>2846</v>
      </c>
      <c r="B359" s="3261" t="s">
        <v>2866</v>
      </c>
      <c r="C359" s="3262">
        <v>0.1</v>
      </c>
      <c r="D359" s="3262">
        <v>0.1</v>
      </c>
      <c r="E359" s="3262">
        <v>0.1</v>
      </c>
      <c r="F359" s="3262">
        <v>0.1</v>
      </c>
      <c r="G359" s="3263">
        <v>0.1</v>
      </c>
    </row>
    <row r="360" spans="1:7">
      <c r="A360" s="3272" t="s">
        <v>2846</v>
      </c>
      <c r="B360" s="3261" t="s">
        <v>2872</v>
      </c>
      <c r="C360" s="3262">
        <v>0.15</v>
      </c>
      <c r="D360" s="3262">
        <v>0.15</v>
      </c>
      <c r="E360" s="3262">
        <v>0.15</v>
      </c>
      <c r="F360" s="3262">
        <v>0.14899999999999999</v>
      </c>
      <c r="G360" s="3263">
        <v>0.15</v>
      </c>
    </row>
    <row r="361" spans="1:7">
      <c r="A361" s="3272" t="s">
        <v>2846</v>
      </c>
      <c r="B361" s="3261" t="s">
        <v>153</v>
      </c>
      <c r="C361" s="3262">
        <v>0.15</v>
      </c>
      <c r="D361" s="3262">
        <v>0.15</v>
      </c>
      <c r="E361" s="3262">
        <v>0.15</v>
      </c>
      <c r="F361" s="3262">
        <v>0.115</v>
      </c>
      <c r="G361" s="3263">
        <v>0.15</v>
      </c>
    </row>
    <row r="362" spans="1:7">
      <c r="A362" s="3272" t="s">
        <v>2846</v>
      </c>
      <c r="B362" s="3261" t="s">
        <v>2879</v>
      </c>
      <c r="C362" s="3262">
        <v>0.15</v>
      </c>
      <c r="D362" s="3262">
        <v>0.15</v>
      </c>
      <c r="E362" s="3262">
        <v>0.15</v>
      </c>
      <c r="F362" s="3262">
        <v>0.106</v>
      </c>
      <c r="G362" s="3263">
        <v>0.15</v>
      </c>
    </row>
    <row r="363" spans="1:7">
      <c r="A363" s="3272" t="s">
        <v>2846</v>
      </c>
      <c r="B363" s="3261" t="s">
        <v>2884</v>
      </c>
      <c r="C363" s="3262">
        <v>0.15</v>
      </c>
      <c r="D363" s="3262">
        <v>0.15</v>
      </c>
      <c r="E363" s="3262">
        <v>0.15</v>
      </c>
      <c r="F363" s="3262">
        <v>0.14699999999999999</v>
      </c>
      <c r="G363" s="3263">
        <v>0.15</v>
      </c>
    </row>
    <row r="364" spans="1:7">
      <c r="A364" s="3272" t="s">
        <v>2846</v>
      </c>
      <c r="B364" s="3261" t="s">
        <v>2888</v>
      </c>
      <c r="C364" s="3262">
        <v>0.15</v>
      </c>
      <c r="D364" s="3262">
        <v>0.15</v>
      </c>
      <c r="E364" s="3262">
        <v>0.15</v>
      </c>
      <c r="F364" s="3262">
        <v>0.14799999999999999</v>
      </c>
      <c r="G364" s="3263">
        <v>0.15</v>
      </c>
    </row>
    <row r="365" spans="1:7">
      <c r="A365" s="3272" t="s">
        <v>2846</v>
      </c>
      <c r="B365" s="3261" t="s">
        <v>200</v>
      </c>
      <c r="C365" s="3262">
        <v>0.15</v>
      </c>
      <c r="D365" s="3262">
        <v>0.15</v>
      </c>
      <c r="E365" s="3262">
        <v>0.15</v>
      </c>
      <c r="F365" s="3262">
        <v>0.15</v>
      </c>
      <c r="G365" s="3263">
        <v>0.15</v>
      </c>
    </row>
    <row r="366" spans="1:7">
      <c r="A366" s="3272" t="s">
        <v>2846</v>
      </c>
      <c r="B366" s="3261" t="s">
        <v>2891</v>
      </c>
      <c r="C366" s="3262">
        <v>0.15</v>
      </c>
      <c r="D366" s="3262">
        <v>0.15</v>
      </c>
      <c r="E366" s="3262">
        <v>0.15</v>
      </c>
      <c r="F366" s="3262">
        <v>0.15</v>
      </c>
      <c r="G366" s="3263">
        <v>0.15</v>
      </c>
    </row>
    <row r="367" spans="1:7">
      <c r="A367" s="3272" t="s">
        <v>2846</v>
      </c>
      <c r="B367" s="3261" t="s">
        <v>2894</v>
      </c>
      <c r="C367" s="3262">
        <v>0.15</v>
      </c>
      <c r="D367" s="3262">
        <v>0.15</v>
      </c>
      <c r="E367" s="3262">
        <v>0.15</v>
      </c>
      <c r="F367" s="3262">
        <v>0.14699999999999999</v>
      </c>
      <c r="G367" s="3263">
        <v>0.15</v>
      </c>
    </row>
    <row r="368" spans="1:7">
      <c r="A368" s="3272" t="s">
        <v>2846</v>
      </c>
      <c r="B368" s="3261" t="s">
        <v>2899</v>
      </c>
      <c r="C368" s="3262">
        <v>0.15</v>
      </c>
      <c r="D368" s="3262">
        <v>0.15</v>
      </c>
      <c r="E368" s="3262">
        <v>0.15</v>
      </c>
      <c r="F368" s="3262">
        <v>0.13600000000000001</v>
      </c>
      <c r="G368" s="3263">
        <v>0.15</v>
      </c>
    </row>
    <row r="369" spans="1:7">
      <c r="A369" s="3272" t="s">
        <v>2846</v>
      </c>
      <c r="B369" s="3261" t="s">
        <v>214</v>
      </c>
      <c r="C369" s="3262">
        <v>0.15</v>
      </c>
      <c r="D369" s="3262">
        <v>0.15</v>
      </c>
      <c r="E369" s="3262">
        <v>0.15</v>
      </c>
      <c r="F369" s="3262">
        <v>0.14399999999999999</v>
      </c>
      <c r="G369" s="3263">
        <v>0.15</v>
      </c>
    </row>
    <row r="370" spans="1:7">
      <c r="A370" s="3272" t="s">
        <v>2846</v>
      </c>
      <c r="B370" s="3261" t="s">
        <v>221</v>
      </c>
      <c r="C370" s="3262">
        <v>0.15</v>
      </c>
      <c r="D370" s="3262">
        <v>0.15</v>
      </c>
      <c r="E370" s="3262">
        <v>0.15</v>
      </c>
      <c r="F370" s="3262">
        <v>0.14599999999999999</v>
      </c>
      <c r="G370" s="3263">
        <v>0.15</v>
      </c>
    </row>
    <row r="371" spans="1:7">
      <c r="A371" s="3272" t="s">
        <v>2846</v>
      </c>
      <c r="B371" s="3261" t="s">
        <v>229</v>
      </c>
      <c r="C371" s="3262">
        <v>0.15</v>
      </c>
      <c r="D371" s="3262">
        <v>0.15</v>
      </c>
      <c r="E371" s="3262">
        <v>0.15</v>
      </c>
      <c r="F371" s="3262">
        <v>0.12</v>
      </c>
      <c r="G371" s="3263">
        <v>0.15</v>
      </c>
    </row>
    <row r="372" spans="1:7">
      <c r="A372" s="3272" t="s">
        <v>2846</v>
      </c>
      <c r="B372" s="3261" t="s">
        <v>2907</v>
      </c>
      <c r="C372" s="3262">
        <v>0.15</v>
      </c>
      <c r="D372" s="3262">
        <v>0.15</v>
      </c>
      <c r="E372" s="3262">
        <v>0.15</v>
      </c>
      <c r="F372" s="3262">
        <v>0.14299999999999999</v>
      </c>
      <c r="G372" s="3263">
        <v>0.15</v>
      </c>
    </row>
    <row r="373" spans="1:7">
      <c r="A373" s="3272" t="s">
        <v>2846</v>
      </c>
      <c r="B373" s="3261" t="s">
        <v>258</v>
      </c>
      <c r="C373" s="3262">
        <v>0.15</v>
      </c>
      <c r="D373" s="3262">
        <v>0.15</v>
      </c>
      <c r="E373" s="3262">
        <v>0.15</v>
      </c>
      <c r="F373" s="3262">
        <v>0.14599999999999999</v>
      </c>
      <c r="G373" s="3263">
        <v>0.15</v>
      </c>
    </row>
    <row r="374" spans="1:7">
      <c r="A374" s="3272" t="s">
        <v>2846</v>
      </c>
      <c r="B374" s="3261" t="s">
        <v>266</v>
      </c>
      <c r="C374" s="3262">
        <v>0.15</v>
      </c>
      <c r="D374" s="3262">
        <v>0.15</v>
      </c>
      <c r="E374" s="3262">
        <v>0.15</v>
      </c>
      <c r="F374" s="3262">
        <v>0.14399999999999999</v>
      </c>
      <c r="G374" s="3263">
        <v>0.15</v>
      </c>
    </row>
    <row r="375" spans="1:7">
      <c r="A375" s="3272" t="s">
        <v>2846</v>
      </c>
      <c r="B375" s="3261" t="s">
        <v>2915</v>
      </c>
      <c r="C375" s="3262">
        <v>0.15</v>
      </c>
      <c r="D375" s="3262">
        <v>0.15</v>
      </c>
      <c r="E375" s="3262">
        <v>0.15</v>
      </c>
      <c r="F375" s="3262">
        <v>0.13</v>
      </c>
      <c r="G375" s="3263">
        <v>0.15</v>
      </c>
    </row>
    <row r="376" spans="1:7">
      <c r="A376" s="3272" t="s">
        <v>2846</v>
      </c>
      <c r="B376" s="3261" t="s">
        <v>277</v>
      </c>
      <c r="C376" s="3262">
        <v>0.15</v>
      </c>
      <c r="D376" s="3262">
        <v>0.15</v>
      </c>
      <c r="E376" s="3262">
        <v>0.15</v>
      </c>
      <c r="F376" s="3262">
        <v>0.14199999999999999</v>
      </c>
      <c r="G376" s="3263">
        <v>0.15</v>
      </c>
    </row>
    <row r="377" spans="1:7" ht="14.25" thickBot="1">
      <c r="A377" s="3275" t="s">
        <v>2846</v>
      </c>
      <c r="B377" s="3265" t="s">
        <v>2921</v>
      </c>
      <c r="C377" s="3266">
        <v>0.15</v>
      </c>
      <c r="D377" s="3266">
        <v>0.15</v>
      </c>
      <c r="E377" s="3266">
        <v>0.15</v>
      </c>
      <c r="F377" s="3266">
        <v>0.14000000000000001</v>
      </c>
      <c r="G377" s="3268">
        <v>0.15</v>
      </c>
    </row>
    <row r="378" spans="1:7">
      <c r="A378" s="3271" t="s">
        <v>2847</v>
      </c>
      <c r="B378" s="3257" t="s">
        <v>2861</v>
      </c>
      <c r="C378" s="3258">
        <v>0.15</v>
      </c>
      <c r="D378" s="3258">
        <v>0.15</v>
      </c>
      <c r="E378" s="3258">
        <v>0.15</v>
      </c>
      <c r="F378" s="3258">
        <v>0.107</v>
      </c>
      <c r="G378" s="3259">
        <v>0.15</v>
      </c>
    </row>
    <row r="379" spans="1:7">
      <c r="A379" s="3272" t="s">
        <v>2847</v>
      </c>
      <c r="B379" s="3261" t="s">
        <v>2867</v>
      </c>
      <c r="C379" s="3262">
        <v>0.15</v>
      </c>
      <c r="D379" s="3262">
        <v>0.15</v>
      </c>
      <c r="E379" s="3262">
        <v>0.15</v>
      </c>
      <c r="F379" s="3262">
        <v>0.115</v>
      </c>
      <c r="G379" s="3263">
        <v>0.14899999999999999</v>
      </c>
    </row>
    <row r="380" spans="1:7">
      <c r="A380" s="3272" t="s">
        <v>2847</v>
      </c>
      <c r="B380" s="3261" t="s">
        <v>2873</v>
      </c>
      <c r="C380" s="3262">
        <v>0.15</v>
      </c>
      <c r="D380" s="3262">
        <v>0.15</v>
      </c>
      <c r="E380" s="3262">
        <v>0.15</v>
      </c>
      <c r="F380" s="3262">
        <v>0.1</v>
      </c>
      <c r="G380" s="3263">
        <v>0.14799999999999999</v>
      </c>
    </row>
    <row r="381" spans="1:7">
      <c r="A381" s="3272" t="s">
        <v>2847</v>
      </c>
      <c r="B381" s="3261" t="s">
        <v>2876</v>
      </c>
      <c r="C381" s="3262">
        <v>0.15</v>
      </c>
      <c r="D381" s="3262">
        <v>0.15</v>
      </c>
      <c r="E381" s="3262">
        <v>0.15</v>
      </c>
      <c r="F381" s="3262">
        <v>0.126</v>
      </c>
      <c r="G381" s="3263">
        <v>0.15</v>
      </c>
    </row>
    <row r="382" spans="1:7">
      <c r="A382" s="3272" t="s">
        <v>2847</v>
      </c>
      <c r="B382" s="3261" t="s">
        <v>2880</v>
      </c>
      <c r="C382" s="3262">
        <v>0.15</v>
      </c>
      <c r="D382" s="3262">
        <v>0.15</v>
      </c>
      <c r="E382" s="3262">
        <v>0.15</v>
      </c>
      <c r="F382" s="3262">
        <v>0.15</v>
      </c>
      <c r="G382" s="3263">
        <v>0.15</v>
      </c>
    </row>
    <row r="383" spans="1:7">
      <c r="A383" s="3272" t="s">
        <v>2847</v>
      </c>
      <c r="B383" s="3261" t="s">
        <v>2885</v>
      </c>
      <c r="C383" s="3262">
        <v>0.15</v>
      </c>
      <c r="D383" s="3262">
        <v>0.15</v>
      </c>
      <c r="E383" s="3262">
        <v>0.15</v>
      </c>
      <c r="F383" s="3262">
        <v>0.14699999999999999</v>
      </c>
      <c r="G383" s="3263">
        <v>0.15</v>
      </c>
    </row>
    <row r="384" spans="1:7" ht="14.25" thickBot="1">
      <c r="A384" s="3282" t="s">
        <v>2847</v>
      </c>
      <c r="B384" s="3283" t="s">
        <v>2889</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31" t="s">
        <v>3228</v>
      </c>
      <c r="B1" s="3831"/>
      <c r="C1" s="3831"/>
      <c r="D1" s="3831"/>
      <c r="E1" s="3831"/>
      <c r="F1" s="3832"/>
    </row>
    <row r="2" spans="1:6">
      <c r="A2" s="3288" t="s">
        <v>3229</v>
      </c>
      <c r="B2" s="3289"/>
      <c r="C2" s="3289"/>
      <c r="D2" s="3289"/>
      <c r="E2" s="3289"/>
      <c r="F2" s="3289"/>
    </row>
    <row r="3" spans="1:6">
      <c r="A3" s="3288" t="s">
        <v>3230</v>
      </c>
      <c r="B3" s="3289"/>
      <c r="C3" s="3289"/>
      <c r="D3" s="3289"/>
      <c r="E3" s="3289"/>
      <c r="F3" s="3290" t="s">
        <v>3231</v>
      </c>
    </row>
    <row r="4" spans="1:6">
      <c r="A4" s="3291" t="s">
        <v>672</v>
      </c>
      <c r="B4" s="3291" t="s">
        <v>673</v>
      </c>
      <c r="C4" s="3291" t="s">
        <v>21</v>
      </c>
      <c r="D4" s="3291" t="s">
        <v>674</v>
      </c>
      <c r="E4" s="3291" t="s">
        <v>3</v>
      </c>
      <c r="F4" s="3291" t="s">
        <v>3232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45210</v>
      </c>
      <c r="B1" s="3207" t="s">
        <v>2834</v>
      </c>
      <c r="C1" s="3208"/>
      <c r="D1" s="3208"/>
      <c r="E1" s="3208"/>
      <c r="F1" s="3208"/>
      <c r="G1" s="3208"/>
      <c r="H1" s="3208"/>
      <c r="I1" s="3208"/>
      <c r="J1" s="3162"/>
      <c r="K1" s="3208" t="s">
        <v>454</v>
      </c>
      <c r="L1" s="3208"/>
      <c r="M1" s="3208"/>
      <c r="N1" s="3208"/>
      <c r="O1" s="3208"/>
      <c r="P1" s="3208"/>
      <c r="Q1" s="3162"/>
      <c r="R1" s="3833" t="s">
        <v>456</v>
      </c>
      <c r="S1" s="3834"/>
      <c r="T1" s="3834"/>
      <c r="U1" s="3834"/>
      <c r="V1" s="3834"/>
      <c r="W1" s="3834"/>
      <c r="X1" s="3162"/>
      <c r="Y1" s="3833" t="s">
        <v>457</v>
      </c>
      <c r="Z1" s="3834"/>
      <c r="AA1" s="3834"/>
      <c r="AB1" s="3834"/>
      <c r="AC1" s="3834"/>
      <c r="AD1" s="3834"/>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3365</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3366</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3364</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3367</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3368</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2818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3362</v>
      </c>
    </row>
    <row r="19" spans="1:30" s="3006" customFormat="1">
      <c r="I19" s="3205" t="s">
        <v>2819</v>
      </c>
    </row>
    <row r="20" spans="1:30" s="3006" customFormat="1"/>
    <row r="21" spans="1:30" s="3206" customFormat="1" ht="12.75">
      <c r="B21" s="3207" t="s">
        <v>2820</v>
      </c>
      <c r="C21" s="3208"/>
      <c r="D21" s="3208"/>
      <c r="E21" s="3208"/>
      <c r="F21" s="3208"/>
      <c r="G21" s="3208"/>
      <c r="H21" s="3208"/>
      <c r="I21" s="3208"/>
      <c r="J21" s="3162"/>
      <c r="K21" s="3208" t="s">
        <v>2821</v>
      </c>
      <c r="L21" s="3208"/>
      <c r="M21" s="3208"/>
      <c r="N21" s="3208"/>
      <c r="O21" s="3208"/>
      <c r="P21" s="3208"/>
      <c r="Q21" s="3162"/>
      <c r="R21" s="3833" t="s">
        <v>2822</v>
      </c>
      <c r="S21" s="3834"/>
      <c r="T21" s="3834"/>
      <c r="U21" s="3834"/>
      <c r="V21" s="3834"/>
      <c r="W21" s="3834"/>
      <c r="X21" s="3162"/>
      <c r="Y21" s="3833" t="s">
        <v>2823</v>
      </c>
      <c r="Z21" s="3834"/>
      <c r="AA21" s="3834"/>
      <c r="AB21" s="3834"/>
      <c r="AC21" s="3834"/>
      <c r="AD21" s="3834"/>
    </row>
    <row r="22" spans="1:30" s="3140" customFormat="1" ht="14.25" thickBot="1">
      <c r="B22" s="3141"/>
      <c r="C22" s="3142"/>
      <c r="D22" s="3143" t="s">
        <v>2824</v>
      </c>
      <c r="E22" s="3144" t="s">
        <v>2825</v>
      </c>
      <c r="F22" s="3144" t="s">
        <v>2826</v>
      </c>
      <c r="G22" s="3144" t="s">
        <v>2827</v>
      </c>
      <c r="H22" s="3144"/>
      <c r="I22" s="3144" t="s">
        <v>2828</v>
      </c>
      <c r="J22" s="3145"/>
      <c r="K22" s="3143" t="s">
        <v>2824</v>
      </c>
      <c r="L22" s="3144" t="s">
        <v>2825</v>
      </c>
      <c r="M22" s="3144" t="s">
        <v>2826</v>
      </c>
      <c r="N22" s="3144" t="s">
        <v>2827</v>
      </c>
      <c r="O22" s="3144"/>
      <c r="P22" s="3144" t="s">
        <v>2828</v>
      </c>
      <c r="Q22" s="3145"/>
      <c r="R22" s="3143" t="s">
        <v>2824</v>
      </c>
      <c r="S22" s="3144" t="s">
        <v>2825</v>
      </c>
      <c r="T22" s="3144" t="s">
        <v>2826</v>
      </c>
      <c r="U22" s="3144" t="s">
        <v>2827</v>
      </c>
      <c r="V22" s="3144"/>
      <c r="W22" s="3144" t="s">
        <v>2828</v>
      </c>
      <c r="X22" s="3145"/>
      <c r="Y22" s="3143" t="s">
        <v>2824</v>
      </c>
      <c r="Z22" s="3144" t="s">
        <v>2825</v>
      </c>
      <c r="AA22" s="3144" t="s">
        <v>2826</v>
      </c>
      <c r="AB22" s="3144" t="s">
        <v>2827</v>
      </c>
      <c r="AC22" s="3144"/>
      <c r="AD22" s="3144" t="s">
        <v>2828</v>
      </c>
    </row>
    <row r="23" spans="1:30" s="3158" customFormat="1" ht="12.75">
      <c r="A23" s="3146" t="s">
        <v>2829</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3365</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3366</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3364</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3367</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3368</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2818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40" t="s">
        <v>452</v>
      </c>
      <c r="C1" s="3840"/>
      <c r="D1" s="3840"/>
      <c r="E1" s="3840"/>
      <c r="F1" s="3840"/>
      <c r="G1" s="3839" t="s">
        <v>453</v>
      </c>
      <c r="H1" s="3839"/>
      <c r="I1" s="3839"/>
      <c r="J1" s="3839"/>
      <c r="K1" s="3839"/>
      <c r="L1" s="3839"/>
      <c r="N1" s="3839" t="s">
        <v>454</v>
      </c>
      <c r="O1" s="3839"/>
      <c r="P1" s="3839"/>
      <c r="Q1" s="3839"/>
      <c r="S1" s="3839" t="s">
        <v>455</v>
      </c>
      <c r="T1" s="3839"/>
      <c r="U1" s="3839"/>
      <c r="V1" s="3839"/>
      <c r="X1" s="3838" t="s">
        <v>456</v>
      </c>
      <c r="Y1" s="3839"/>
      <c r="Z1" s="3839"/>
      <c r="AA1" s="3839"/>
      <c r="AB1" s="3839"/>
      <c r="AD1" s="3838" t="s">
        <v>457</v>
      </c>
      <c r="AE1" s="3839"/>
      <c r="AF1" s="3839"/>
      <c r="AG1" s="3839"/>
      <c r="AH1" s="383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4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4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3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3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3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2304</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928</v>
      </c>
      <c r="B2" s="3521" t="s">
        <v>929</v>
      </c>
      <c r="C2" s="3521" t="s">
        <v>930</v>
      </c>
      <c r="D2" s="3521" t="str">
        <f>结果表!D116</f>
        <v>出让国有建设用地使用权价值</v>
      </c>
      <c r="E2" s="3521"/>
      <c r="F2" s="3521" t="str">
        <f>结果表!F116</f>
        <v>在建建筑物价值</v>
      </c>
      <c r="G2" s="3521"/>
      <c r="H2" s="3521" t="str">
        <f>IF(项目基本情况!B9="房地产市场价值","房地产市场价值","房地产价值")</f>
        <v>房地产价值</v>
      </c>
      <c r="I2" s="3521"/>
    </row>
    <row r="3" spans="1:9" ht="15">
      <c r="A3" s="3516"/>
      <c r="B3" s="3516"/>
      <c r="C3" s="3516"/>
      <c r="D3" s="853" t="s">
        <v>925</v>
      </c>
      <c r="E3" s="853" t="s">
        <v>931</v>
      </c>
      <c r="F3" s="853" t="s">
        <v>925</v>
      </c>
      <c r="G3" s="853" t="s">
        <v>926</v>
      </c>
      <c r="H3" s="853" t="s">
        <v>925</v>
      </c>
      <c r="I3" s="853" t="s">
        <v>926</v>
      </c>
    </row>
    <row r="4" spans="1:9" ht="15">
      <c r="A4" s="1503" t="str">
        <f>项目基本情况!S2</f>
        <v>北京市房地产</v>
      </c>
      <c r="B4" s="853">
        <f>项目基本情况!C17</f>
        <v>125.74</v>
      </c>
      <c r="C4" s="853">
        <f>项目基本情况!C18</f>
        <v>0</v>
      </c>
      <c r="D4" s="853">
        <f ca="1">结果表!D118</f>
        <v>350</v>
      </c>
      <c r="E4" s="853">
        <f ca="1">结果表!E118</f>
        <v>27835</v>
      </c>
      <c r="F4" s="853">
        <f ca="1">结果表!F118</f>
        <v>132</v>
      </c>
      <c r="G4" s="853">
        <f ca="1">结果表!G118</f>
        <v>10498</v>
      </c>
      <c r="H4" s="853">
        <f ca="1">结果表!H118</f>
        <v>482</v>
      </c>
      <c r="I4" s="853">
        <f ca="1">结果表!I118</f>
        <v>38333</v>
      </c>
    </row>
    <row r="5" spans="1:9" ht="30" customHeight="1">
      <c r="A5" s="3516" t="s">
        <v>927</v>
      </c>
      <c r="B5" s="3516"/>
      <c r="C5" s="3516"/>
      <c r="D5" s="3516" t="str">
        <f ca="1">结果表!D119</f>
        <v>叁佰伍拾万元整</v>
      </c>
      <c r="E5" s="3516"/>
      <c r="F5" s="3516" t="str">
        <f ca="1">结果表!F119</f>
        <v>壹佰叁拾贰万元整</v>
      </c>
      <c r="G5" s="3516"/>
      <c r="H5" s="3516" t="str">
        <f ca="1">结果表!H119</f>
        <v>肆佰捌拾贰万元整</v>
      </c>
      <c r="I5" s="3516"/>
    </row>
    <row r="6" spans="1:9" ht="15.75">
      <c r="A6" s="3515" t="str">
        <f>结果表!A120</f>
        <v>估价师知悉的法定优先受偿款</v>
      </c>
      <c r="B6" s="3515"/>
      <c r="C6" s="3515"/>
      <c r="D6" s="3515">
        <f>结果表!D120</f>
        <v>0</v>
      </c>
      <c r="E6" s="3515"/>
      <c r="F6" s="3515"/>
      <c r="G6" s="3515"/>
      <c r="H6" s="3515"/>
      <c r="I6" s="3515"/>
    </row>
    <row r="7" spans="1:9" ht="15">
      <c r="A7" s="3516" t="s">
        <v>927</v>
      </c>
      <c r="B7" s="3516"/>
      <c r="C7" s="3516"/>
      <c r="D7" s="3517" t="str">
        <f>结果表!D121</f>
        <v>零元整</v>
      </c>
      <c r="E7" s="3518"/>
      <c r="F7" s="3518"/>
      <c r="G7" s="3518"/>
      <c r="H7" s="3518"/>
      <c r="I7" s="3519"/>
    </row>
    <row r="8" spans="1:9" ht="15.75">
      <c r="A8" s="3515" t="str">
        <f>结果表!A122</f>
        <v>房地产抵押价值</v>
      </c>
      <c r="B8" s="3515"/>
      <c r="C8" s="3515"/>
      <c r="D8" s="3515">
        <f ca="1">结果表!D122</f>
        <v>482</v>
      </c>
      <c r="E8" s="3515"/>
      <c r="F8" s="3515"/>
      <c r="G8" s="3515"/>
      <c r="H8" s="3515"/>
      <c r="I8" s="3515"/>
    </row>
    <row r="9" spans="1:9" ht="15">
      <c r="A9" s="3516" t="s">
        <v>927</v>
      </c>
      <c r="B9" s="3516"/>
      <c r="C9" s="3516"/>
      <c r="D9" s="3516" t="str">
        <f ca="1">结果表!D123</f>
        <v>肆佰捌拾贰万元整</v>
      </c>
      <c r="E9" s="3516"/>
      <c r="F9" s="3516"/>
      <c r="G9" s="3516"/>
      <c r="H9" s="3516"/>
      <c r="I9" s="3516"/>
    </row>
    <row r="10" spans="1:9" ht="15.75">
      <c r="A10" s="3515" t="str">
        <f>结果表!A124</f>
        <v/>
      </c>
      <c r="B10" s="3515"/>
      <c r="C10" s="3515"/>
      <c r="D10" s="3515" t="str">
        <f>结果表!D124</f>
        <v>——</v>
      </c>
      <c r="E10" s="3515"/>
      <c r="F10" s="3515"/>
      <c r="G10" s="3515"/>
      <c r="H10" s="3515"/>
      <c r="I10" s="3515"/>
    </row>
    <row r="11" spans="1:9" ht="15">
      <c r="A11" s="3516" t="s">
        <v>927</v>
      </c>
      <c r="B11" s="3516"/>
      <c r="C11" s="3516"/>
      <c r="D11" s="3516" t="e">
        <f>结果表!D125</f>
        <v>#VALUE!</v>
      </c>
      <c r="E11" s="3516"/>
      <c r="F11" s="3516"/>
      <c r="G11" s="3516"/>
      <c r="H11" s="3516"/>
      <c r="I11" s="3516"/>
    </row>
    <row r="12" spans="1:9" ht="15.75">
      <c r="A12" s="3515" t="str">
        <f>结果表!A126</f>
        <v/>
      </c>
      <c r="B12" s="3515"/>
      <c r="C12" s="3515"/>
      <c r="D12" s="3515" t="str">
        <f>结果表!D126</f>
        <v>——</v>
      </c>
      <c r="E12" s="3515"/>
      <c r="F12" s="3515"/>
      <c r="G12" s="3515"/>
      <c r="H12" s="3515"/>
      <c r="I12" s="3515"/>
    </row>
    <row r="13" spans="1:9" ht="15.75" thickBot="1">
      <c r="A13" s="3513" t="s">
        <v>927</v>
      </c>
      <c r="B13" s="3513"/>
      <c r="C13" s="3513"/>
      <c r="D13" s="3513" t="e">
        <f>结果表!D127</f>
        <v>#VALUE!</v>
      </c>
      <c r="E13" s="3513"/>
      <c r="F13" s="3513"/>
      <c r="G13" s="3513"/>
      <c r="H13" s="3513"/>
      <c r="I13" s="3513"/>
    </row>
    <row r="14" spans="1:9" ht="15" thickTop="1">
      <c r="A14" s="3514" t="s">
        <v>932</v>
      </c>
      <c r="B14" s="3514"/>
      <c r="C14" s="3514"/>
      <c r="D14" s="3514"/>
      <c r="E14" s="3514"/>
      <c r="F14" s="3514"/>
      <c r="G14" s="3514"/>
      <c r="H14" s="3514"/>
      <c r="I14" s="351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8" t="s">
        <v>949</v>
      </c>
      <c r="B1" s="3528"/>
      <c r="C1" s="3528"/>
      <c r="D1" s="3528"/>
    </row>
    <row r="2" spans="1:4" ht="18">
      <c r="A2" s="3529" t="s">
        <v>933</v>
      </c>
      <c r="B2" s="3529"/>
      <c r="C2" s="3529"/>
      <c r="D2" s="3529"/>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529" t="s">
        <v>939</v>
      </c>
      <c r="B6" s="3529"/>
      <c r="C6" s="3529"/>
      <c r="D6" s="3529"/>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30" t="s">
        <v>942</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2" t="str">
        <f>IF(项目基本情况!B8="抵押","4.本次评估估价师所知悉的法定优先受偿款情况说明如下：","——")</f>
        <v>4.本次评估估价师所知悉的法定优先受偿款情况说明如下：</v>
      </c>
      <c r="B14" s="3527"/>
      <c r="C14" s="3527"/>
      <c r="D14" s="3527"/>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4" t="s">
        <v>943</v>
      </c>
      <c r="B16" s="3524"/>
      <c r="C16" s="3524"/>
      <c r="D16" s="3524"/>
    </row>
    <row r="17" spans="1:4" ht="144" customHeight="1">
      <c r="A17" s="3524" t="s">
        <v>944</v>
      </c>
      <c r="B17" s="3524"/>
      <c r="C17" s="3524"/>
      <c r="D17" s="3524"/>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2"/>
      <c r="C20" s="3522"/>
      <c r="D20" s="3522"/>
    </row>
    <row r="21" spans="1:4" ht="57.75" customHeight="1">
      <c r="A21" s="35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5"/>
      <c r="C21" s="3525"/>
      <c r="D21" s="3525"/>
    </row>
    <row r="22" spans="1:4" ht="18.75" customHeight="1">
      <c r="A22" s="3526" t="s">
        <v>945</v>
      </c>
      <c r="B22" s="3526"/>
      <c r="C22" s="3526"/>
      <c r="D22" s="352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3">
        <v>42551</v>
      </c>
      <c r="D31" s="35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36" t="s">
        <v>956</v>
      </c>
      <c r="B15" s="3531" t="s">
        <v>109</v>
      </c>
      <c r="C15" s="3532"/>
    </row>
    <row r="16" spans="1:7" ht="13.5">
      <c r="A16" s="3537"/>
      <c r="B16" s="3531" t="s">
        <v>42</v>
      </c>
      <c r="C16" s="3532"/>
    </row>
    <row r="17" spans="1:3" ht="13.5">
      <c r="A17" s="3537"/>
      <c r="B17" s="3534" t="s">
        <v>957</v>
      </c>
      <c r="C17" s="1530" t="s">
        <v>956</v>
      </c>
    </row>
    <row r="18" spans="1:3" ht="13.5">
      <c r="A18" s="3537"/>
      <c r="B18" s="3534"/>
      <c r="C18" s="1530" t="s">
        <v>958</v>
      </c>
    </row>
    <row r="19" spans="1:3" ht="13.5">
      <c r="A19" s="3537"/>
      <c r="B19" s="3534"/>
      <c r="C19" s="1530" t="s">
        <v>959</v>
      </c>
    </row>
    <row r="20" spans="1:3" ht="13.5">
      <c r="A20" s="3538"/>
      <c r="B20" s="3533" t="s">
        <v>960</v>
      </c>
      <c r="C20" s="3532"/>
    </row>
    <row r="21" spans="1:3" ht="13.5">
      <c r="A21" s="1531" t="s">
        <v>961</v>
      </c>
      <c r="B21" s="1532"/>
      <c r="C21" s="1533"/>
    </row>
    <row r="22" spans="1:3" ht="13.5">
      <c r="A22" s="3535" t="s">
        <v>962</v>
      </c>
      <c r="B22" s="3533" t="s">
        <v>963</v>
      </c>
      <c r="C22" s="3532"/>
    </row>
    <row r="23" spans="1:3" ht="13.5">
      <c r="A23" s="3535"/>
      <c r="B23" s="3533" t="s">
        <v>964</v>
      </c>
      <c r="C23" s="3532"/>
    </row>
    <row r="24" spans="1:3" ht="13.5">
      <c r="A24" s="3535"/>
      <c r="B24" s="3533" t="s">
        <v>965</v>
      </c>
      <c r="C24" s="3532"/>
    </row>
    <row r="25" spans="1:3" ht="13.5">
      <c r="A25" s="3535"/>
      <c r="B25" s="3534" t="s">
        <v>966</v>
      </c>
      <c r="C25" s="1530" t="s">
        <v>967</v>
      </c>
    </row>
    <row r="26" spans="1:3" ht="13.5">
      <c r="A26" s="3535"/>
      <c r="B26" s="3534"/>
      <c r="C26" s="1530" t="s">
        <v>968</v>
      </c>
    </row>
    <row r="27" spans="1:3" ht="13.5">
      <c r="A27" s="3535"/>
      <c r="B27" s="3534"/>
      <c r="C27" s="1530" t="s">
        <v>969</v>
      </c>
    </row>
    <row r="28" spans="1:3" ht="13.5">
      <c r="A28" s="3535"/>
      <c r="B28" s="3534"/>
      <c r="C28" s="1530" t="s">
        <v>970</v>
      </c>
    </row>
    <row r="29" spans="1:3" ht="13.5">
      <c r="A29" s="3535"/>
      <c r="B29" s="3534"/>
      <c r="C29" s="1530" t="s">
        <v>971</v>
      </c>
    </row>
    <row r="30" spans="1:3" ht="13.5">
      <c r="A30" s="3535"/>
      <c r="B30" s="3534"/>
      <c r="C30" s="1530" t="s">
        <v>972</v>
      </c>
    </row>
    <row r="31" spans="1:3" ht="13.5">
      <c r="A31" s="3535"/>
      <c r="B31" s="3534"/>
      <c r="C31" s="1530" t="s">
        <v>973</v>
      </c>
    </row>
    <row r="32" spans="1:3" ht="13.5">
      <c r="A32" s="3535"/>
      <c r="B32" s="3534"/>
      <c r="C32" s="1530" t="s">
        <v>974</v>
      </c>
    </row>
    <row r="33" spans="1:3" ht="13.5">
      <c r="A33" s="3535"/>
      <c r="B33" s="353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45210</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f ca="1">IF(C6&lt;B2,"已过期",1120050019)</f>
        <v>1120050019</v>
      </c>
      <c r="C6" s="2343">
        <v>45410</v>
      </c>
      <c r="D6" s="2344" t="str">
        <f t="shared" ca="1" si="0"/>
        <v>王鹏（注册号：1120050019）</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f ca="1">IF(C9&lt;B2,"已过期",1120060040)</f>
        <v>1120060040</v>
      </c>
      <c r="C9" s="2348">
        <v>45592</v>
      </c>
      <c r="D9" s="2344" t="str">
        <f t="shared" ca="1" si="0"/>
        <v>陈颖（注册号：1120060040）</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f ca="1">IF(C13&lt;B2,"已过期",1120020033)</f>
        <v>1120020033</v>
      </c>
      <c r="C13" s="2343">
        <v>45375</v>
      </c>
      <c r="D13" s="2344" t="str">
        <f t="shared" ca="1" si="0"/>
        <v>刘敬东（注册号：1120020033）</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2431</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39" t="s">
        <v>2155</v>
      </c>
      <c r="B17" s="3539"/>
      <c r="C17" s="3539"/>
      <c r="D17" s="3539"/>
      <c r="E17" s="3539"/>
      <c r="F17" s="3539"/>
      <c r="G17" s="3539"/>
      <c r="H17" s="3539"/>
    </row>
    <row r="18" spans="1:8" ht="24" customHeight="1">
      <c r="A18" s="3540" t="s">
        <v>2156</v>
      </c>
      <c r="B18" s="3540"/>
      <c r="C18" s="3540"/>
      <c r="D18" s="2341"/>
      <c r="E18" s="3541" t="s">
        <v>2157</v>
      </c>
      <c r="F18" s="3540"/>
      <c r="G18" s="3540"/>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61" priority="53">
      <formula>AND($C4-TODAY()&lt;30,TODAY()&lt;$C4)</formula>
    </cfRule>
  </conditionalFormatting>
  <conditionalFormatting sqref="C20:D20">
    <cfRule type="expression" dxfId="260" priority="52">
      <formula>AND($C20-TODAY()&lt;30,TODAY()&lt;$C20)</formula>
    </cfRule>
  </conditionalFormatting>
  <conditionalFormatting sqref="C20:D20 G4 C4:D5 C13:D13">
    <cfRule type="cellIs" dxfId="259" priority="54" stopIfTrue="1" operator="lessThan">
      <formula>$B$2</formula>
    </cfRule>
  </conditionalFormatting>
  <conditionalFormatting sqref="G5 G7 G9">
    <cfRule type="cellIs" dxfId="258" priority="51" stopIfTrue="1" operator="lessThan">
      <formula>$B$2</formula>
    </cfRule>
  </conditionalFormatting>
  <conditionalFormatting sqref="C6:D6 D14 D16">
    <cfRule type="expression" dxfId="257" priority="49">
      <formula>AND($C6-TODAY()&lt;30,TODAY()&lt;$C6)</formula>
    </cfRule>
  </conditionalFormatting>
  <conditionalFormatting sqref="G6 G8 G10 C6:D6 D7:D12 D14 D16">
    <cfRule type="cellIs" dxfId="256" priority="50" stopIfTrue="1" operator="lessThan">
      <formula>$B$2</formula>
    </cfRule>
  </conditionalFormatting>
  <conditionalFormatting sqref="D12">
    <cfRule type="expression" dxfId="255" priority="47">
      <formula>AND($C12-TODAY()&lt;30,TODAY()&lt;$C12)</formula>
    </cfRule>
  </conditionalFormatting>
  <conditionalFormatting sqref="D12">
    <cfRule type="cellIs" dxfId="254" priority="48" stopIfTrue="1" operator="lessThan">
      <formula>$B$2</formula>
    </cfRule>
  </conditionalFormatting>
  <conditionalFormatting sqref="C13:D13">
    <cfRule type="expression" dxfId="253" priority="45">
      <formula>AND($C13-TODAY()&lt;30,TODAY()&lt;$C13)</formula>
    </cfRule>
  </conditionalFormatting>
  <conditionalFormatting sqref="C13:D13">
    <cfRule type="cellIs" dxfId="252" priority="46" stopIfTrue="1" operator="lessThan">
      <formula>$B$2</formula>
    </cfRule>
  </conditionalFormatting>
  <conditionalFormatting sqref="D14">
    <cfRule type="expression" dxfId="251" priority="43">
      <formula>AND($C14-TODAY()&lt;30,TODAY()&lt;$C14)</formula>
    </cfRule>
  </conditionalFormatting>
  <conditionalFormatting sqref="D14">
    <cfRule type="cellIs" dxfId="250" priority="44" stopIfTrue="1" operator="lessThan">
      <formula>$B$2</formula>
    </cfRule>
  </conditionalFormatting>
  <conditionalFormatting sqref="G13">
    <cfRule type="cellIs" dxfId="249" priority="42" stopIfTrue="1" operator="lessThan">
      <formula>$B$2</formula>
    </cfRule>
  </conditionalFormatting>
  <conditionalFormatting sqref="B4:B11 F4:F11 B13 F13:F14">
    <cfRule type="cellIs" dxfId="248" priority="41" stopIfTrue="1" operator="equal">
      <formula>"已过期"</formula>
    </cfRule>
  </conditionalFormatting>
  <conditionalFormatting sqref="C7">
    <cfRule type="cellIs" dxfId="247" priority="38" stopIfTrue="1" operator="lessThan">
      <formula>$B$2</formula>
    </cfRule>
  </conditionalFormatting>
  <conditionalFormatting sqref="C7">
    <cfRule type="expression" dxfId="246" priority="37">
      <formula>AND($C7-TODAY()&lt;30,TODAY()&lt;$C7)</formula>
    </cfRule>
  </conditionalFormatting>
  <conditionalFormatting sqref="C8">
    <cfRule type="expression" dxfId="245" priority="35">
      <formula>AND($C8-TODAY()&lt;30,TODAY()&lt;$C8)</formula>
    </cfRule>
  </conditionalFormatting>
  <conditionalFormatting sqref="C8">
    <cfRule type="cellIs" dxfId="244" priority="36" stopIfTrue="1" operator="lessThan">
      <formula>$B$2</formula>
    </cfRule>
  </conditionalFormatting>
  <conditionalFormatting sqref="C11">
    <cfRule type="expression" dxfId="243" priority="33">
      <formula>AND($C11-TODAY()&lt;30,TODAY()&lt;$C11)</formula>
    </cfRule>
  </conditionalFormatting>
  <conditionalFormatting sqref="C11">
    <cfRule type="cellIs" dxfId="242" priority="34" stopIfTrue="1" operator="lessThan">
      <formula>$B$2</formula>
    </cfRule>
  </conditionalFormatting>
  <conditionalFormatting sqref="A16:C16">
    <cfRule type="cellIs" dxfId="241" priority="32" stopIfTrue="1" operator="equal">
      <formula>"已过期"</formula>
    </cfRule>
  </conditionalFormatting>
  <conditionalFormatting sqref="E16:G16">
    <cfRule type="cellIs" dxfId="240" priority="31" stopIfTrue="1" operator="equal">
      <formula>"已过期"</formula>
    </cfRule>
  </conditionalFormatting>
  <conditionalFormatting sqref="G11">
    <cfRule type="cellIs" dxfId="239" priority="30"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2">
    <cfRule type="cellIs" dxfId="236" priority="27" stopIfTrue="1" operator="lessThan">
      <formula>$B$2</formula>
    </cfRule>
  </conditionalFormatting>
  <conditionalFormatting sqref="C12">
    <cfRule type="expression" dxfId="235" priority="25">
      <formula>AND($C12-TODAY()&lt;30,TODAY()&lt;$C12)</formula>
    </cfRule>
  </conditionalFormatting>
  <conditionalFormatting sqref="C12">
    <cfRule type="cellIs" dxfId="234" priority="26" stopIfTrue="1" operator="lessThan">
      <formula>$B$2</formula>
    </cfRule>
  </conditionalFormatting>
  <conditionalFormatting sqref="B12">
    <cfRule type="cellIs" dxfId="233" priority="24" stopIfTrue="1" operator="equal">
      <formula>"已过期"</formula>
    </cfRule>
  </conditionalFormatting>
  <conditionalFormatting sqref="C9:C10">
    <cfRule type="expression" dxfId="232" priority="22">
      <formula>AND($C9-TODAY()&lt;30,TODAY()&lt;$C9)</formula>
    </cfRule>
  </conditionalFormatting>
  <conditionalFormatting sqref="C9:C10">
    <cfRule type="cellIs" dxfId="231" priority="23" stopIfTrue="1" operator="lessThan">
      <formula>$B$2</formula>
    </cfRule>
  </conditionalFormatting>
  <conditionalFormatting sqref="G21">
    <cfRule type="expression" dxfId="230" priority="20" stopIfTrue="1">
      <formula>AND(#REF!-TODAY()&lt;30,TODAY()&lt;#REF!)</formula>
    </cfRule>
  </conditionalFormatting>
  <conditionalFormatting sqref="G21">
    <cfRule type="cellIs" dxfId="229" priority="21" stopIfTrue="1" operator="lessThan">
      <formula>$B$2</formula>
    </cfRule>
  </conditionalFormatting>
  <conditionalFormatting sqref="C14">
    <cfRule type="expression" dxfId="228" priority="18">
      <formula>AND($C14-TODAY()&lt;30,TODAY()&lt;$C14)</formula>
    </cfRule>
  </conditionalFormatting>
  <conditionalFormatting sqref="C14">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B14">
    <cfRule type="cellIs" dxfId="224" priority="15" stopIfTrue="1" operator="equal">
      <formula>"已过期"</formula>
    </cfRule>
  </conditionalFormatting>
  <conditionalFormatting sqref="G14">
    <cfRule type="cellIs" dxfId="223" priority="14" stopIfTrue="1" operator="lessThan">
      <formula>$B$2</formula>
    </cfRule>
  </conditionalFormatting>
  <conditionalFormatting sqref="D15">
    <cfRule type="expression" dxfId="222" priority="12">
      <formula>AND($C15-TODAY()&lt;30,TODAY()&lt;$C15)</formula>
    </cfRule>
  </conditionalFormatting>
  <conditionalFormatting sqref="D15">
    <cfRule type="cellIs" dxfId="221" priority="13"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F15">
    <cfRule type="cellIs" dxfId="218" priority="9" stopIfTrue="1" operator="equal">
      <formula>"已过期"</formula>
    </cfRule>
  </conditionalFormatting>
  <conditionalFormatting sqref="C15">
    <cfRule type="expression" dxfId="217" priority="7">
      <formula>AND($C15-TODAY()&lt;30,TODAY()&lt;$C15)</formula>
    </cfRule>
  </conditionalFormatting>
  <conditionalFormatting sqref="C15">
    <cfRule type="cellIs" dxfId="216" priority="8" stopIfTrue="1" operator="lessThan">
      <formula>$B$2</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B15">
    <cfRule type="cellIs" dxfId="213" priority="4" stopIfTrue="1" operator="equal">
      <formula>"已过期"</formula>
    </cfRule>
  </conditionalFormatting>
  <conditionalFormatting sqref="G15">
    <cfRule type="cellIs" dxfId="212" priority="3" stopIfTrue="1" operator="lessThan">
      <formula>$B$2</formula>
    </cfRule>
  </conditionalFormatting>
  <conditionalFormatting sqref="G20">
    <cfRule type="expression" dxfId="211" priority="1" stopIfTrue="1">
      <formula>AND(#REF!-TODAY()&lt;30,TODAY()&lt;#REF!)</formula>
    </cfRule>
  </conditionalFormatting>
  <conditionalFormatting sqref="G20">
    <cfRule type="cellIs" dxfId="21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明细表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典型户型修正</vt:lpstr>
      <vt:lpstr>结果表商业</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比较法-租金</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2023-10-11T09:29:21Z</dcterms:modified>
</cp:coreProperties>
</file>