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D81" i="43" l="1"/>
  <c r="K82" i="43"/>
  <c r="D82" i="43"/>
  <c r="D83" i="43"/>
  <c r="K84" i="43"/>
  <c r="D84" i="43"/>
  <c r="K85" i="43"/>
  <c r="D85" i="43"/>
  <c r="K86" i="43"/>
  <c r="J86" i="43"/>
  <c r="D86" i="43"/>
  <c r="K87" i="43"/>
  <c r="D87" i="43"/>
  <c r="K88" i="43"/>
  <c r="D88" i="43"/>
  <c r="E81" i="43"/>
  <c r="B79" i="43"/>
  <c r="C24" i="43"/>
  <c r="D29" i="43"/>
  <c r="Y6" i="1"/>
  <c r="AH6" i="1"/>
  <c r="L6" i="1"/>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F6" i="1"/>
  <c r="A6" i="1"/>
  <c r="G1" i="67"/>
  <c r="J50" i="67"/>
  <c r="J51" i="67"/>
  <c r="B24" i="1"/>
  <c r="M47" i="67"/>
  <c r="G1" i="15"/>
  <c r="J51"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M85" i="43"/>
  <c r="N85" i="43"/>
  <c r="J85" i="43"/>
  <c r="M84" i="43"/>
  <c r="N84" i="43"/>
  <c r="J84" i="43"/>
  <c r="M83" i="43"/>
  <c r="N83" i="43"/>
  <c r="K83" i="43"/>
  <c r="J83" i="43"/>
  <c r="M82" i="43"/>
  <c r="N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8"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8"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H16" i="1"/>
  <c r="K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S20" i="6"/>
  <c r="I19" i="6"/>
  <c r="M27" i="6"/>
  <c r="M16" i="1"/>
  <c r="N16" i="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F34" i="68"/>
  <c r="C36"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19" i="69"/>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B7" i="49"/>
  <c r="E7" i="49"/>
  <c r="B15" i="49"/>
  <c r="AB3" i="71"/>
  <c r="X3" i="71"/>
  <c r="C9" i="71"/>
  <c r="E9" i="71"/>
  <c r="E8" i="71"/>
  <c r="E10" i="49"/>
  <c r="B6" i="49"/>
  <c r="E14" i="49"/>
  <c r="AF3" i="71"/>
  <c r="P24" i="43"/>
  <c r="B66" i="40"/>
  <c r="P21" i="43"/>
  <c r="P22" i="43"/>
  <c r="C23" i="12"/>
  <c r="B13" i="49"/>
  <c r="B4" i="49"/>
  <c r="B9" i="49"/>
  <c r="E22" i="49"/>
  <c r="E16" i="49"/>
  <c r="E11" i="49"/>
  <c r="B10" i="49"/>
  <c r="E6" i="49"/>
  <c r="E8" i="49"/>
  <c r="E5" i="49"/>
  <c r="B8" i="49"/>
  <c r="B5" i="49"/>
  <c r="E21" i="49"/>
  <c r="E4" i="49"/>
  <c r="B11" i="49"/>
  <c r="B14" i="49"/>
  <c r="B16" i="49"/>
  <c r="E13" i="49"/>
  <c r="E15" i="49"/>
  <c r="E9" i="49"/>
  <c r="B22" i="49"/>
  <c r="F31" i="15"/>
  <c r="M17" i="67"/>
  <c r="F59" i="67"/>
  <c r="F59" i="15"/>
  <c r="M17" i="15"/>
  <c r="F31" i="67"/>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U8"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D10" i="69"/>
  <c r="L48" i="15"/>
  <c r="D9" i="69"/>
  <c r="F27" i="69"/>
  <c r="C36" i="69"/>
  <c r="C34" i="69"/>
  <c r="F43" i="67"/>
  <c r="M23" i="15"/>
  <c r="D4" i="73"/>
  <c r="L48" i="67"/>
  <c r="D2" i="34"/>
  <c r="F26" i="67"/>
  <c r="D2" i="33"/>
  <c r="F8" i="15"/>
  <c r="F9" i="15"/>
  <c r="F4" i="73"/>
  <c r="D5" i="73"/>
  <c r="F26" i="15"/>
  <c r="F35" i="15"/>
  <c r="F40" i="15"/>
  <c r="M8" i="15"/>
  <c r="M9" i="15"/>
  <c r="M9" i="67"/>
  <c r="J15" i="67"/>
  <c r="M27" i="67"/>
  <c r="F3" i="73"/>
  <c r="E7" i="76"/>
  <c r="F6" i="67"/>
  <c r="F9" i="67"/>
  <c r="F8" i="67"/>
  <c r="F7" i="15"/>
  <c r="F16" i="15"/>
  <c r="F13" i="15"/>
  <c r="F38" i="15"/>
  <c r="F42" i="15"/>
  <c r="M6" i="15"/>
  <c r="E13" i="76"/>
  <c r="AO8" i="1"/>
  <c r="M29" i="67"/>
  <c r="F7" i="67"/>
  <c r="F16" i="67"/>
  <c r="F36" i="67"/>
  <c r="F13" i="67"/>
  <c r="F37" i="67"/>
  <c r="F38" i="67"/>
  <c r="F42" i="67"/>
  <c r="M8" i="67"/>
  <c r="L47" i="67"/>
  <c r="F20" i="31"/>
  <c r="M21" i="15"/>
  <c r="M24" i="15"/>
  <c r="M26" i="15"/>
  <c r="B12" i="76"/>
  <c r="M29" i="15"/>
  <c r="E10" i="76"/>
  <c r="AO10" i="1"/>
  <c r="F6" i="73"/>
  <c r="D34" i="9"/>
  <c r="M23" i="67"/>
  <c r="E9" i="76"/>
  <c r="E2" i="69"/>
  <c r="L47" i="15"/>
  <c r="M27" i="15"/>
  <c r="J15" i="15"/>
  <c r="M28" i="15"/>
  <c r="D2" i="36"/>
  <c r="M24" i="67"/>
  <c r="AO13" i="1"/>
  <c r="B9" i="76"/>
  <c r="AO11" i="1"/>
  <c r="D35" i="9"/>
  <c r="F6" i="15"/>
  <c r="C14" i="15"/>
  <c r="F43" i="15"/>
  <c r="F36" i="15"/>
  <c r="F37" i="15"/>
  <c r="F41" i="15"/>
  <c r="B10" i="76"/>
  <c r="B8" i="76"/>
  <c r="AO7" i="1"/>
  <c r="F35" i="67"/>
  <c r="F40" i="67"/>
  <c r="M6" i="67"/>
  <c r="C76" i="67"/>
  <c r="D2" i="35"/>
  <c r="F5" i="73"/>
  <c r="D2" i="21"/>
  <c r="E11" i="76"/>
  <c r="F7" i="73"/>
  <c r="M22" i="67"/>
  <c r="AO12" i="1"/>
  <c r="M26" i="67"/>
  <c r="D2" i="37"/>
  <c r="M21" i="67"/>
  <c r="E2" i="68"/>
  <c r="E12" i="76"/>
  <c r="C76" i="15"/>
  <c r="AO9" i="1"/>
  <c r="M22" i="15"/>
  <c r="B11" i="76"/>
  <c r="B13" i="76"/>
  <c r="M28" i="67"/>
  <c r="B7" i="76"/>
  <c r="E8" i="76"/>
  <c r="D3" i="73"/>
  <c r="D7" i="73"/>
  <c r="D6" i="73"/>
  <c r="C47" i="68" l="1"/>
  <c r="D45" i="68" s="1"/>
  <c r="C34" i="68"/>
  <c r="C38" i="68" s="1"/>
  <c r="D19" i="68"/>
  <c r="C14" i="12"/>
  <c r="R16" i="1"/>
  <c r="C12" i="12"/>
  <c r="C16" i="12" s="1"/>
  <c r="B9" i="70"/>
  <c r="Q71" i="15"/>
  <c r="J20" i="67"/>
  <c r="B2" i="37"/>
  <c r="B3" i="37" s="1"/>
  <c r="B12" i="70"/>
  <c r="B2" i="21"/>
  <c r="B3" i="21" s="1"/>
  <c r="B2" i="35"/>
  <c r="B3" i="35" s="1"/>
  <c r="Q71" i="67"/>
  <c r="F68" i="67"/>
  <c r="C34" i="67"/>
  <c r="F63" i="67"/>
  <c r="C62" i="67" s="1"/>
  <c r="B7" i="70"/>
  <c r="F69" i="15"/>
  <c r="F65" i="15"/>
  <c r="F64" i="15"/>
  <c r="F71" i="15"/>
  <c r="C15" i="15"/>
  <c r="C18" i="15"/>
  <c r="C6" i="15"/>
  <c r="B11" i="70"/>
  <c r="B13" i="70"/>
  <c r="B2" i="36"/>
  <c r="B3" i="36" s="1"/>
  <c r="L59" i="15"/>
  <c r="L58" i="15"/>
  <c r="N59" i="15"/>
  <c r="M59" i="15"/>
  <c r="B10" i="70"/>
  <c r="J20" i="15"/>
  <c r="B20" i="31"/>
  <c r="L59" i="67"/>
  <c r="L58" i="67"/>
  <c r="M59" i="67"/>
  <c r="N59" i="67"/>
  <c r="F70" i="67"/>
  <c r="F66" i="67"/>
  <c r="F65" i="67"/>
  <c r="F64" i="67"/>
  <c r="M7" i="67"/>
  <c r="J6" i="67" s="1"/>
  <c r="F50" i="67"/>
  <c r="B8" i="70"/>
  <c r="F66" i="15"/>
  <c r="M7" i="15"/>
  <c r="J6" i="15" s="1"/>
  <c r="F50" i="15"/>
  <c r="F51" i="67"/>
  <c r="C6" i="67"/>
  <c r="F68" i="15"/>
  <c r="C34" i="15"/>
  <c r="F63" i="15"/>
  <c r="C62" i="15" s="1"/>
  <c r="C27" i="15"/>
  <c r="K1" i="73"/>
  <c r="I1" i="73"/>
  <c r="B39" i="1" s="1"/>
  <c r="F51" i="15"/>
  <c r="B2" i="33"/>
  <c r="B3" i="33" s="1"/>
  <c r="C27" i="67"/>
  <c r="B2" i="34"/>
  <c r="B3" i="34" s="1"/>
  <c r="J53" i="67"/>
  <c r="J57" i="67"/>
  <c r="J55" i="67" s="1"/>
  <c r="J58" i="67" s="1"/>
  <c r="Q50" i="67" s="1"/>
  <c r="L57" i="67"/>
  <c r="L60" i="67"/>
  <c r="I54" i="67"/>
  <c r="L56" i="67"/>
  <c r="E20" i="43"/>
  <c r="F71" i="67"/>
  <c r="C38" i="69"/>
  <c r="C35" i="69"/>
  <c r="C47" i="69"/>
  <c r="D45" i="69" s="1"/>
  <c r="C29" i="69"/>
  <c r="D27" i="69" s="1"/>
  <c r="C9" i="69"/>
  <c r="D19" i="69"/>
  <c r="D37" i="69" s="1"/>
  <c r="C37" i="69" s="1"/>
  <c r="J53" i="15"/>
  <c r="L56" i="15" s="1"/>
  <c r="J57" i="15"/>
  <c r="J55" i="15" s="1"/>
  <c r="J58" i="15" s="1"/>
  <c r="Q50" i="15" s="1"/>
  <c r="I54" i="15"/>
  <c r="C10" i="69"/>
  <c r="B29" i="1" s="1"/>
  <c r="C35" i="68"/>
  <c r="C17" i="15"/>
  <c r="G1" i="73"/>
  <c r="C17" i="67"/>
  <c r="C14" i="67"/>
  <c r="C16" i="67"/>
  <c r="C16" i="15"/>
  <c r="C19" i="68" l="1"/>
  <c r="D37" i="68"/>
  <c r="C37" i="68" s="1"/>
  <c r="C33" i="68" s="1"/>
  <c r="C39" i="68" s="1"/>
  <c r="C46" i="68" s="1"/>
  <c r="C45" i="68" s="1"/>
  <c r="C33" i="69"/>
  <c r="C39" i="69" s="1"/>
  <c r="C46" i="69" s="1"/>
  <c r="C45" i="69" s="1"/>
  <c r="C19" i="15"/>
  <c r="C15" i="67"/>
  <c r="C18" i="67"/>
  <c r="B40" i="1"/>
  <c r="J18" i="67"/>
  <c r="M11" i="15"/>
  <c r="J10" i="15" s="1"/>
  <c r="J5" i="15" s="1"/>
  <c r="F11" i="67"/>
  <c r="C53" i="67" s="1"/>
  <c r="F11" i="15"/>
  <c r="M11" i="67"/>
  <c r="J10" i="67" s="1"/>
  <c r="J5" i="67" s="1"/>
  <c r="C32" i="67"/>
  <c r="J18" i="15"/>
  <c r="Q73" i="67"/>
  <c r="Q60" i="67"/>
  <c r="Q74" i="15"/>
  <c r="Q61" i="15"/>
  <c r="C32" i="15"/>
  <c r="Q66" i="67"/>
  <c r="Q57" i="67"/>
  <c r="C8" i="68"/>
  <c r="C5" i="68" s="1"/>
  <c r="C18" i="12"/>
  <c r="C21" i="12" s="1"/>
  <c r="F1" i="15"/>
  <c r="Q52" i="15"/>
  <c r="C8" i="69"/>
  <c r="P28" i="43"/>
  <c r="G20" i="43" s="1"/>
  <c r="M28" i="43"/>
  <c r="N28" i="43"/>
  <c r="O28" i="43"/>
  <c r="F1" i="67"/>
  <c r="Q52" i="67"/>
  <c r="C49" i="15"/>
  <c r="C49" i="67"/>
  <c r="C48" i="67" s="1"/>
  <c r="Q61" i="67"/>
  <c r="Q74" i="67"/>
  <c r="Q60" i="15"/>
  <c r="Q73" i="15"/>
  <c r="AE6" i="1"/>
  <c r="F41" i="67" s="1"/>
  <c r="C10" i="67" l="1"/>
  <c r="C5" i="67" s="1"/>
  <c r="C19" i="67"/>
  <c r="F69" i="67"/>
  <c r="J26" i="67"/>
  <c r="J29" i="67" s="1"/>
  <c r="J24" i="67"/>
  <c r="C20" i="67"/>
  <c r="C26" i="67" s="1"/>
  <c r="C38" i="67"/>
  <c r="C66" i="67"/>
  <c r="C60" i="67"/>
  <c r="C20" i="68"/>
  <c r="C28" i="68" s="1"/>
  <c r="C27" i="68" s="1"/>
  <c r="C10" i="15"/>
  <c r="C5" i="15" s="1"/>
  <c r="C53" i="15"/>
  <c r="C48" i="15" s="1"/>
  <c r="C20" i="43"/>
  <c r="E41" i="43"/>
  <c r="C41" i="43" s="1"/>
  <c r="C22" i="12"/>
  <c r="J26" i="15"/>
  <c r="J29" i="15" s="1"/>
  <c r="J24" i="15"/>
  <c r="F24" i="15"/>
  <c r="C24" i="15" s="1"/>
  <c r="F22" i="68"/>
  <c r="C23" i="68" s="1"/>
  <c r="F24" i="67"/>
  <c r="C24" i="67" s="1"/>
  <c r="F22" i="69"/>
  <c r="F22" i="11"/>
  <c r="F25" i="12"/>
  <c r="C26" i="12" s="1"/>
  <c r="D25" i="12" s="1"/>
  <c r="C20" i="15"/>
  <c r="C26" i="15" s="1"/>
  <c r="C27" i="12" l="1"/>
  <c r="C25" i="12" s="1"/>
  <c r="C60" i="15"/>
  <c r="C66" i="15"/>
  <c r="C29" i="43"/>
  <c r="T5" i="43"/>
  <c r="V5"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14" i="43"/>
  <c r="V14" i="43" s="1"/>
  <c r="T3" i="43"/>
  <c r="V3" i="43" s="1"/>
  <c r="T6" i="43"/>
  <c r="V6" i="43" s="1"/>
  <c r="C26" i="11"/>
  <c r="D22" i="11" s="1"/>
  <c r="C25" i="11"/>
  <c r="C43" i="11"/>
  <c r="C44" i="11"/>
  <c r="D41" i="11" s="1"/>
  <c r="C42" i="11"/>
  <c r="C41" i="11" s="1"/>
  <c r="C23" i="11"/>
  <c r="C24" i="11"/>
  <c r="C23" i="15"/>
  <c r="C29" i="15" s="1"/>
  <c r="C26" i="69"/>
  <c r="D22" i="69" s="1"/>
  <c r="C24" i="69"/>
  <c r="C44" i="69"/>
  <c r="D41" i="69" s="1"/>
  <c r="C42" i="69"/>
  <c r="C26" i="68"/>
  <c r="D22" i="68" s="1"/>
  <c r="C44" i="68"/>
  <c r="D41" i="68" s="1"/>
  <c r="C24" i="68"/>
  <c r="C42" i="68"/>
  <c r="C43" i="69"/>
  <c r="C30" i="12"/>
  <c r="C28" i="12" s="1"/>
  <c r="C39" i="43"/>
  <c r="C38" i="43"/>
  <c r="C43" i="68"/>
  <c r="C38" i="15"/>
  <c r="C25" i="68"/>
  <c r="C22" i="68" s="1"/>
  <c r="C31" i="68" s="1"/>
  <c r="C23" i="67"/>
  <c r="C29" i="67" s="1"/>
  <c r="C32" i="12" l="1"/>
  <c r="B2" i="12" s="1"/>
  <c r="B3" i="12" s="1"/>
  <c r="C41" i="68"/>
  <c r="C49" i="68" s="1"/>
  <c r="C51" i="68" s="1"/>
  <c r="C52" i="68" s="1"/>
  <c r="B2" i="68" s="1"/>
  <c r="B3" i="68" s="1"/>
  <c r="C41" i="69"/>
  <c r="C49" i="69" s="1"/>
  <c r="C51" i="69" s="1"/>
  <c r="C22" i="11"/>
  <c r="C31" i="11" s="1"/>
  <c r="C36" i="15"/>
  <c r="C13" i="15"/>
  <c r="C33" i="15"/>
  <c r="C31" i="15" s="1"/>
  <c r="J19" i="15"/>
  <c r="J17" i="15" s="1"/>
  <c r="C57" i="15"/>
  <c r="J14" i="15"/>
  <c r="Q49" i="15"/>
  <c r="J59" i="15"/>
  <c r="J60" i="15" s="1"/>
  <c r="E37" i="43"/>
  <c r="G37" i="43"/>
  <c r="I37" i="43" s="1"/>
  <c r="G38" i="43"/>
  <c r="I38" i="43" s="1"/>
  <c r="E38" i="43"/>
  <c r="G35" i="43"/>
  <c r="I35" i="43" s="1"/>
  <c r="E35" i="43"/>
  <c r="E36" i="43"/>
  <c r="G36" i="43"/>
  <c r="I36" i="43" s="1"/>
  <c r="C33" i="67"/>
  <c r="C31" i="67" s="1"/>
  <c r="C36" i="67"/>
  <c r="C13" i="67"/>
  <c r="J19" i="67"/>
  <c r="J17" i="67" s="1"/>
  <c r="C57" i="67"/>
  <c r="J14" i="67"/>
  <c r="Q49" i="67"/>
  <c r="J59" i="67"/>
  <c r="J60" i="67" s="1"/>
  <c r="E39" i="43"/>
  <c r="G39" i="43"/>
  <c r="I39" i="43" s="1"/>
  <c r="C49" i="11"/>
  <c r="C51" i="11" s="1"/>
  <c r="E34" i="43"/>
  <c r="G34" i="43"/>
  <c r="I34" i="43" s="1"/>
  <c r="G33" i="43"/>
  <c r="I33" i="43" s="1"/>
  <c r="E33" i="43"/>
  <c r="C6" i="69"/>
  <c r="C30" i="43"/>
  <c r="E30" i="43" s="1"/>
  <c r="E29" i="43"/>
  <c r="C27" i="43" l="1"/>
  <c r="C57" i="68"/>
  <c r="C56" i="68" s="1"/>
  <c r="Q48" i="15"/>
  <c r="L46" i="15"/>
  <c r="J13" i="15"/>
  <c r="J23" i="15" s="1"/>
  <c r="J22" i="15"/>
  <c r="C37" i="15"/>
  <c r="C30" i="15" s="1"/>
  <c r="C39" i="15" s="1"/>
  <c r="Q70" i="15"/>
  <c r="C75" i="15"/>
  <c r="C56" i="15"/>
  <c r="C65" i="15" s="1"/>
  <c r="C61" i="67"/>
  <c r="C59" i="67" s="1"/>
  <c r="C64" i="67"/>
  <c r="C37" i="67"/>
  <c r="C30" i="67" s="1"/>
  <c r="C39" i="67" s="1"/>
  <c r="C75" i="67"/>
  <c r="Q70" i="67"/>
  <c r="C56" i="67"/>
  <c r="C65" i="67" s="1"/>
  <c r="C26" i="43"/>
  <c r="C7" i="69"/>
  <c r="C5" i="69" s="1"/>
  <c r="Q48" i="67"/>
  <c r="L46" i="67"/>
  <c r="J13" i="67"/>
  <c r="J23" i="67" s="1"/>
  <c r="J22" i="67"/>
  <c r="C52" i="11"/>
  <c r="B2" i="11" s="1"/>
  <c r="B3" i="11" s="1"/>
  <c r="C64" i="15"/>
  <c r="C61" i="15"/>
  <c r="C59" i="15" s="1"/>
  <c r="E6" i="76"/>
  <c r="J16" i="67" l="1"/>
  <c r="J25" i="67" s="1"/>
  <c r="J16" i="15"/>
  <c r="J25" i="15" s="1"/>
  <c r="C58" i="15"/>
  <c r="C67" i="15" s="1"/>
  <c r="C68" i="15" s="1"/>
  <c r="E2" i="76"/>
  <c r="C40" i="67"/>
  <c r="Q69" i="67"/>
  <c r="Q68" i="67" s="1"/>
  <c r="C20" i="69"/>
  <c r="C25" i="69" s="1"/>
  <c r="C23" i="69"/>
  <c r="C28" i="69"/>
  <c r="C27" i="69" s="1"/>
  <c r="B2" i="43"/>
  <c r="C80" i="67"/>
  <c r="C79" i="67" s="1"/>
  <c r="C80" i="15"/>
  <c r="C79" i="15" s="1"/>
  <c r="C71" i="15"/>
  <c r="C40" i="15"/>
  <c r="Q69" i="15"/>
  <c r="Q68" i="15" s="1"/>
  <c r="C58" i="67"/>
  <c r="C67" i="67" s="1"/>
  <c r="C68" i="67" s="1"/>
  <c r="C56" i="11"/>
  <c r="C57" i="11" s="1"/>
  <c r="L51" i="67"/>
  <c r="L51" i="15"/>
  <c r="B6" i="76"/>
  <c r="B2" i="76" l="1"/>
  <c r="B3" i="76" s="1"/>
  <c r="Q67" i="15"/>
  <c r="L57" i="15"/>
  <c r="L60" i="15" s="1"/>
  <c r="Q67" i="67"/>
  <c r="C71" i="67"/>
  <c r="C45" i="67"/>
  <c r="C46" i="67" s="1"/>
  <c r="B3" i="43"/>
  <c r="B2" i="15"/>
  <c r="B3" i="15" s="1"/>
  <c r="Q65" i="15"/>
  <c r="Q47" i="15"/>
  <c r="Q53" i="15" s="1"/>
  <c r="Q56" i="15"/>
  <c r="C43" i="15"/>
  <c r="C83" i="15"/>
  <c r="C82" i="15" s="1"/>
  <c r="C46" i="15"/>
  <c r="C22" i="69"/>
  <c r="C31" i="69" s="1"/>
  <c r="C52" i="69" s="1"/>
  <c r="D2" i="67"/>
  <c r="Q47" i="67"/>
  <c r="Q53" i="67" s="1"/>
  <c r="Q65" i="67"/>
  <c r="Q75" i="67" s="1"/>
  <c r="Q56" i="67"/>
  <c r="Q62" i="67" s="1"/>
  <c r="C43" i="67"/>
  <c r="C83" i="67"/>
  <c r="C82" i="67" s="1"/>
  <c r="B3" i="69"/>
  <c r="B2" i="69" l="1"/>
  <c r="C57" i="69"/>
  <c r="C56" i="69" s="1"/>
  <c r="B2" i="67"/>
  <c r="B3" i="67"/>
  <c r="Q66" i="15"/>
  <c r="Q75" i="15" s="1"/>
  <c r="Q57" i="15"/>
  <c r="Q62" i="15" s="1"/>
  <c r="D19" i="9"/>
  <c r="AO6" i="1"/>
  <c r="C19" i="9"/>
  <c r="C20" i="9"/>
  <c r="C103" i="9" l="1"/>
  <c r="D22" i="9"/>
  <c r="G19" i="9"/>
  <c r="C21" i="9"/>
  <c r="C102" i="9"/>
  <c r="B6" i="70"/>
  <c r="B2" i="70" s="1"/>
  <c r="B3" i="70" s="1"/>
  <c r="D102" i="9"/>
  <c r="D21" i="9"/>
  <c r="D20" i="9"/>
  <c r="D103" i="9" l="1"/>
  <c r="G20" i="9"/>
  <c r="C32" i="9"/>
  <c r="G21" i="9"/>
  <c r="C35" i="9" l="1"/>
  <c r="F118" i="9" s="1"/>
  <c r="H118" i="9"/>
  <c r="F4" i="52" l="1"/>
  <c r="B51" i="72" s="1"/>
  <c r="F119" i="9"/>
  <c r="F5" i="52" s="1"/>
  <c r="B53" i="72" s="1"/>
  <c r="G118" i="9"/>
  <c r="G4" i="52" s="1"/>
  <c r="B52" i="72" s="1"/>
  <c r="D14" i="74"/>
  <c r="H119" i="9"/>
  <c r="H5" i="52" s="1"/>
  <c r="H4" i="52"/>
  <c r="I118" i="9"/>
  <c r="H101" i="9"/>
  <c r="C104" i="9"/>
  <c r="C34" i="9"/>
  <c r="D118" i="9" s="1"/>
  <c r="D119" i="9" l="1"/>
  <c r="D5" i="52" s="1"/>
  <c r="B49" i="72" s="1"/>
  <c r="D4" i="52"/>
  <c r="B47" i="72" s="1"/>
  <c r="H107" i="9"/>
  <c r="D5" i="53"/>
  <c r="D45" i="9"/>
  <c r="M48" i="9"/>
  <c r="B5" i="74"/>
  <c r="E14" i="74"/>
  <c r="F14" i="74"/>
  <c r="C105" i="9"/>
  <c r="H102" i="9"/>
  <c r="D7" i="53" s="1"/>
  <c r="B21" i="72" s="1"/>
  <c r="I4" i="52"/>
  <c r="E118" i="9"/>
  <c r="E4" i="52" s="1"/>
  <c r="B48" i="72" s="1"/>
  <c r="D5" i="74" l="1"/>
  <c r="C5" i="74"/>
  <c r="C93" i="9"/>
  <c r="C86" i="9" s="1"/>
  <c r="D52" i="9"/>
  <c r="D53" i="9"/>
  <c r="D55" i="9"/>
  <c r="M53" i="9" s="1"/>
  <c r="C64" i="9"/>
  <c r="C63" i="9" s="1"/>
  <c r="C67" i="9" s="1"/>
  <c r="C68" i="9" s="1"/>
  <c r="D54" i="9" s="1"/>
  <c r="C78" i="9"/>
  <c r="C73" i="9" s="1"/>
  <c r="C85" i="9"/>
  <c r="C95" i="9" s="1"/>
  <c r="C72" i="9"/>
  <c r="B20" i="72"/>
  <c r="D6" i="53"/>
  <c r="B22" i="72" s="1"/>
  <c r="D13" i="53"/>
  <c r="H108" i="9"/>
  <c r="D15" i="53" s="1"/>
  <c r="B31" i="72" s="1"/>
  <c r="D122" i="9"/>
  <c r="C79" i="9" l="1"/>
  <c r="C80" i="9" s="1"/>
  <c r="E80" i="9" s="1"/>
  <c r="E81" i="9" s="1"/>
  <c r="D123" i="9"/>
  <c r="D9" i="52" s="1"/>
  <c r="G14" i="74"/>
  <c r="B6" i="74" s="1"/>
  <c r="D8" i="52"/>
  <c r="D14" i="53"/>
  <c r="B32" i="72" s="1"/>
  <c r="B30" i="72"/>
  <c r="C96" i="9"/>
  <c r="E96" i="9" s="1"/>
  <c r="E97" i="9" s="1"/>
  <c r="C97" i="9" l="1"/>
  <c r="D58" i="9" s="1"/>
  <c r="D56" i="9" s="1"/>
  <c r="M54" i="9" s="1"/>
  <c r="N57" i="9" s="1"/>
  <c r="P57" i="9" s="1"/>
  <c r="C81" i="9"/>
  <c r="C6" i="74"/>
  <c r="D6" i="74"/>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<sst xmlns="http://schemas.openxmlformats.org/spreadsheetml/2006/main" count="7304" uniqueCount="3096">
  <si>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</si>
  <si>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</si>
  <si>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</si>
  <si>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</si>
  <si>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</si>
  <si>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</si>
  <si>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</si>
  <si>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</si>
  <si>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</si>
  <si>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</si>
  <si>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</si>
  <si>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</si>
  <si>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</si>
  <si>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</si>
  <si>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</si>
  <si>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</si>
  <si>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</si>
  <si>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</si>
  <si>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</si>
  <si>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</si>
  <si>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</si>
  <si>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</si>
  <si>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</si>
  <si>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</si>
  <si>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</si>
  <si>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</si>
  <si>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</si>
  <si>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</si>
  <si>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</si>
  <si>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</si>
  <si>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</si>
  <si>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</si>
  <si>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</si>
  <si>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</si>
  <si>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</si>
  <si>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</si>
  <si>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</si>
  <si>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</si>
  <si>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</si>
  <si>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</si>
  <si>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</si>
  <si>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</si>
  <si>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</si>
  <si>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</si>
  <si>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</si>
  <si>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</si>
  <si>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</si>
  <si>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</si>
  <si>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</si>
  <si>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</si>
  <si>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</si>
  <si>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</si>
  <si>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</si>
  <si>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</si>
  <si>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</si>
  <si>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</si>
  <si>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</si>
  <si>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</si>
  <si>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</si>
  <si>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</si>
  <si>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</si>
  <si>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</si>
  <si>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</si>
  <si>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</si>
  <si>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</si>
  <si>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</si>
  <si>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</si>
  <si>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</si>
  <si>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</si>
  <si>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</si>
  <si>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</si>
  <si>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</si>
  <si>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</si>
  <si>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</si>
  <si>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</si>
  <si>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</si>
  <si>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</si>
  <si>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</si>
  <si>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</si>
  <si>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</si>
  <si>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</si>
  <si>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</si>
  <si>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</si>
  <si>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</si>
  <si>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</si>
  <si>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</si>
  <si>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</si>
  <si>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</si>
  <si>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</si>
  <si>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</si>
  <si>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</si>
  <si>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</si>
  <si>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</si>
  <si>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</si>
  <si>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</si>
  <si>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</si>
  <si>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</si>
  <si>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</si>
  <si>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</si>
  <si>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</si>
  <si>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</si>
  <si>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</si>
  <si>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</si>
  <si>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</si>
  <si>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</si>
  <si>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</si>
  <si>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</si>
  <si>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</si>
  <si>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</si>
  <si>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</si>
  <si>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</si>
  <si>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</si>
  <si>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</si>
  <si>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</si>
  <si>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</si>
  <si>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</si>
  <si>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</si>
  <si>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</si>
  <si>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</si>
  <si>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</si>
  <si>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</si>
  <si>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</si>
  <si>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</si>
  <si>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</si>
  <si>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</si>
  <si>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</si>
  <si>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</si>
  <si>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</si>
  <si>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</si>
  <si>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</si>
  <si>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</si>
  <si>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</si>
  <si>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</si>
  <si>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</si>
  <si>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</si>
  <si>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</si>
  <si>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</si>
  <si>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</si>
  <si>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</si>
  <si>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</si>
  <si>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</si>
  <si>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</si>
  <si>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</si>
  <si>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</si>
  <si>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</si>
  <si>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</si>
  <si>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</si>
  <si>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</si>
  <si>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</si>
  <si>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</si>
  <si>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</si>
  <si>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</si>
  <si>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</si>
  <si>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</si>
  <si>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</si>
  <si>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</si>
  <si>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</si>
  <si>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</si>
  <si>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</si>
  <si>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</si>
  <si>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</si>
  <si>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</si>
  <si>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</si>
  <si>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</si>
  <si>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</si>
  <si>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</si>
  <si>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</si>
  <si>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</si>
  <si>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</si>
  <si>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</si>
  <si>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</si>
  <si>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</si>
  <si>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</si>
  <si>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</si>
  <si>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</si>
  <si>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</si>
  <si>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</si>
  <si>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</si>
  <si>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</si>
  <si>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</si>
  <si>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</si>
  <si>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</si>
  <si>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</si>
  <si>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</si>
  <si>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</si>
  <si>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</si>
  <si>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</si>
  <si>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</si>
  <si>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</si>
  <si>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</si>
  <si>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</si>
  <si>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</si>
  <si>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</si>
  <si>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</si>
  <si>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</si>
  <si>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</si>
  <si>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</si>
  <si>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</si>
  <si>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</si>
  <si>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</si>
  <si>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</si>
  <si>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</si>
  <si>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</si>
  <si>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</si>
  <si>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</si>
  <si>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</si>
  <si>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</si>
  <si>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</si>
  <si>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</si>
  <si>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</si>
  <si>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</si>
  <si>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</si>
  <si>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</si>
  <si>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</si>
  <si>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</si>
  <si>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</si>
  <si>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</si>
  <si>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</si>
  <si>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</si>
  <si>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</si>
  <si>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</si>
  <si>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</si>
  <si>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</si>
  <si>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</si>
  <si>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</si>
  <si>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</si>
  <si>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</si>
  <si>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</si>
  <si>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</si>
  <si>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</si>
  <si>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</si>
  <si>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</si>
  <si>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</si>
  <si>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</si>
  <si>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</si>
  <si>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</si>
  <si>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</si>
  <si>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</si>
  <si>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</si>
  <si>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</si>
  <si>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</si>
  <si>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</si>
  <si>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</si>
  <si>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</si>
  <si>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</si>
  <si>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</si>
  <si>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</si>
  <si>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</si>
  <si>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</si>
  <si>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</si>
  <si>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</si>
  <si>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</si>
  <si>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</si>
  <si>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</si>
  <si>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</si>
  <si>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</si>
  <si>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</si>
  <si>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</si>
  <si>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</si>
  <si>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</si>
  <si>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</si>
  <si>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</si>
  <si>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</si>
  <si>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</si>
  <si>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</si>
  <si>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</si>
  <si>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</si>
  <si>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</si>
  <si>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</si>
  <si>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</si>
  <si>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</si>
  <si>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</si>
  <si>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</si>
  <si>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</si>
  <si>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</si>
  <si>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</si>
  <si>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</si>
  <si>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</si>
  <si>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</si>
  <si>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</si>
  <si>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</si>
  <si>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</si>
  <si>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</si>
  <si>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</si>
  <si>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</si>
  <si>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</si>
  <si>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</si>
  <si>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</si>
  <si>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</si>
  <si>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</si>
  <si>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</si>
  <si>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</si>
  <si>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</si>
  <si>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</si>
  <si>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</si>
  <si>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</si>
  <si>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</si>
  <si>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</si>
  <si>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</si>
  <si>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</si>
  <si>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</si>
  <si>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</si>
  <si>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</si>
  <si>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</si>
  <si>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</si>
  <si>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</si>
  <si>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</si>
  <si>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</si>
  <si>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</si>
  <si>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</si>
  <si>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</si>
  <si>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</si>
  <si>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</si>
  <si>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</si>
  <si>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</si>
  <si>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</si>
  <si>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</si>
  <si>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</si>
  <si>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</si>
  <si>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</si>
  <si>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</si>
  <si>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</si>
  <si>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</si>
  <si>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</si>
  <si>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</si>
  <si>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</si>
  <si>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</si>
  <si>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</si>
  <si>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</si>
  <si>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</si>
  <si>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</si>
  <si>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</si>
  <si>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</si>
  <si>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</si>
  <si>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</si>
  <si>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</si>
  <si>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</si>
  <si>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</si>
  <si>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</si>
  <si>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</si>
  <si>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</si>
  <si>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</si>
  <si>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</si>
  <si>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</si>
  <si>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</si>
  <si>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</si>
  <si>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</si>
  <si>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</si>
  <si>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</si>
  <si>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</si>
  <si>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</si>
  <si>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</si>
  <si>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</si>
  <si>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</si>
  <si>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</si>
  <si>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</si>
  <si>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</si>
  <si>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</si>
  <si>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</si>
  <si>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</si>
  <si>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</si>
  <si>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</si>
  <si>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</si>
  <si>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</si>
  <si>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</si>
  <si>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</si>
  <si>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</si>
  <si>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</si>
  <si>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</si>
  <si>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</si>
  <si>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</si>
  <si>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</si>
  <si>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</si>
  <si>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</si>
  <si>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</si>
  <si>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</si>
  <si>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</si>
  <si>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</si>
  <si>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</si>
  <si>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</si>
  <si>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</si>
  <si>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</si>
  <si>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</si>
  <si>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</si>
  <si>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</si>
  <si>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</si>
  <si>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</si>
  <si>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</si>
  <si>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</si>
  <si>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</si>
  <si>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</si>
  <si>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</si>
  <si>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</si>
  <si>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</si>
  <si>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</si>
  <si>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</si>
  <si>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</si>
  <si>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</si>
  <si>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</si>
  <si>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</si>
  <si>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</si>
  <si>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</si>
  <si>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</si>
  <si>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</si>
  <si>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</si>
  <si>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</si>
  <si>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</si>
  <si>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</si>
  <si>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</si>
  <si>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</si>
  <si>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</si>
  <si>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</si>
  <si>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</si>
  <si>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</si>
  <si>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</si>
  <si>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</si>
  <si>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</si>
  <si>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</si>
  <si>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</si>
  <si>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</si>
  <si>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</si>
  <si>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</si>
  <si>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</si>
  <si>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</si>
  <si>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</si>
  <si>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</si>
  <si>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</si>
  <si>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</si>
  <si>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</si>
  <si>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</si>
  <si>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</si>
  <si>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</si>
  <si>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</si>
  <si>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</si>
  <si>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</si>
  <si>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</si>
  <si>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</si>
  <si>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</si>
  <si>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</si>
  <si>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</si>
  <si>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</si>
  <si>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</si>
  <si>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</si>
  <si>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</si>
  <si>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</si>
  <si>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</si>
  <si>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</si>
  <si>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</si>
  <si>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</si>
  <si>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</si>
  <si>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</si>
  <si>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</si>
  <si>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</si>
  <si>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</si>
  <si>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</si>
  <si>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</si>
  <si>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</si>
  <si>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</si>
  <si>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</si>
  <si>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</si>
  <si>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</si>
  <si>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</si>
  <si>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</si>
  <si>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</si>
  <si>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</si>
  <si>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</si>
  <si>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</si>
  <si>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</si>
  <si>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</si>
  <si>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</si>
  <si>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</si>
  <si>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</si>
  <si>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</si>
  <si>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</si>
  <si>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</si>
  <si>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</si>
  <si>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</si>
  <si>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</si>
  <si>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</si>
  <si>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</si>
  <si>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</si>
  <si>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</si>
  <si>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</si>
  <si>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</si>
  <si>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</si>
  <si>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</si>
  <si>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</si>
  <si>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</si>
  <si>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</si>
  <si>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</si>
  <si>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</si>
  <si>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</si>
  <si>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</si>
  <si>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</si>
  <si>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</si>
  <si>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</si>
  <si>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</si>
  <si>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</si>
  <si>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</si>
  <si>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</si>
  <si>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</si>
  <si>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</si>
  <si>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</si>
  <si>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</si>
  <si>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</si>
  <si>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</si>
  <si>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</si>
  <si>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</si>
  <si>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</si>
  <si>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</si>
  <si>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</si>
  <si>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</si>
  <si>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</si>
  <si>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</si>
  <si>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</si>
  <si>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</si>
  <si>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</si>
  <si>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</si>
  <si>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</si>
  <si>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</si>
  <si>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</si>
  <si>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</si>
  <si>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</si>
  <si>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</si>
  <si>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</si>
  <si>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</si>
  <si>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</si>
  <si>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</si>
  <si>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</si>
  <si>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</si>
  <si>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</si>
  <si>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</si>
  <si>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</si>
  <si>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</si>
  <si>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</si>
  <si>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</si>
  <si>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</si>
  <si>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</si>
  <si>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</si>
  <si>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</si>
  <si>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</si>
  <si>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</si>
  <si>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</si>
  <si>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</si>
  <si>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</si>
  <si>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</si>
  <si>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</si>
  <si>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</si>
  <si>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</si>
  <si>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</si>
  <si>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</si>
  <si>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</si>
  <si>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</si>
  <si>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</si>
  <si>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</si>
  <si>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</si>
  <si>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</si>
  <si>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</si>
  <si>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</si>
  <si>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</si>
  <si>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</si>
  <si>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</si>
  <si>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</si>
  <si>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</si>
  <si>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</si>
  <si>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</si>
  <si>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</si>
  <si>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</si>
  <si>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</si>
  <si>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</si>
  <si>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</si>
  <si>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</si>
  <si>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</si>
  <si>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</si>
  <si>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</si>
  <si>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</si>
  <si>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</si>
  <si>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</si>
  <si>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</si>
  <si>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</si>
  <si>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</si>
  <si>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</si>
  <si>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</si>
  <si>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</si>
  <si>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</si>
  <si>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</si>
  <si>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</si>
  <si>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</si>
  <si>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</si>
  <si>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</si>
  <si>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</si>
  <si>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</si>
  <si>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</si>
  <si>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</si>
  <si>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</si>
  <si>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</si>
  <si>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</si>
  <si>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</si>
  <si>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</si>
  <si>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</si>
  <si>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</si>
  <si>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</si>
  <si>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</si>
  <si>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</si>
  <si>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</si>
  <si>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</si>
  <si>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</si>
  <si>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</si>
  <si>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</si>
  <si>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</si>
  <si>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</si>
  <si>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</si>
  <si>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</si>
  <si>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</si>
  <si>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</si>
  <si>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</si>
  <si>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</si>
  <si>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</si>
  <si>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</si>
  <si>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</si>
  <si>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</si>
  <si>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</si>
  <si>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</si>
  <si>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</si>
  <si>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</si>
  <si>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</si>
  <si>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</si>
  <si>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</si>
  <si>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</si>
  <si>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</si>
  <si>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</si>
  <si>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</si>
  <si>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</si>
  <si>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</si>
  <si>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</si>
  <si>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</si>
  <si>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</si>
  <si>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</si>
  <si>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</si>
  <si>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</si>
  <si>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</si>
  <si>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</si>
  <si>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</si>
  <si>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</si>
  <si>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</si>
  <si>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</si>
  <si>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</si>
  <si>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</si>
  <si>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</si>
  <si>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</si>
  <si>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</si>
  <si>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</si>
  <si>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</si>
  <si>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</si>
  <si>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</si>
  <si>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</si>
  <si>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</si>
  <si>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</si>
  <si>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</si>
  <si>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</si>
  <si>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</si>
  <si>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</si>
  <si>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</si>
  <si>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</si>
  <si>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</si>
  <si>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</si>
  <si>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</si>
  <si>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</si>
  <si>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</si>
  <si>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</si>
  <si>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</si>
  <si>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</si>
  <si>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</si>
  <si>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</si>
  <si>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</si>
  <si>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</si>
  <si>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</si>
  <si>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</si>
  <si>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</si>
  <si>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</si>
  <si>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</si>
  <si>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</si>
  <si>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</si>
  <si>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</si>
  <si>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</si>
  <si>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</si>
  <si>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</si>
  <si>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</si>
  <si>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</si>
  <si>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</si>
  <si>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</si>
  <si>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</si>
  <si>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</si>
  <si>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</si>
  <si>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</si>
  <si>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</si>
  <si>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</si>
  <si>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</si>
  <si>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</si>
  <si>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</si>
  <si>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</si>
  <si>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</si>
  <si>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</si>
  <si>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</si>
  <si>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</si>
  <si>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</si>
  <si>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</si>
  <si>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</si>
  <si>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</si>
  <si>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</si>
  <si>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</si>
  <si>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</si>
  <si>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</si>
  <si>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</si>
  <si>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</si>
  <si>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</si>
  <si>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</si>
  <si>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</si>
  <si>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</si>
  <si>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</si>
  <si>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</si>
  <si>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</si>
  <si>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</si>
  <si>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</si>
  <si>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</si>
  <si>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</si>
  <si>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</si>
  <si>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</si>
  <si>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</si>
  <si>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</si>
  <si>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</si>
  <si>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</si>
  <si>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</si>
  <si>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</si>
  <si>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</si>
  <si>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</si>
  <si>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</si>
  <si>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</si>
  <si>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</si>
  <si>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</si>
  <si>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</si>
  <si>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</si>
  <si>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</si>
  <si>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</si>
  <si>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</si>
  <si>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</si>
  <si>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</si>
  <si>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</si>
  <si>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</si>
  <si>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</si>
  <si>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</si>
  <si>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</si>
  <si>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</si>
  <si>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</si>
  <si>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</si>
  <si>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</si>
  <si>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</si>
  <si>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</si>
  <si>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</si>
  <si>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</si>
  <si>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</si>
  <si>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</si>
  <si>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</si>
  <si>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</si>
  <si>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</si>
  <si>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</si>
  <si>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</si>
  <si>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</si>
  <si>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</si>
  <si>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</si>
  <si>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</si>
  <si>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</si>
  <si>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</si>
  <si>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</si>
  <si>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</si>
  <si>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</si>
  <si>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</si>
  <si>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</si>
  <si>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</si>
  <si>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</si>
  <si>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</si>
  <si>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</si>
  <si>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</si>
  <si>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</si>
  <si>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</si>
  <si>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</si>
  <si>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</si>
  <si>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</si>
  <si>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</si>
  <si>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</si>
  <si>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</si>
  <si>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</si>
  <si>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</si>
  <si>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</si>
  <si>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</si>
  <si>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</si>
  <si>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</si>
  <si>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</si>
  <si>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</si>
  <si>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</si>
  <si>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</si>
  <si>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</si>
  <si>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</si>
  <si>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</si>
  <si>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</si>
  <si>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</si>
  <si>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</si>
  <si>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</si>
  <si>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</si>
  <si>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</si>
  <si>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</si>
  <si>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</si>
  <si>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</si>
  <si>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</si>
  <si>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</si>
  <si>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</si>
  <si>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</si>
  <si>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</si>
  <si>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</si>
  <si>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</si>
  <si>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</si>
  <si>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</si>
  <si>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</si>
  <si>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</si>
  <si>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</si>
  <si>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</si>
  <si>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</si>
  <si>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</si>
  <si>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</si>
  <si>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</si>
  <si>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</si>
  <si>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</si>
  <si>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</si>
  <si>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</si>
  <si>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</si>
  <si>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</si>
  <si>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</si>
  <si>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</si>
  <si>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</si>
  <si>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</si>
  <si>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</si>
  <si>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</si>
  <si>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</si>
  <si>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</si>
  <si>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</si>
  <si>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</si>
  <si>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</si>
  <si>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</si>
  <si>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</si>
  <si>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</si>
  <si>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</si>
  <si>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</si>
  <si>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</si>
  <si>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</si>
  <si>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</si>
  <si>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</si>
  <si>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</si>
  <si>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</si>
  <si>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</si>
  <si>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</si>
  <si>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</si>
  <si>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</si>
  <si>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</si>
  <si>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</si>
  <si>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</si>
  <si>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</si>
  <si>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</si>
  <si>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</si>
  <si>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</si>
  <si>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</si>
  <si>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</si>
  <si>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</si>
  <si>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</si>
  <si>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</si>
  <si>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</si>
  <si>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</si>
  <si>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</si>
  <si>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</si>
  <si>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</si>
  <si>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</si>
  <si>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</si>
  <si>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</si>
  <si>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</si>
  <si>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</si>
  <si>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</si>
  <si>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</si>
  <si>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</si>
  <si>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</si>
  <si>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</si>
  <si>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</si>
  <si>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</si>
  <si>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</si>
  <si>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</si>
  <si>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</si>
  <si>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</si>
  <si>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</si>
  <si>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</si>
  <si>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</si>
  <si>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</si>
  <si>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</si>
  <si>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</si>
  <si>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</si>
  <si>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</si>
  <si>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</si>
  <si>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</si>
  <si>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</si>
  <si>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</si>
  <si>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</si>
  <si>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</si>
  <si>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</si>
  <si>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</si>
  <si>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</si>
  <si>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</si>
  <si>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</si>
  <si>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</si>
  <si>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</si>
  <si>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</si>
  <si>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</si>
  <si>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</si>
  <si>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</si>
  <si>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</si>
  <si>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</si>
  <si>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</si>
  <si>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</si>
  <si>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</si>
  <si>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</si>
  <si>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</si>
  <si>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</si>
  <si>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</si>
  <si>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</si>
  <si>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</si>
  <si>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</si>
  <si>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</si>
  <si>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</si>
  <si>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</si>
  <si>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</si>
  <si>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</si>
  <si>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</si>
  <si>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</si>
  <si>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</si>
  <si>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</si>
  <si>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</si>
  <si>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</si>
  <si>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</si>
  <si>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</si>
  <si>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</si>
  <si>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</si>
  <si>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</si>
  <si>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</si>
  <si>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</si>
  <si>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</si>
  <si>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</si>
  <si>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</si>
  <si>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</si>
  <si>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</si>
  <si>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</si>
  <si>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</si>
  <si>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</si>
  <si>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</si>
  <si>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</si>
  <si>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</si>
  <si>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</si>
  <si>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</si>
  <si>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</si>
  <si>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</si>
  <si>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</si>
  <si>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</si>
  <si>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</si>
  <si>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</si>
  <si>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</si>
  <si>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</si>
  <si>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</si>
  <si>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</si>
  <si>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</si>
  <si>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</si>
  <si>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</si>
  <si>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</si>
  <si>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</si>
  <si>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</si>
  <si>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</si>
  <si>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</si>
  <si>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</si>
  <si>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</si>
  <si>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</si>
  <si>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</si>
  <si>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</si>
  <si>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</si>
  <si>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</si>
  <si>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</si>
  <si>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</si>
  <si>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</si>
  <si>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</si>
  <si>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</si>
  <si>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</si>
  <si>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</si>
  <si>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</si>
  <si>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</si>
  <si>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</si>
  <si>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</si>
  <si>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</si>
  <si>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</si>
  <si>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</si>
  <si>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</si>
  <si>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</si>
  <si>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</si>
  <si>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</si>
  <si>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</si>
  <si>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</si>
  <si>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</si>
  <si>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</si>
  <si>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</si>
  <si>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</si>
  <si>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</si>
  <si>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</si>
  <si>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</si>
  <si>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</si>
  <si>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</si>
  <si>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</si>
  <si>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</si>
  <si>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</si>
  <si>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</si>
  <si>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</si>
  <si>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</si>
  <si>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</si>
  <si>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</si>
  <si>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</si>
  <si>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</si>
  <si>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</si>
  <si>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</si>
  <si>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</si>
  <si>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</si>
  <si>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</si>
  <si>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</si>
  <si>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</si>
  <si>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</si>
  <si>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</si>
  <si>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</si>
  <si>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</si>
  <si>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</si>
  <si>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</si>
  <si>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</si>
  <si>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</si>
  <si>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</si>
  <si>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</si>
  <si>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</si>
  <si>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</si>
  <si>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</si>
  <si>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</si>
  <si>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</si>
  <si>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</si>
  <si>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</si>
  <si>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</si>
  <si>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</si>
  <si>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</si>
  <si>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</si>
  <si>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</si>
  <si>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</si>
  <si>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</si>
  <si>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</si>
  <si>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</si>
  <si>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</si>
  <si>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</si>
  <si>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</si>
  <si>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</si>
  <si>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</si>
  <si>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</si>
  <si>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</si>
  <si>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</si>
  <si>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</si>
  <si>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</si>
  <si>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</si>
  <si>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</si>
  <si>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</si>
  <si>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</si>
  <si>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</si>
  <si>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</si>
  <si>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</si>
  <si>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</si>
  <si>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</si>
  <si>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</si>
  <si>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</si>
  <si>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</si>
  <si>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</si>
  <si>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</si>
  <si>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</si>
  <si>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</si>
  <si>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</si>
  <si>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</si>
  <si>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</si>
  <si>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</si>
  <si>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</si>
  <si>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</si>
  <si>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</si>
  <si>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</si>
  <si>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</si>
  <si>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</si>
  <si>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</si>
  <si>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</si>
  <si>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</si>
  <si>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</si>
  <si>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</si>
  <si>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</si>
  <si>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</si>
  <si>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</si>
  <si>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</si>
  <si>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</si>
  <si>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</si>
  <si>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</si>
  <si>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</si>
  <si>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</si>
  <si>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</si>
  <si>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</si>
  <si>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</si>
  <si>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</si>
  <si>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</si>
  <si>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</si>
  <si>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</si>
  <si>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</si>
  <si>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</si>
  <si>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</si>
  <si>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</si>
  <si>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</si>
  <si>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</si>
  <si>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</si>
  <si>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</si>
  <si>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</si>
  <si>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</si>
  <si>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</si>
  <si>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</si>
  <si>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</si>
  <si>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</si>
  <si>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</si>
  <si>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</si>
  <si>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</si>
  <si>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</si>
  <si>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</si>
  <si>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</si>
  <si>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</si>
  <si>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</si>
  <si>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</si>
  <si>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</si>
  <si>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</si>
  <si>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</si>
  <si>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</si>
  <si>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</si>
  <si>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</si>
  <si>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</si>
  <si>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</si>
  <si>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</si>
  <si>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</si>
  <si>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</si>
  <si>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</si>
  <si>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</si>
  <si>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</si>
  <si>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</si>
  <si>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</si>
  <si>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</si>
  <si>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</si>
  <si>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</si>
  <si>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</si>
  <si>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</si>
  <si>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</si>
  <si>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</si>
  <si>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</si>
  <si>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</si>
  <si>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</si>
  <si>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</si>
  <si>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</si>
  <si>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</si>
  <si>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</si>
  <si>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</si>
  <si>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</si>
  <si>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</si>
  <si>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</si>
  <si>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</si>
  <si>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</si>
  <si>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</si>
  <si>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</si>
  <si>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</si>
  <si>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</si>
  <si>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</si>
  <si>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</si>
  <si>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</si>
  <si>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</si>
  <si>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</si>
  <si>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</si>
  <si>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</si>
  <si>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</si>
  <si>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</si>
  <si>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</si>
  <si>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</si>
  <si>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</si>
  <si>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</si>
  <si>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</si>
  <si>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</si>
  <si>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</si>
  <si>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</si>
  <si>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</si>
  <si>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</si>
  <si>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</si>
  <si>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</si>
  <si>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</si>
  <si>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</si>
  <si>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</si>
  <si>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</si>
  <si>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</si>
  <si>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</si>
  <si>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</si>
  <si>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</si>
  <si>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</si>
  <si>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</si>
  <si>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</si>
  <si>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</si>
  <si>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</si>
  <si>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</si>
  <si>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</si>
  <si>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</si>
  <si>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</si>
  <si>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</si>
  <si>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</si>
  <si>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</si>
  <si>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</si>
  <si>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</si>
  <si>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</si>
  <si>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</si>
  <si>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</si>
  <si>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</si>
  <si>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</si>
  <si>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</si>
  <si>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</si>
  <si>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</si>
  <si>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</si>
  <si>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</si>
  <si>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</si>
  <si>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</si>
  <si>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</si>
  <si>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</si>
  <si>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</si>
  <si>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</si>
  <si>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</si>
  <si>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</si>
  <si>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</si>
  <si>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</si>
  <si>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</si>
  <si>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</si>
  <si>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</si>
  <si>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</si>
  <si>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</si>
  <si>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</si>
  <si>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</si>
  <si>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</si>
  <si>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</si>
  <si>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</si>
  <si>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</si>
  <si>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</si>
  <si>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</si>
  <si>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</si>
  <si>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</si>
  <si>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</si>
  <si>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</si>
  <si>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</si>
  <si>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</si>
  <si>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</si>
  <si>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</si>
  <si>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</si>
  <si>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</si>
  <si>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</si>
  <si>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</si>
  <si>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</si>
  <si>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</si>
  <si>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</si>
  <si>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</si>
  <si>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</si>
  <si>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</si>
  <si>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</si>
  <si>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</si>
  <si>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</si>
  <si>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</si>
  <si>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</si>
  <si>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</si>
  <si>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</si>
  <si>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</si>
  <si>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</si>
  <si>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</si>
  <si>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</si>
  <si>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</si>
  <si>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</si>
  <si>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</si>
  <si>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</si>
  <si>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</si>
  <si>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</si>
  <si>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</si>
  <si>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</si>
  <si>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</si>
  <si>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</si>
  <si>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</si>
  <si>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</si>
  <si>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</si>
  <si>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</si>
  <si>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</si>
  <si>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</si>
  <si>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</si>
  <si>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</si>
  <si>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</si>
  <si>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</si>
  <si>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</si>
  <si>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</si>
  <si>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</si>
  <si>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</si>
  <si>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</si>
  <si>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</si>
  <si>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</si>
  <si>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</si>
  <si>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</si>
  <si>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</si>
  <si>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</si>
  <si>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</si>
  <si>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</si>
  <si>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</si>
  <si>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</si>
  <si>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</si>
  <si>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</si>
  <si>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</si>
  <si>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</si>
  <si>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</si>
  <si>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</si>
  <si>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</si>
  <si>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</si>
  <si>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</si>
  <si>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</si>
  <si>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</si>
  <si>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</si>
  <si>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</si>
  <si>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</si>
  <si>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</si>
  <si>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</si>
  <si>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</si>
  <si>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</si>
  <si>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</si>
  <si>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</si>
  <si>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</si>
  <si>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</si>
  <si>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</si>
  <si>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</si>
  <si>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</si>
  <si>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</si>
  <si>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</si>
  <si>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</si>
  <si>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</si>
  <si>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</si>
  <si>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</si>
  <si>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</si>
  <si>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</si>
  <si>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</si>
  <si>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</si>
  <si>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</si>
  <si>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</si>
  <si>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</si>
  <si>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</si>
  <si>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</si>
  <si>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</si>
  <si>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</si>
  <si>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</si>
  <si>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</si>
  <si>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</si>
  <si>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</si>
  <si>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</si>
  <si>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</si>
  <si>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</si>
  <si>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</si>
  <si>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</si>
  <si>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</si>
  <si>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</si>
  <si>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</si>
  <si>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</si>
  <si>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</si>
  <si>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</si>
  <si>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</si>
  <si>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</si>
  <si>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</si>
  <si>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</si>
  <si>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</si>
  <si>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</si>
  <si>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</si>
  <si>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</si>
  <si>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</si>
  <si>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</si>
  <si>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</si>
  <si>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</si>
  <si>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</si>
  <si>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</si>
  <si>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</si>
  <si>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</si>
  <si>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</si>
  <si>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</si>
  <si>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</si>
  <si>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</si>
  <si>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</si>
  <si>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</si>
  <si>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</si>
  <si>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</si>
  <si>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</si>
  <si>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</si>
  <si>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</si>
  <si>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</si>
  <si>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</si>
  <si>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</si>
  <si>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</si>
  <si>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</si>
  <si>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</si>
  <si>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</si>
  <si>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</si>
  <si>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</si>
  <si>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</si>
  <si>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</si>
  <si>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</si>
  <si>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</si>
  <si>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</si>
  <si>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</si>
  <si>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</si>
  <si>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</si>
  <si>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</si>
  <si>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</si>
  <si>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</si>
  <si>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</si>
  <si>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</si>
  <si>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</si>
  <si>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</si>
  <si>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</si>
  <si>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</si>
  <si>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</si>
  <si>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</si>
  <si>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</si>
  <si>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</si>
  <si>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</si>
  <si>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</si>
  <si>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</si>
  <si>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</si>
  <si>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</si>
  <si>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</si>
  <si>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</si>
  <si>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</si>
  <si>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</si>
  <si>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</si>
  <si>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</si>
  <si>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</si>
  <si>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</si>
  <si>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</si>
  <si>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</si>
  <si>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</si>
  <si>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</si>
  <si>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</si>
  <si>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</si>
  <si>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</si>
  <si>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</si>
  <si>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</si>
  <si>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</si>
  <si>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</si>
  <si>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</si>
  <si>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</si>
  <si>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</si>
  <si>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</si>
  <si>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</si>
  <si>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</si>
  <si>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</si>
  <si>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</si>
  <si>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</si>
  <si>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</si>
  <si>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</si>
  <si>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</si>
  <si>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</si>
  <si>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</si>
  <si>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</si>
  <si>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</si>
  <si>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</si>
  <si>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</si>
  <si>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</si>
  <si>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</si>
  <si>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</si>
  <si>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</si>
  <si>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</si>
  <si>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</si>
  <si>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</si>
  <si>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</si>
  <si>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</si>
  <si>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</si>
  <si>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</si>
  <si>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</si>
  <si>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</si>
  <si>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</si>
  <si>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</si>
  <si>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</si>
  <si>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</si>
  <si>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</si>
  <si>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</si>
  <si>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</si>
  <si>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</si>
  <si>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</si>
  <si>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</si>
  <si>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</si>
  <si>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</si>
  <si>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</si>
  <si>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</si>
  <si>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</si>
  <si>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</si>
  <si>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</si>
  <si>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</si>
  <si>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</si>
  <si>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</si>
  <si>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</si>
  <si>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</si>
  <si>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</si>
  <si>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</si>
  <si>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</si>
  <si>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</si>
  <si>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</si>
  <si>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</si>
  <si>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</si>
  <si>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</si>
  <si>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</si>
  <si>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</si>
  <si>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</si>
  <si>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</si>
  <si>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</si>
  <si>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</si>
  <si>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</si>
  <si>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</si>
  <si>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</si>
  <si>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</si>
  <si>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</si>
  <si>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</si>
  <si>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</si>
  <si>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</si>
  <si>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</si>
  <si>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</si>
  <si>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</si>
  <si>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</si>
  <si>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</si>
  <si>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</si>
  <si>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</si>
  <si>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</si>
  <si>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</si>
  <si>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</si>
  <si>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</si>
  <si>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</si>
  <si>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</si>
  <si>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</si>
  <si>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</si>
  <si>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</si>
  <si>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</si>
  <si>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</si>
  <si>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</si>
  <si>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</si>
  <si>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</si>
  <si>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</si>
  <si>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</si>
  <si>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</si>
  <si>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</si>
  <si>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</si>
  <si>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</si>
  <si>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</si>
  <si>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</si>
  <si>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</si>
  <si>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</si>
  <si>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</si>
  <si>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</si>
  <si>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</si>
  <si>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</si>
  <si>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</si>
  <si>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</si>
  <si>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</si>
  <si>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</si>
  <si>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</si>
  <si>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</si>
  <si>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</si>
  <si>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</si>
  <si>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</si>
  <si>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</si>
  <si>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</si>
  <si>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</si>
  <si>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</si>
  <si>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</si>
  <si>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</si>
  <si>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</si>
  <si>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</si>
  <si>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</si>
  <si>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</si>
  <si>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</si>
  <si>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</si>
  <si>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</si>
  <si>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</si>
  <si>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</si>
  <si>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</si>
  <si>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</si>
  <si>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</si>
  <si>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</si>
  <si>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</si>
  <si>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</si>
  <si>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</si>
  <si>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</si>
  <si>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</si>
  <si>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</si>
  <si>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</si>
  <si>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</si>
  <si>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</si>
  <si>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</si>
  <si>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</si>
  <si>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</si>
  <si>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</si>
  <si>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</si>
  <si>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</si>
  <si>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</si>
  <si>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</si>
  <si>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</si>
  <si>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</si>
  <si>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</si>
  <si>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</si>
  <si>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</si>
  <si>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</si>
  <si>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</si>
  <si>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</si>
  <si>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</si>
  <si>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</si>
  <si>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</si>
  <si>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</si>
  <si>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</si>
  <si>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</si>
  <si>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</si>
  <si>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</si>
  <si>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</si>
  <si>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</si>
  <si>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</si>
  <si>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</si>
  <si>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</si>
  <si>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</si>
  <si>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</si>
  <si>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</si>
  <si>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</si>
  <si>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</si>
  <si>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</si>
  <si>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</si>
  <si>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</si>
  <si>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</si>
  <si>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</si>
  <si>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</si>
  <si>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</si>
  <si>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</si>
  <si>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</si>
  <si>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</si>
  <si>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</si>
  <si>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</si>
  <si>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</si>
  <si>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</si>
  <si>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</si>
  <si>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</si>
  <si>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</si>
  <si>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</si>
  <si>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</si>
  <si>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</si>
  <si>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</si>
  <si>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</si>
  <si>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</si>
  <si>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</si>
  <si>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</si>
  <si>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</si>
  <si>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</si>
  <si>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</si>
  <si>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</si>
  <si>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</si>
  <si>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</si>
  <si>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</si>
  <si>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</si>
  <si>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</si>
  <si>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</si>
  <si>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</si>
  <si>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</si>
  <si>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</si>
  <si>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</si>
  <si>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</si>
  <si>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</si>
  <si>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</si>
  <si>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</si>
  <si>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</si>
  <si>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</si>
  <si>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</si>
  <si>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</si>
  <si>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</si>
  <si>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</si>
  <si>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</si>
  <si>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</si>
  <si>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</si>
  <si>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</si>
  <si>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</si>
  <si>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</si>
  <si>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</si>
  <si>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</si>
  <si>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</si>
  <si>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</si>
  <si>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</si>
  <si>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</si>
  <si>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</si>
  <si>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</si>
  <si>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</si>
  <si>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</si>
  <si>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</si>
  <si>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</si>
  <si>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</si>
  <si>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</si>
  <si>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</si>
  <si>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</si>
  <si>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</si>
  <si>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</si>
  <si>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</si>
  <si>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</si>
  <si>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</si>
  <si>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</si>
  <si>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</si>
  <si>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</si>
  <si>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</si>
  <si>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</si>
  <si>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</si>
  <si>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</si>
  <si>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</si>
  <si>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</si>
  <si>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</si>
  <si>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</si>
  <si>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</si>
  <si>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</si>
  <si>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</si>
  <si>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</si>
  <si>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</si>
  <si>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</si>
  <si>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</si>
  <si>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</si>
  <si>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</si>
  <si>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</si>
  <si>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</si>
  <si>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</si>
  <si>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</si>
  <si>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</si>
  <si>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</si>
  <si>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</si>
  <si>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</si>
  <si>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</si>
  <si>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</si>
  <si>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</si>
  <si>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</si>
  <si>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</si>
  <si>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</si>
  <si>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</si>
  <si>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</si>
  <si>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</si>
  <si>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</si>
  <si>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</si>
  <si>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</si>
  <si>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</si>
  <si>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</si>
  <si>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</si>
  <si>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</si>
  <si>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</si>
  <si>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</si>
  <si>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</si>
  <si>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</si>
  <si>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</si>
  <si>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</si>
  <si>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</si>
  <si>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</si>
  <si>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</si>
  <si>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</si>
  <si>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</si>
  <si>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</si>
  <si>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</si>
  <si>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</si>
  <si>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</si>
  <si>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</si>
  <si>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</si>
  <si>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</si>
  <si>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</si>
  <si>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</si>
  <si>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</si>
  <si>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</si>
  <si>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</si>
  <si>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</si>
  <si>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</si>
  <si>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</si>
  <si>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</si>
  <si>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</si>
  <si>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</si>
  <si>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</si>
  <si>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</si>
  <si>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</si>
  <si>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</si>
  <si>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</si>
  <si>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</si>
  <si>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</si>
  <si>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</si>
  <si>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</si>
  <si>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</si>
  <si>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</si>
  <si>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</si>
  <si>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</si>
  <si>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</si>
  <si>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</si>
  <si>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</si>
  <si>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</si>
  <si>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</si>
  <si>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</si>
  <si>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</si>
  <si>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</si>
  <si>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</si>
  <si>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</si>
  <si>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</si>
  <si>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</si>
  <si>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</si>
  <si>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</si>
  <si>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</si>
  <si>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</si>
  <si>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</si>
  <si>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</si>
  <si>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</si>
  <si>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</si>
  <si>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</si>
  <si>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</si>
  <si>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</si>
  <si>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</si>
  <si>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</si>
  <si>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</si>
  <si>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</si>
  <si>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</si>
  <si>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</si>
  <si>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</si>
  <si>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</si>
  <si>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</si>
  <si>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</si>
  <si>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</si>
  <si>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</si>
  <si>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</si>
  <si>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</si>
  <si>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</si>
  <si>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</si>
  <si>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</si>
  <si>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</si>
  <si>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</si>
  <si>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</si>
  <si>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</si>
  <si>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</si>
  <si>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</si>
  <si>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</si>
  <si>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</si>
  <si>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</si>
  <si>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</si>
  <si>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</si>
  <si>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</si>
  <si>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</si>
  <si>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</si>
  <si>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</si>
  <si>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</si>
  <si>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</si>
  <si>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</si>
  <si>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</si>
  <si>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</si>
  <si>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</si>
  <si>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</si>
  <si>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</si>
  <si>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</si>
  <si>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</si>
  <si>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</si>
  <si>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</si>
  <si>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</si>
  <si>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</si>
  <si>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</si>
  <si>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</si>
  <si>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</si>
  <si>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</si>
  <si>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</si>
  <si>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</si>
  <si>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</si>
  <si>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</si>
  <si>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</si>
  <si>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</si>
  <si>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</si>
  <si>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</si>
  <si>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</si>
  <si>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</si>
  <si>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</si>
  <si>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</si>
  <si>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</si>
  <si>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</si>
  <si>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</si>
  <si>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</si>
  <si>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</si>
  <si>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</si>
  <si>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</si>
  <si>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</si>
  <si>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</si>
  <si>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</si>
  <si>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</si>
  <si>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</si>
  <si>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</si>
  <si>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</si>
  <si>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</si>
  <si>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</si>
  <si>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</si>
  <si>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</si>
  <si>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</si>
  <si>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</si>
  <si>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</si>
  <si>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</si>
  <si>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</si>
  <si>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</si>
  <si>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</si>
  <si>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</si>
  <si>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</si>
  <si>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</si>
  <si>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</si>
  <si>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</si>
  <si>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</si>
  <si>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</si>
  <si>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</si>
  <si>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</si>
  <si>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</si>
  <si>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</si>
  <si>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</si>
  <si>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</si>
  <si>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</si>
  <si>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</si>
  <si>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</si>
  <si>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</si>
  <si>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</si>
  <si>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</si>
  <si>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</si>
  <si>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</si>
  <si>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</si>
  <si>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</si>
  <si>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</si>
  <si>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</si>
  <si>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</si>
  <si>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</si>
  <si>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</si>
  <si>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</si>
  <si>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</si>
  <si>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</si>
  <si>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</si>
  <si>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</si>
  <si>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</si>
  <si>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</si>
  <si>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</si>
  <si>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</si>
  <si>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</si>
  <si>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</si>
  <si>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</si>
  <si>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</si>
  <si>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</si>
  <si>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</si>
  <si>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</si>
  <si>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</si>
  <si>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</si>
  <si>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</si>
  <si>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</si>
  <si>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</si>
  <si>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</si>
  <si>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</si>
  <si>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</si>
  <si>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</si>
  <si>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</si>
  <si>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</si>
  <si>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</si>
  <si>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</si>
  <si>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</si>
  <si>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</si>
  <si>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</si>
  <si>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</si>
  <si>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</si>
  <si>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</si>
  <si>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</si>
  <si>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</si>
  <si>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</si>
  <si>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</si>
  <si>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</si>
  <si>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</si>
  <si>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</si>
  <si>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</si>
  <si>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</si>
  <si>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</si>
  <si>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</si>
  <si>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</si>
  <si>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</si>
  <si>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</si>
  <si>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</si>
  <si>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</si>
  <si>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</si>
  <si>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</si>
  <si>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</si>
  <si>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</si>
  <si>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</si>
  <si>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</si>
  <si>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</si>
  <si>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</si>
  <si>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</si>
  <si>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</si>
  <si>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</si>
  <si>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</si>
  <si>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</si>
  <si>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</si>
  <si>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</si>
  <si>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</si>
  <si>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</si>
  <si>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</si>
  <si>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</si>
  <si>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</si>
  <si>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</si>
  <si>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</si>
  <si>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</si>
  <si>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</si>
  <si>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</si>
  <si>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</si>
  <si>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</si>
  <si>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</si>
  <si>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</si>
  <si>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</si>
  <si>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</si>
  <si>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</si>
  <si>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</si>
  <si>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</si>
  <si>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</si>
  <si>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</si>
  <si>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</si>
  <si>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</si>
  <si>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</si>
  <si>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</si>
  <si>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</si>
  <si>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</si>
  <si>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</si>
  <si>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</si>
  <si>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</si>
  <si>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</si>
  <si>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</si>
  <si>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</si>
  <si>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</si>
  <si>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</si>
  <si>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</si>
  <si>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</si>
  <si>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</si>
  <si>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</si>
  <si>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</si>
  <si>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</si>
  <si>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</si>
  <si>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</si>
  <si>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</si>
  <si>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</si>
  <si>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</si>
  <si>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</si>
  <si>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</si>
  <si>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</si>
  <si>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</si>
  <si>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</si>
  <si>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</si>
  <si>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</si>
  <si>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</si>
  <si>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</si>
  <si>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</si>
  <si>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</si>
  <si>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</si>
  <si>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</si>
  <si>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</si>
  <si>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</si>
  <si>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</si>
  <si>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</si>
  <si>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</si>
  <si>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</si>
  <si>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</si>
  <si>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</si>
  <si>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</si>
  <si>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</si>
  <si>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</si>
  <si>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</si>
  <si>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</si>
  <si>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</si>
  <si>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</si>
  <si>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</si>
  <si>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</si>
  <si>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</si>
  <si>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</si>
  <si>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</si>
  <si>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</si>
  <si>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</si>
  <si>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</si>
  <si>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</si>
  <si>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</si>
  <si>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</si>
  <si>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</si>
  <si>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</si>
  <si>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</si>
  <si>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</si>
  <si>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</si>
  <si>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</si>
  <si>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</si>
  <si>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</si>
  <si>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</si>
  <si>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</si>
  <si>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</si>
  <si>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</si>
  <si>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</si>
  <si>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</si>
  <si>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</si>
  <si>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</si>
  <si>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</si>
  <si>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</si>
  <si>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</si>
  <si>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</si>
  <si>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</si>
  <si>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</si>
  <si>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</si>
  <si>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</si>
  <si>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</si>
  <si>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</si>
  <si>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</si>
  <si>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</si>
  <si>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</si>
  <si>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</si>
  <si>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</si>
  <si>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</si>
  <si>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</si>
  <si>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</si>
  <si>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</si>
  <si>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</si>
  <si>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</si>
  <si>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</si>
  <si>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</si>
  <si>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</si>
  <si>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</si>
  <si>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</si>
  <si>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</si>
  <si>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</si>
  <si>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</si>
  <si>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</si>
  <si>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</si>
  <si>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</si>
  <si>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</si>
  <si>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</si>
  <si>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</si>
  <si>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</si>
  <si>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</si>
  <si>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</si>
  <si>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</si>
  <si>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</si>
  <si>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</si>
  <si>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</si>
  <si>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</si>
  <si>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</si>
  <si>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</si>
  <si>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</si>
  <si>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</si>
  <si>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</si>
  <si>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</si>
  <si>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</si>
  <si>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</si>
  <si>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</si>
  <si>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</si>
  <si>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</si>
  <si>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</si>
  <si>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</si>
  <si>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</si>
  <si>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</si>
  <si>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</si>
  <si>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</si>
  <si>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</si>
  <si>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</si>
  <si>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</si>
  <si>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</si>
  <si>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</si>
  <si>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</si>
  <si>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</si>
  <si>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</si>
  <si>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</si>
  <si>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</si>
  <si>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</si>
  <si>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</si>
  <si>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</si>
  <si>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</si>
  <si>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</si>
  <si>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</si>
  <si>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</si>
  <si>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</si>
  <si>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</si>
  <si>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</si>
  <si>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</si>
  <si>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</si>
  <si>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</si>
  <si>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</si>
  <si>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</si>
  <si>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</si>
  <si>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</si>
  <si>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</si>
  <si>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</si>
  <si>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</si>
  <si>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</si>
  <si>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</si>
  <si>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</si>
  <si>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</si>
  <si>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</si>
  <si>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</si>
  <si>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</si>
  <si>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</si>
  <si>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</si>
  <si>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</si>
  <si>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</si>
  <si>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</si>
  <si>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</si>
  <si>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</si>
  <si>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</si>
  <si>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</si>
  <si>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</si>
  <si>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</si>
  <si>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</si>
  <si>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</si>
  <si>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</si>
  <si>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</si>
  <si>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</si>
  <si>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</si>
  <si>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</si>
  <si>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</si>
  <si>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</si>
  <si>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</si>
  <si>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</si>
  <si>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</si>
  <si>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</si>
  <si>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</si>
  <si>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</si>
  <si>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</si>
  <si>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</si>
  <si>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</si>
  <si>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</si>
  <si>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</si>
  <si>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</si>
  <si>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</si>
  <si>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</si>
  <si>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</si>
  <si>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</si>
  <si>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</si>
  <si>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</si>
  <si>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</si>
  <si>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</si>
  <si>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</si>
  <si>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</si>
  <si>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</si>
  <si>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</si>
  <si>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</si>
  <si>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</si>
  <si>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</si>
  <si>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</si>
  <si>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</si>
  <si>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</si>
  <si>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</si>
  <si>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</si>
  <si>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</si>
  <si>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</si>
  <si>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</si>
  <si>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</si>
  <si>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</si>
  <si>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</si>
  <si>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</si>
  <si>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</si>
  <si>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</si>
  <si>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</si>
  <si>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</si>
  <si>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</si>
  <si>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</si>
  <si>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</si>
  <si>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</si>
  <si>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</si>
  <si>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</si>
  <si>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</si>
  <si>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</si>
  <si>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</si>
  <si>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</si>
  <si>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</si>
  <si>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</si>
  <si>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</si>
  <si>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</si>
  <si>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</si>
  <si>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</si>
  <si>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</si>
  <si>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</si>
  <si>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</si>
  <si>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</si>
  <si>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</si>
  <si>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</si>
  <si>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</si>
  <si>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</si>
  <si>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</si>
  <si>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</si>
  <si>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</si>
  <si>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</si>
  <si>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</si>
  <si>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</si>
  <si>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</si>
  <si>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</si>
  <si>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</si>
  <si>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</si>
  <si>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</si>
  <si>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</si>
  <si>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</si>
  <si>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</si>
  <si>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</si>
  <si>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</si>
  <si>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</si>
  <si>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</si>
  <si>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</si>
  <si>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</si>
  <si>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</si>
  <si>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</si>
  <si>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</si>
  <si>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</si>
  <si>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</si>
  <si>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</si>
  <si>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</si>
  <si>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</si>
  <si>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</si>
  <si>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</si>
  <si>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</si>
  <si>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</si>
  <si>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</si>
  <si>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</si>
  <si>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</si>
  <si>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</si>
  <si>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</si>
  <si>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</si>
  <si>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</si>
  <si>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</si>
  <si>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</si>
  <si>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</si>
  <si>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</si>
  <si>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</si>
  <si>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</si>
  <si>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</si>
  <si>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</si>
  <si>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</si>
  <si>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</si>
  <si>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</si>
  <si>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</si>
  <si>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</si>
  <si>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</si>
  <si>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</si>
  <si>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</si>
  <si>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</si>
  <si>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</si>
  <si>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</si>
  <si>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</si>
  <si>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</si>
  <si>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</si>
  <si>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</si>
  <si>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</si>
  <si>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</si>
  <si>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</si>
  <si>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</si>
  <si>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</si>
  <si>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</si>
  <si>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</si>
  <si>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</si>
  <si>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</si>
  <si>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</si>
  <si>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</si>
  <si>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</si>
  <si>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</si>
  <si>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</si>
  <si>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</si>
  <si>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</si>
  <si>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</si>
  <si>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</si>
  <si>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</si>
  <si>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</si>
  <si>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</si>
  <si>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</si>
  <si>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</si>
  <si>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</si>
  <si>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</si>
  <si>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</si>
  <si>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</si>
  <si>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</si>
  <si>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</si>
  <si>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</si>
  <si>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</si>
  <si>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</si>
  <si>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</si>
  <si>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</si>
  <si>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</si>
  <si>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</si>
  <si>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</si>
  <si>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</si>
  <si>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</si>
  <si>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</si>
  <si>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</si>
  <si>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</si>
  <si>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</si>
  <si>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</si>
  <si>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</si>
  <si>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</si>
  <si>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</si>
  <si>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</si>
  <si>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</si>
  <si>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</si>
  <si>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</si>
  <si>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</si>
  <si>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</si>
  <si>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</si>
  <si>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</si>
  <si>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</si>
  <si>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</si>
  <si>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</si>
  <si>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</si>
  <si>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</si>
  <si>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</si>
  <si>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</si>
  <si>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</si>
  <si>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</si>
  <si>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</si>
  <si>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</si>
  <si>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</si>
  <si>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</si>
  <si>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</si>
  <si>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</si>
  <si>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</si>
  <si>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</si>
  <si>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</si>
  <si>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</si>
  <si>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</si>
  <si>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</si>
  <si>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</si>
  <si>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</si>
  <si>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</si>
  <si>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</si>
  <si>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</si>
  <si>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</si>
  <si>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</si>
  <si>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</si>
  <si>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</si>
  <si>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</si>
  <si>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</si>
  <si>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</si>
  <si>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</si>
  <si>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</si>
  <si>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</si>
  <si>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</si>
  <si>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</si>
  <si>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</si>
  <si>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</si>
  <si>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</si>
  <si>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</si>
  <si>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</si>
  <si>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</si>
  <si>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</si>
  <si>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</si>
  <si>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</si>
  <si>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</si>
  <si>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</si>
  <si>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</si>
  <si>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</si>
  <si>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</si>
  <si>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</si>
  <si>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</si>
  <si>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</si>
  <si>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</si>
  <si>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</si>
  <si>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</si>
  <si>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</si>
  <si>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</si>
  <si>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</si>
  <si>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</si>
  <si>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</si>
  <si>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</si>
  <si>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</si>
  <si>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</si>
  <si>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</si>
  <si>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</si>
  <si>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</si>
  <si>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</si>
  <si>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</si>
  <si>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</si>
  <si>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</si>
  <si>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</si>
  <si>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</si>
  <si>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</si>
  <si>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</si>
  <si>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</si>
  <si>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</si>
  <si>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</si>
  <si>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</si>
  <si>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</si>
  <si>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</si>
  <si>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</si>
  <si>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</si>
  <si>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</si>
  <si>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</si>
  <si>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</si>
  <si>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</si>
  <si>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</si>
  <si>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</si>
  <si>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</si>
  <si>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</si>
  <si>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</si>
  <si>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</si>
  <si>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</si>
  <si>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</si>
  <si>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</si>
  <si>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</si>
  <si>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</si>
  <si>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</si>
  <si>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</si>
  <si>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</si>
  <si>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</si>
  <si>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</si>
  <si>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</si>
  <si>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</si>
  <si>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</si>
  <si>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</si>
  <si>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</si>
  <si>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</si>
  <si>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</si>
  <si>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</si>
  <si>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</si>
  <si>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</si>
  <si>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</si>
  <si>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</si>
  <si>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</si>
  <si>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</si>
  <si>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</si>
  <si>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</si>
  <si>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</si>
  <si>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</si>
  <si>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</si>
  <si>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</si>
  <si>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</si>
  <si>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</si>
  <si>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</si>
  <si>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</si>
  <si>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</si>
  <si>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</si>
  <si>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</si>
  <si>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</si>
  <si>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</si>
  <si>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</si>
  <si>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</si>
  <si>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</si>
  <si>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</si>
  <si>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</si>
  <si>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</si>
  <si>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</si>
  <si>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</si>
  <si>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</si>
  <si>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</si>
  <si>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</si>
  <si>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</si>
  <si>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</si>
  <si>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</si>
  <si>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</si>
  <si>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</si>
  <si>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</si>
  <si>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</si>
  <si>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</si>
  <si>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</si>
  <si>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</si>
  <si>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</si>
  <si>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</si>
  <si>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</si>
  <si>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</si>
  <si>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</si>
  <si>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</si>
  <si>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</si>
  <si>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</si>
  <si>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</si>
  <si>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</si>
  <si>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</si>
  <si>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</si>
  <si>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</si>
  <si>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</si>
  <si>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</si>
  <si>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</si>
  <si>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</si>
  <si>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</si>
  <si>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</si>
  <si>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</si>
  <si>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</si>
  <si>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</si>
  <si>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</si>
  <si>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</si>
  <si>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</si>
  <si>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</si>
  <si>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</si>
  <si>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</si>
  <si>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</si>
  <si>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</si>
  <si>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</si>
  <si>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</si>
  <si>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</si>
  <si>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</si>
  <si>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</si>
  <si>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</si>
  <si>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</si>
  <si>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</si>
  <si>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</si>
  <si>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</si>
  <si>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</si>
  <si>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</si>
  <si>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</si>
  <si>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</si>
  <si>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</si>
  <si>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</si>
  <si>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</si>
  <si>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</si>
  <si>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</si>
  <si>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</si>
  <si>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</si>
  <si>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</si>
  <si>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</si>
  <si>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</si>
  <si>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</si>
  <si>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</si>
  <si>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</si>
  <si>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</si>
  <si>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</si>
  <si>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</si>
  <si>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</si>
  <si>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</si>
  <si>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</si>
  <si>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</si>
  <si>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</si>
  <si>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</si>
  <si>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</si>
  <si>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</si>
  <si>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</si>
  <si>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</si>
  <si>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</si>
  <si>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</si>
  <si>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</si>
  <si>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</si>
  <si>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</si>
  <si>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</si>
  <si>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</si>
  <si>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</si>
  <si>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</si>
  <si>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</si>
  <si>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</si>
  <si>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</si>
  <si>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</si>
  <si>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</si>
  <si>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</si>
  <si>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</si>
  <si>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</si>
  <si>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</si>
  <si>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</si>
  <si>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</si>
  <si>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</si>
  <si>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</si>
  <si>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</si>
  <si>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</si>
  <si>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</si>
  <si>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</si>
  <si>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</si>
  <si>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</si>
  <si>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</si>
  <si>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</si>
  <si>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</si>
  <si>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</si>
  <si>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</si>
  <si>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</si>
  <si>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</si>
  <si>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</si>
  <si>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</si>
  <si>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</si>
  <si>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</si>
  <si>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</si>
  <si>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</si>
  <si>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</si>
  <si>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</si>
  <si>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</si>
  <si>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</si>
  <si>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</si>
  <si>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</si>
  <si>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</si>
  <si>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</si>
  <si>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</si>
  <si>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</si>
  <si>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</si>
  <si>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</si>
  <si>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</si>
  <si>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</si>
  <si>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</si>
  <si>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</si>
  <si>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</si>
  <si>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</si>
  <si>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</si>
  <si>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</si>
  <si>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</si>
  <si>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</si>
  <si>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</si>
  <si>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</si>
  <si>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</si>
  <si>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</si>
  <si>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</si>
  <si>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</si>
  <si>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</si>
  <si>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</si>
  <si>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</si>
  <si>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</si>
  <si>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</si>
  <si>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</si>
  <si>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</si>
  <si>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</si>
  <si>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</si>
  <si>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</si>
  <si>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</si>
  <si>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</si>
  <si>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</si>
  <si>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</si>
  <si>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</si>
  <si>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</si>
  <si>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</si>
  <si>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</si>
  <si>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</si>
  <si>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</si>
  <si>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</si>
  <si>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</si>
  <si>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</si>
  <si>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</si>
  <si>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</si>
  <si>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</si>
  <si>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</si>
  <si>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</si>
  <si>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</si>
  <si>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</si>
  <si>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</si>
  <si>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</si>
  <si>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</si>
  <si>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</si>
  <si>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</si>
  <si>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</si>
  <si>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</si>
  <si>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</si>
  <si>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</si>
  <si>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</si>
  <si>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</si>
  <si>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</si>
  <si>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</si>
  <si>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</si>
  <si>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</si>
  <si>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</si>
  <si>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</si>
  <si>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</si>
  <si>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</si>
  <si>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</si>
  <si>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</si>
  <si>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</si>
  <si>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</si>
  <si>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</si>
  <si>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</si>
  <si>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</si>
  <si>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</si>
  <si>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</si>
  <si>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</si>
  <si>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</si>
  <si>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</si>
  <si>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</si>
  <si>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</si>
  <si>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</si>
  <si>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</si>
  <si>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</si>
  <si>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</si>
  <si>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</si>
  <si>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</si>
  <si>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</si>
  <si>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</si>
  <si>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</si>
  <si>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</si>
  <si>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</si>
  <si>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</si>
  <si>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</si>
  <si>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</si>
  <si>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</si>
  <si>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</si>
  <si>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</si>
  <si>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</si>
  <si>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</si>
  <si>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</si>
  <si>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</si>
  <si>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</si>
  <si>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</si>
  <si>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</si>
  <si>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</si>
  <si>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</si>
  <si>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</si>
  <si>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</si>
  <si>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</si>
  <si>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</si>
  <si>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</si>
  <si>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</si>
  <si>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</si>
  <si>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</si>
  <si>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</si>
  <si>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</si>
  <si>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</si>
  <si>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</si>
  <si>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</si>
  <si>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</si>
  <si>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</si>
  <si>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</si>
  <si>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</si>
  <si>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</si>
  <si>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</si>
  <si>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</si>
  <si>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</si>
  <si>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</si>
  <si>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</si>
  <si>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</si>
  <si>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</si>
  <si>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</si>
  <si>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</si>
  <si>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</si>
  <si>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</si>
  <si>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</si>
  <si>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</si>
  <si>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</si>
  <si>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</si>
  <si>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</si>
  <si>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</si>
  <si>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</si>
  <si>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</si>
  <si>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</si>
  <si>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</si>
  <si>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</si>
  <si>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</si>
  <si>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</si>
  <si>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</si>
  <si>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</si>
  <si>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</si>
  <si>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</si>
  <si>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</si>
  <si>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</si>
  <si>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</si>
  <si>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</si>
  <si>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</si>
  <si>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</si>
  <si>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</si>
  <si>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</si>
  <si>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</si>
  <si>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</si>
  <si>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</si>
  <si>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</si>
  <si>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</si>
  <si>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</si>
  <si>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</si>
  <si>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</si>
  <si>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</si>
  <si>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</si>
  <si>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</si>
  <si>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</si>
  <si>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</si>
  <si>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</si>
  <si>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</si>
  <si>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</si>
  <si>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</si>
  <si>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</si>
  <si>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</si>
  <si>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</si>
  <si>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</si>
  <si>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</si>
  <si>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</si>
  <si>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</si>
  <si>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</si>
  <si>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</si>
  <si>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</si>
  <si>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</si>
  <si>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</si>
  <si>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</si>
  <si>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</si>
  <si>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</si>
  <si>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</si>
  <si>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</si>
  <si>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</si>
  <si>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</si>
  <si>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</si>
  <si>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</si>
  <si>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</si>
  <si>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</si>
  <si>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</si>
  <si>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</si>
  <si>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</si>
  <si>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</si>
  <si>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</si>
  <si>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</si>
  <si>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</si>
  <si>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</si>
  <si>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</si>
  <si>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</si>
  <si>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</si>
  <si>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</si>
  <si>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</si>
  <si>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</si>
  <si>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</si>
  <si>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</si>
  <si>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</si>
  <si>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</si>
  <si>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</si>
  <si>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</si>
  <si>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</si>
  <si>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</si>
  <si>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</si>
  <si>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</si>
  <si>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</si>
  <si>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</si>
  <si>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</si>
  <si>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</si>
  <si>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</si>
  <si>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</si>
  <si>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</si>
  <si>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</si>
  <si>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</si>
  <si>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</si>
  <si>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</si>
  <si>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</si>
  <si>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</si>
  <si>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</si>
  <si>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</si>
  <si>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</si>
  <si>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</si>
  <si>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</si>
  <si>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</si>
  <si>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</si>
  <si>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</si>
  <si>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</si>
  <si>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</si>
  <si>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</si>
  <si>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</si>
  <si>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</si>
  <si>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</si>
  <si>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</si>
  <si>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</si>
  <si>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</si>
  <si>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</si>
  <si>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</si>
  <si>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</si>
  <si>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</si>
  <si>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</si>
  <si>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</si>
  <si>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</si>
  <si>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</si>
  <si>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</si>
  <si>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</si>
  <si>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</si>
  <si>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</si>
  <si>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</si>
  <si>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</si>
  <si>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</si>
  <si>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</si>
  <si>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</si>
  <si>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</si>
  <si>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</si>
  <si>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</si>
  <si>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</si>
  <si>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</si>
  <si>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</si>
  <si>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</si>
  <si>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</si>
  <si>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</si>
  <si>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</si>
  <si>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</si>
  <si>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</si>
  <si>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</si>
  <si>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</si>
  <si>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</si>
  <si>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</si>
  <si>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</si>
  <si>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</si>
  <si>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</si>
  <si>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</si>
  <si>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</si>
  <si>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</si>
  <si>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</si>
  <si>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</si>
  <si>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</si>
  <si>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</si>
  <si>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</si>
  <si>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</si>
  <si>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</si>
  <si>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</si>
  <si>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</si>
  <si>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</si>
  <si>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</si>
  <si>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</si>
  <si>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</si>
  <si>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</si>
  <si>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</si>
  <si>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</si>
  <si>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</si>
  <si>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</si>
  <si>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</si>
  <si>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</si>
  <si>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</si>
  <si>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</si>
  <si>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</si>
  <si>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</si>
  <si>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</si>
  <si>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</si>
  <si>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</si>
  <si>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</si>
  <si>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</si>
  <si>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</si>
  <si>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</si>
  <si>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</si>
  <si>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</si>
  <si>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</si>
  <si>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</si>
  <si>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</si>
  <si>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</si>
  <si>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</si>
  <si>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</si>
  <si>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</si>
  <si>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</si>
  <si>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</si>
  <si>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</si>
  <si>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</si>
  <si>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</si>
  <si>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</si>
  <si>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</si>
  <si>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</si>
  <si>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</si>
  <si>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</si>
  <si>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</si>
  <si>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</si>
  <si>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</si>
  <si>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</si>
  <si>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</si>
  <si>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</si>
  <si>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</si>
  <si>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</si>
  <si>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</si>
  <si>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</si>
  <si>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</si>
  <si>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</si>
  <si>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</si>
  <si>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</si>
  <si>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</si>
  <si>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</si>
  <si>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</si>
  <si>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</si>
  <si>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</si>
  <si>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</si>
  <si>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</si>
  <si>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</si>
  <si>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</si>
  <si>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</si>
  <si>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</si>
  <si>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</si>
  <si>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</si>
  <si>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</si>
  <si>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</si>
  <si>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</si>
  <si>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核定资产</t>
  </si>
  <si>
    <t>房地产市场价值</t>
  </si>
  <si>
    <t>北京市</t>
  </si>
  <si>
    <t>企业</t>
  </si>
  <si>
    <r>
      <rPr>
        <sz val="12"/>
        <color indexed="8"/>
        <rFont val="宋体"/>
        <family val="3"/>
        <charset val="134"/>
      </rPr>
      <t>良乡太平庄村东南</t>
    </r>
    <r>
      <rPr>
        <sz val="12"/>
        <color indexed="8"/>
        <rFont val="Arial"/>
        <family val="2"/>
      </rPr>
      <t>1</t>
    </r>
    <r>
      <rPr>
        <sz val="12"/>
        <color indexed="8"/>
        <rFont val="宋体"/>
        <family val="3"/>
        <charset val="134"/>
      </rPr>
      <t>号楼</t>
    </r>
    <r>
      <rPr>
        <sz val="12"/>
        <color indexed="8"/>
        <rFont val="Arial"/>
        <family val="2"/>
      </rPr>
      <t>1</t>
    </r>
    <r>
      <rPr>
        <sz val="12"/>
        <color indexed="8"/>
        <rFont val="宋体"/>
        <family val="3"/>
        <charset val="134"/>
      </rPr>
      <t>至</t>
    </r>
    <r>
      <rPr>
        <sz val="12"/>
        <color indexed="8"/>
        <rFont val="Arial"/>
        <family val="2"/>
      </rPr>
      <t>2</t>
    </r>
    <r>
      <rPr>
        <sz val="12"/>
        <color indexed="8"/>
        <rFont val="宋体"/>
        <family val="3"/>
        <charset val="134"/>
      </rPr>
      <t>层</t>
    </r>
    <phoneticPr fontId="6" type="noConversion"/>
  </si>
  <si>
    <t>出让</t>
  </si>
  <si>
    <r>
      <rPr>
        <sz val="10"/>
        <color indexed="8"/>
        <rFont val="宋体"/>
        <family val="3"/>
        <charset val="134"/>
      </rPr>
      <t>京房国用</t>
    </r>
    <r>
      <rPr>
        <sz val="10"/>
        <color indexed="8"/>
        <rFont val="Arial"/>
        <family val="2"/>
      </rPr>
      <t>2011</t>
    </r>
    <r>
      <rPr>
        <sz val="10"/>
        <color indexed="8"/>
        <rFont val="宋体"/>
        <family val="3"/>
        <charset val="134"/>
      </rPr>
      <t>出第</t>
    </r>
    <r>
      <rPr>
        <sz val="10"/>
        <color indexed="8"/>
        <rFont val="Arial"/>
        <family val="2"/>
      </rPr>
      <t>00033</t>
    </r>
    <r>
      <rPr>
        <sz val="10"/>
        <color indexed="8"/>
        <rFont val="宋体"/>
        <family val="3"/>
        <charset val="134"/>
      </rPr>
      <t>号</t>
    </r>
    <phoneticPr fontId="3" type="noConversion"/>
  </si>
  <si>
    <t>是</t>
  </si>
  <si>
    <t>地上</t>
  </si>
  <si>
    <t>公交</t>
  </si>
  <si>
    <t>公交</t>
    <phoneticPr fontId="7" type="noConversion"/>
  </si>
  <si>
    <t>成新度</t>
  </si>
  <si>
    <t>收益法 (元)</t>
  </si>
  <si>
    <t>成本法 (元)</t>
  </si>
  <si>
    <t>工业用地</t>
  </si>
  <si>
    <t>Ⅷ-房1</t>
  </si>
  <si>
    <t>砖混</t>
  </si>
  <si>
    <t>非生产用房</t>
  </si>
  <si>
    <t>押一</t>
  </si>
  <si>
    <t>按公示增长率计算</t>
  </si>
  <si>
    <t>与级别开发程度不一致</t>
  </si>
  <si>
    <t>通路</t>
  </si>
  <si>
    <t>通电</t>
  </si>
  <si>
    <t>通讯</t>
  </si>
  <si>
    <t>通上水</t>
  </si>
  <si>
    <t>通下水</t>
  </si>
  <si>
    <t>通热</t>
  </si>
  <si>
    <t>平整</t>
  </si>
  <si>
    <t>容积率修正</t>
  </si>
  <si>
    <t>已包含在土地取得成本中</t>
  </si>
  <si>
    <t>未包含在土地购买价格中</t>
  </si>
  <si>
    <t>较好</t>
  </si>
  <si>
    <t>一般</t>
  </si>
  <si>
    <t>好</t>
  </si>
  <si>
    <t>估价对象周边有汽车修理厂、加油站等工交用地，无开发区，产业集聚程度一般。</t>
    <phoneticPr fontId="41" type="noConversion"/>
  </si>
  <si>
    <t>估价对象周边有f2路、房18路、房27路、房38路等多条公交线路，距地铁房山线（苏庄站）约900米，综合评价交通便捷度较好</t>
    <phoneticPr fontId="41" type="noConversion"/>
  </si>
  <si>
    <t>估价对象所在区域公共配套设施较齐备</t>
    <phoneticPr fontId="41" type="noConversion"/>
  </si>
  <si>
    <t>估价对象所在区域基础设施水平好</t>
    <phoneticPr fontId="25" type="noConversion"/>
  </si>
  <si>
    <t>估价对象周边500米内有2处加油站，有北潞园健身公园、房山区良乡体育中心等，整体环境状况一般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</si>
</sst>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8324</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9524" cy="3247619"/>
        </a:xfrm>
        <a:prstGeom prst="rect">
          <a:avLst/>
        </a:prstGeom>
      </xdr:spPr>
    </xdr:pic>
    <xdr:clientData/>
  </xdr:twoCellAnchor>
  <xdr:twoCellAnchor editAs="oneCell">
    <xdr:from>
      <xdr:col>0</xdr:col>
      <xdr:colOff>0</xdr:colOff>
      <xdr:row>19</xdr:row>
      <xdr:rowOff>0</xdr:rowOff>
    </xdr:from>
    <xdr:to>
      <xdr:col>14</xdr:col>
      <xdr:colOff>103563</xdr:colOff>
      <xdr:row>28</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704763" cy="1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估价对象为北京市出让国有建设用地使用权及在建建筑物房地产，为所有。根据《国有土地使用证》[]，估价对象（分摊）出让国有建设用地使用权面积为2337平方米，建筑面积为885.9平方米。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2019年10月18日（评估专业人员实地查勘之日）</v>
      </c>
    </row>
    <row r="13" spans="1:2" s="1593" customFormat="1">
      <c r="A13" s="1591" t="s">
        <v>1223</v>
      </c>
      <c r="B13" s="1592" t="str">
        <f>'预评函-1'!A18</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本次评估采用的主估价方法为收益法和成本法。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536</v>
      </c>
    </row>
    <row r="21" spans="1:2" s="1593" customFormat="1">
      <c r="A21" s="1591" t="s">
        <v>1231</v>
      </c>
      <c r="B21" s="1592">
        <f ca="1">'预评函-2'!D7</f>
        <v>6050</v>
      </c>
    </row>
    <row r="22" spans="1:2" s="1593" customFormat="1">
      <c r="A22" s="1591" t="s">
        <v>1232</v>
      </c>
      <c r="B22" s="1592" t="str">
        <f ca="1">'预评函-2'!D6</f>
        <v>伍佰叁拾陆万元整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536</v>
      </c>
    </row>
    <row r="31" spans="1:2" s="1593" customFormat="1">
      <c r="A31" s="1591" t="s">
        <v>1270</v>
      </c>
      <c r="B31" s="1592">
        <f ca="1">'预评函-2'!D15</f>
        <v>6050</v>
      </c>
    </row>
    <row r="32" spans="1:2" s="1593" customFormat="1">
      <c r="A32" s="1591" t="s">
        <v>1237</v>
      </c>
      <c r="B32" s="1592" t="str">
        <f ca="1">'预评函-2'!D14</f>
        <v>伍佰叁拾陆万元整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885.9</v>
      </c>
    </row>
    <row r="44" spans="1:2" s="1593" customFormat="1">
      <c r="A44" s="1591" t="s">
        <v>1269</v>
      </c>
      <c r="B44" s="1592" t="str">
        <f>'预评函-3'!C2</f>
        <v>(分摊)土地面积</v>
      </c>
    </row>
    <row r="45" spans="1:2" s="1593" customFormat="1">
      <c r="A45" s="1591" t="s">
        <v>1241</v>
      </c>
      <c r="B45" s="1592">
        <f>'预评函-3'!C4</f>
        <v>2337</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1" customWidth="1"/>
    <col min="2" max="2" width="13.375" style="2031" customWidth="1"/>
    <col min="3" max="3" width="11.5" style="2031" customWidth="1"/>
    <col min="4" max="4" width="11.8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1773</v>
      </c>
      <c r="B3" s="2035">
        <v>43756</v>
      </c>
      <c r="C3" s="2036" t="s">
        <v>1774</v>
      </c>
      <c r="D3" s="2035">
        <f>B3</f>
        <v>43756</v>
      </c>
      <c r="E3" s="2025"/>
      <c r="F3" s="2025"/>
      <c r="G3" s="2025"/>
      <c r="H3" s="2025"/>
      <c r="I3" s="2025"/>
      <c r="J3" s="2025"/>
      <c r="K3" s="2026"/>
      <c r="L3" s="2027"/>
      <c r="M3" s="2027"/>
      <c r="N3" s="2028"/>
      <c r="O3" s="2029"/>
      <c r="P3" s="2028"/>
      <c r="Q3" s="2028"/>
      <c r="R3" s="2028"/>
      <c r="S3" s="2030"/>
    </row>
    <row r="4" spans="1:19" ht="18" customHeight="1" thickBot="1">
      <c r="A4" s="2037" t="s">
        <v>1775</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3057</v>
      </c>
      <c r="C8" s="2055"/>
      <c r="D8" s="3003" t="s">
        <v>1780</v>
      </c>
      <c r="E8" s="2056"/>
      <c r="F8" s="2057"/>
      <c r="G8" s="2025"/>
      <c r="H8" s="2025"/>
      <c r="I8" s="2025"/>
      <c r="J8" s="2041"/>
      <c r="K8" s="2042"/>
      <c r="L8" s="2027"/>
      <c r="M8" s="2027"/>
      <c r="N8" s="2028"/>
      <c r="O8" s="2029"/>
      <c r="P8" s="2028"/>
      <c r="Q8" s="2028"/>
      <c r="R8" s="2028"/>
    </row>
    <row r="9" spans="1:19" ht="18" customHeight="1" thickBot="1">
      <c r="A9" s="2039" t="s">
        <v>1781</v>
      </c>
      <c r="B9" s="2058" t="s">
        <v>3058</v>
      </c>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t="s">
        <v>3059</v>
      </c>
      <c r="C10" s="2064" t="s">
        <v>3061</v>
      </c>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t="s">
        <v>3060</v>
      </c>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c r="F13" s="2079"/>
      <c r="G13" s="2079"/>
      <c r="H13" s="2079"/>
      <c r="I13" s="1047">
        <v>54751</v>
      </c>
      <c r="J13" s="2041"/>
      <c r="K13" s="2053"/>
      <c r="L13" s="2027"/>
      <c r="M13" s="2027"/>
      <c r="N13" s="2028"/>
      <c r="O13" s="2029"/>
      <c r="P13" s="2028"/>
      <c r="Q13" s="2028"/>
      <c r="R13" s="2028"/>
    </row>
    <row r="14" spans="1:19" ht="18" customHeight="1">
      <c r="A14" s="2076"/>
      <c r="B14" s="2077"/>
      <c r="C14" s="2078" t="s">
        <v>1794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30.12</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885.9</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2337</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1828</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22" t="s">
        <v>1838</v>
      </c>
      <c r="T34" s="2134" t="str">
        <f>NUMBERSTRING(7-K34,1)&amp;"通"</f>
        <v>七通</v>
      </c>
      <c r="U34" s="2028"/>
      <c r="V34" s="2028"/>
    </row>
    <row r="35" spans="1:22" ht="18" customHeight="1">
      <c r="A35" s="2135"/>
      <c r="B35" s="3029" t="s">
        <v>1839</v>
      </c>
      <c r="C35" s="3029"/>
      <c r="D35" s="3029"/>
      <c r="E35" s="3029"/>
      <c r="F35" s="2136" t="str">
        <f>C10</f>
        <v>良乡太平庄村东南1号楼1至2层</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c r="C37" s="2140"/>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c r="C38" s="2142"/>
      <c r="D38" s="2142"/>
      <c r="E38" s="2142" t="s">
        <v>3072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4" activePane="bottomRight" state="frozen"/>
      <selection activeCell="C50" sqref="C50"/>
      <selection pane="topRight" activeCell="C50" sqref="C50"/>
      <selection pane="bottomLeft" activeCell="C50" sqref="C50"/>
      <selection pane="bottomRight" activeCell="E7" sqref="E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2337</v>
      </c>
      <c r="B3" s="14">
        <f>IF(C3="否",G5-AT5,G5)</f>
        <v>885.9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885.9</v>
      </c>
      <c r="H5" s="16">
        <f t="shared" ref="H5:AT5" si="0">SUM(H13:H656)</f>
        <v>885.9</v>
      </c>
      <c r="I5" s="16">
        <f t="shared" si="0"/>
        <v>885.9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885.9</v>
      </c>
      <c r="BA5" s="18">
        <f t="shared" si="1"/>
        <v>885.9</v>
      </c>
      <c r="BB5" s="18">
        <f t="shared" si="1"/>
        <v>885.9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2337</v>
      </c>
      <c r="F6" s="16" t="s">
        <v>1</v>
      </c>
      <c r="G6" s="16" t="s">
        <v>2</v>
      </c>
      <c r="H6" s="20">
        <f>SUMIF(I$12:AB$12,"总值",I6:AB6)</f>
        <v>2337</v>
      </c>
      <c r="I6" s="16">
        <f t="shared" ref="I6:AB6" si="2">ROUND($A$3*I5/$B$3,2)</f>
        <v>2337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2337</v>
      </c>
      <c r="AZ6" s="16" t="s">
        <v>3</v>
      </c>
      <c r="BA6" s="16">
        <f>ROUND($AY$6*BA5/$AZ$5,2)</f>
        <v>2337</v>
      </c>
      <c r="BB6" s="16">
        <f>ROUND($AY$6*BB5/$AZ$5,2)</f>
        <v>2337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3065</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8.25">
      <c r="A13" s="1272" t="s">
        <v>3063</v>
      </c>
      <c r="B13" s="1272"/>
      <c r="C13" s="1272"/>
      <c r="D13" s="2213" t="s">
        <v>3064</v>
      </c>
      <c r="E13" s="16">
        <f>IF($C$3="是",ROUND($A$3*G13/$B$3,2),ROUND($A$3*(G13-AT13)/$B$3,2))</f>
        <v>2337</v>
      </c>
      <c r="F13" s="32"/>
      <c r="G13" s="33">
        <f>H13+AC13+AT13</f>
        <v>885.9</v>
      </c>
      <c r="H13" s="20">
        <f>SUMIF(I$12:AB$12,"总值",I13:AB13)</f>
        <v>885.9</v>
      </c>
      <c r="I13" s="2214">
        <v>885.9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京房国用2011出第00033号</v>
      </c>
      <c r="AW13" s="11">
        <f t="shared" si="6"/>
        <v>0</v>
      </c>
      <c r="AX13" s="11">
        <f t="shared" si="6"/>
        <v>0</v>
      </c>
      <c r="AY13" s="1806">
        <f>ROUND($AY$6*AZ13/$AZ$5,2)</f>
        <v>2337</v>
      </c>
      <c r="AZ13" s="16">
        <f>BA13+BL13</f>
        <v>885.9</v>
      </c>
      <c r="BA13" s="16">
        <f>SUM(BB13:BK13)</f>
        <v>885.9</v>
      </c>
      <c r="BB13" s="16">
        <f>IF($D13="是",I13-J13,0)</f>
        <v>885.9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7" t="s">
        <v>1912</v>
      </c>
      <c r="F2" s="1392"/>
      <c r="G2" s="2228"/>
      <c r="H2" s="2229"/>
      <c r="I2" s="2230" t="s">
        <v>1936</v>
      </c>
      <c r="J2" s="1392"/>
      <c r="K2" s="1392"/>
      <c r="L2" s="1392"/>
      <c r="M2" s="1392"/>
      <c r="N2" s="1427"/>
      <c r="O2" s="1392"/>
      <c r="P2" s="1392"/>
    </row>
    <row r="3" spans="1:16" ht="15.75" thickBot="1">
      <c r="A3" s="3042" t="s">
        <v>1909</v>
      </c>
      <c r="B3" s="3042"/>
      <c r="C3" s="3042"/>
      <c r="D3" s="46">
        <f>'数据-基础表'!AY6</f>
        <v>2337</v>
      </c>
      <c r="E3" s="46">
        <f>'数据-基础表'!AZ5</f>
        <v>885.9</v>
      </c>
      <c r="F3" s="1392"/>
      <c r="G3" s="1399"/>
      <c r="H3" s="1247" t="s">
        <v>1910</v>
      </c>
      <c r="I3" s="55">
        <f>ROUND('数据-基础表'!B3/'数据-基础表'!A3,2)</f>
        <v>0.38</v>
      </c>
      <c r="J3" s="1392"/>
      <c r="K3" s="1392"/>
      <c r="L3" s="1392"/>
      <c r="M3" s="1392"/>
      <c r="N3" s="1427"/>
      <c r="O3" s="1392"/>
      <c r="P3" s="1392"/>
    </row>
    <row r="4" spans="1:16" ht="15">
      <c r="A4" s="3043"/>
      <c r="B4" s="3044"/>
      <c r="C4" s="3045"/>
      <c r="D4" s="2231" t="s">
        <v>1911</v>
      </c>
      <c r="E4" s="2232" t="s">
        <v>1912</v>
      </c>
      <c r="F4" s="1392"/>
      <c r="G4" s="2233" t="s">
        <v>1937</v>
      </c>
      <c r="H4" s="1247" t="s">
        <v>1917</v>
      </c>
      <c r="I4" s="55">
        <f>ROUND(SUMIF('数据-基础表'!I9:AS9,"地上",'数据-基础表'!I5:AS5)/'数据-基础表'!A3,2)</f>
        <v>0.38</v>
      </c>
      <c r="J4" s="1392"/>
      <c r="K4" s="1392"/>
      <c r="L4" s="1392"/>
      <c r="M4" s="1392"/>
      <c r="N4" s="1427"/>
      <c r="O4" s="1392"/>
      <c r="P4" s="1392"/>
    </row>
    <row r="5" spans="1:16">
      <c r="A5" s="47" t="s">
        <v>1913</v>
      </c>
      <c r="B5" s="3046" t="s">
        <v>1914</v>
      </c>
      <c r="C5" s="3046"/>
      <c r="D5" s="48">
        <f>ROUND($D$3*E5/$E$3,2)</f>
        <v>0</v>
      </c>
      <c r="E5" s="49">
        <f>SUMIF('数据-基础表'!$11:$11,"住宅",'数据-基础表'!$5:$5)</f>
        <v>0</v>
      </c>
      <c r="F5" s="1392"/>
      <c r="G5" s="1399"/>
      <c r="H5" s="1247" t="s">
        <v>1910</v>
      </c>
      <c r="I5" s="55">
        <f>ROUND(E31/D31,2)</f>
        <v>0.38</v>
      </c>
      <c r="J5" s="1392"/>
      <c r="K5" s="1392"/>
      <c r="L5" s="1392"/>
      <c r="M5" s="1392"/>
      <c r="N5" s="1392"/>
      <c r="O5" s="1392"/>
      <c r="P5" s="1392"/>
    </row>
    <row r="6" spans="1:16" ht="15" thickBot="1">
      <c r="A6" s="2234"/>
      <c r="B6" s="3046" t="s">
        <v>1915</v>
      </c>
      <c r="C6" s="3046"/>
      <c r="D6" s="48">
        <f>ROUND($D$3*E6/$E$3,2)</f>
        <v>2337</v>
      </c>
      <c r="E6" s="49">
        <f>E3-E5</f>
        <v>885.9</v>
      </c>
      <c r="F6" s="1392"/>
      <c r="G6" s="2235" t="s">
        <v>1916</v>
      </c>
      <c r="H6" s="1399" t="s">
        <v>1917</v>
      </c>
      <c r="I6" s="939">
        <f>ROUND(F31/D31,2)</f>
        <v>0.38</v>
      </c>
      <c r="J6" s="1392"/>
      <c r="K6" s="1392"/>
      <c r="L6" s="1392"/>
      <c r="M6" s="1392"/>
      <c r="N6" s="1392"/>
      <c r="O6" s="1392"/>
      <c r="P6" s="1392"/>
    </row>
    <row r="7" spans="1:16" ht="15">
      <c r="A7" s="3038"/>
      <c r="B7" s="3039"/>
      <c r="C7" s="3040"/>
      <c r="D7" s="2231" t="s">
        <v>1911</v>
      </c>
      <c r="E7" s="2236" t="s">
        <v>1918</v>
      </c>
      <c r="F7" s="1392"/>
      <c r="G7" s="2228" t="s">
        <v>1919</v>
      </c>
      <c r="H7" s="64"/>
      <c r="I7" s="420"/>
      <c r="J7" s="1392"/>
      <c r="K7" s="1392"/>
      <c r="L7" s="1392"/>
      <c r="M7" s="1392"/>
      <c r="N7" s="1392"/>
      <c r="O7" s="1392"/>
      <c r="P7" s="1392"/>
    </row>
    <row r="8" spans="1:16">
      <c r="A8" s="47" t="s">
        <v>1920</v>
      </c>
      <c r="B8" s="50" t="s">
        <v>1921</v>
      </c>
      <c r="C8" s="48" t="s">
        <v>1922</v>
      </c>
      <c r="D8" s="48">
        <f t="shared" ref="D8:D15" si="0">ROUND($D$3*E8/$E$3,2)</f>
        <v>2337</v>
      </c>
      <c r="E8" s="51">
        <f>SUMIF('数据-基础表'!BB10:BK10,"地上",'数据-基础表'!BB5:BK5)</f>
        <v>885.9</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2337</v>
      </c>
      <c r="E16" s="53">
        <f>SUM(E8:E15)</f>
        <v>885.9</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952" t="s">
        <v>3067</v>
      </c>
      <c r="D19" s="48">
        <f>ROUND($D$3*E19/$E$3,2)</f>
        <v>2337</v>
      </c>
      <c r="E19" s="56">
        <f t="shared" ref="E19:E26" si="1">SUM(F19:G19)</f>
        <v>885.9</v>
      </c>
      <c r="F19" s="57">
        <v>885.9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2337</v>
      </c>
      <c r="S19" s="1248">
        <f t="shared" si="5"/>
        <v>885.9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2337</v>
      </c>
      <c r="E27" s="1394">
        <f>IF(SUM(E19:E26)='数据-基础表'!BA5,SUM(E19:E26),IF(F27="地上面积有误","面积有误","地下面积有误"))</f>
        <v>885.9</v>
      </c>
      <c r="F27" s="1393">
        <f>IF(SUM(F19:F26)=E8,SUM(F19:F26),"地上面积有误")</f>
        <v>885.9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2337</v>
      </c>
      <c r="S27" s="1247">
        <f>IF(SUM(S19:S26)=$E$3,SUM(S19:S26),SUM(S19:S26)&amp;"误差"&amp;ROUND(SUM(S19:S26)-E3,2))</f>
        <v>885.9</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2337</v>
      </c>
      <c r="E31" s="729">
        <f>E27+E30</f>
        <v>885.9</v>
      </c>
      <c r="F31" s="730">
        <f>F27+F30</f>
        <v>885.9</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43756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3068</v>
      </c>
      <c r="O5" s="2296" t="s">
        <v>1985</v>
      </c>
      <c r="P5" s="2299" t="s">
        <v>1986</v>
      </c>
      <c r="Q5" s="69" t="s">
        <v>1987</v>
      </c>
      <c r="R5" s="2300" t="s">
        <v>1988</v>
      </c>
      <c r="S5" s="2301" t="s">
        <v>1989</v>
      </c>
      <c r="T5" s="2302" t="s">
        <v>1990</v>
      </c>
      <c r="U5" s="1267" t="s">
        <v>1991</v>
      </c>
      <c r="V5" s="1268" t="s">
        <v>1992</v>
      </c>
      <c r="W5" s="1268" t="s">
        <v>1993</v>
      </c>
      <c r="X5" s="71"/>
      <c r="Y5" s="70" t="s">
        <v>1994</v>
      </c>
      <c r="Z5" s="2303" t="s">
        <v>1991</v>
      </c>
      <c r="AA5" s="1268" t="s">
        <v>1992</v>
      </c>
      <c r="AB5" s="1268" t="s">
        <v>1993</v>
      </c>
      <c r="AC5" s="71"/>
      <c r="AD5" s="71" t="s">
        <v>1994</v>
      </c>
      <c r="AE5" s="1267" t="s">
        <v>1995</v>
      </c>
      <c r="AF5" s="1268" t="s">
        <v>1996</v>
      </c>
      <c r="AG5" s="70" t="s">
        <v>1997</v>
      </c>
      <c r="AH5" s="1267" t="s">
        <v>1998</v>
      </c>
      <c r="AI5" s="2303" t="s">
        <v>1999</v>
      </c>
      <c r="AJ5" s="2303" t="s">
        <v>2000</v>
      </c>
      <c r="AK5" s="1268" t="s">
        <v>2001</v>
      </c>
      <c r="AL5" s="1268" t="s">
        <v>2002</v>
      </c>
      <c r="AM5" s="70" t="s">
        <v>2003</v>
      </c>
      <c r="AN5" s="2304" t="s">
        <v>2004</v>
      </c>
      <c r="AO5" s="2074" t="s">
        <v>2005</v>
      </c>
      <c r="AP5" s="1249"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公交</v>
      </c>
      <c r="B6" s="2307" t="str">
        <f>IF(A6=0,"","经营性")</f>
        <v>经营性</v>
      </c>
      <c r="C6" s="2308" t="s">
        <v>6</v>
      </c>
      <c r="D6" s="1051">
        <f>SUMIF(项目基本情况!D$12:I$12,C6,项目基本情况!D$14:I$14)</f>
        <v>50</v>
      </c>
      <c r="E6" s="1048">
        <f>IF(B6="","",SUMIF(项目基本情况!D$12:I$12,C6,项目基本情况!D$13:I$13))</f>
        <v>54751</v>
      </c>
      <c r="F6" s="72">
        <f>SUMIF(项目基本情况!D$12:I$12,C6,项目基本情况!D$15:I$15)</f>
        <v>30.12</v>
      </c>
      <c r="G6" s="73">
        <f>IF(ISERROR(ROUND(POWER(1+H6,D6-F6)*(POWER(1+H6,F6)-1)/(POWER(1+H6,D6)-1),3)),0,ROUND(POWER(1+H6,D6-F6)*(POWER(1+H6,F6)-1)/(POWER(1+H6,D6)-1),3))</f>
        <v>0.76400000000000001</v>
      </c>
      <c r="H6" s="802">
        <v>0.03</v>
      </c>
      <c r="I6" s="802">
        <v>0.04</v>
      </c>
      <c r="J6" s="74">
        <v>0.05</v>
      </c>
      <c r="K6" s="1251">
        <f>SUMIF('数据-汇总表'!C$19:C$33,A6,'数据-汇总表'!E$19:E$33)</f>
        <v>885.9</v>
      </c>
      <c r="L6" s="803">
        <f>1560+500</f>
        <v>2060</v>
      </c>
      <c r="M6" s="75">
        <f t="shared" ref="M6:M14" si="0">ROUND(K6*L6/10000,0)</f>
        <v>182</v>
      </c>
      <c r="N6" s="801">
        <v>0.65</v>
      </c>
      <c r="O6" s="75" t="str">
        <f>IF($N$5="成新度","——",ROUND(M6*N6,0))</f>
        <v>——</v>
      </c>
      <c r="P6" s="76" t="str">
        <f>IF($N$5="成新度","——",M6-O6)</f>
        <v>——</v>
      </c>
      <c r="Q6" s="804">
        <v>0.15</v>
      </c>
      <c r="R6" s="77">
        <f ca="1">SUMIF('数据-汇总表'!C$19:C$33,A6,'数据-汇总表'!R$19:R$27)</f>
        <v>2337</v>
      </c>
      <c r="S6" s="54">
        <f>IF('数据-汇总表'!$I$17="按面积比例",SUMIF('数据-汇总表'!C$19:C$33,A6,'数据-汇总表'!K$19:K$33),SUMIF('数据-汇总表'!C$19:C$33,A6,'数据-汇总表'!N$19:N$33))</f>
        <v>0</v>
      </c>
      <c r="T6" s="1443">
        <f>ROUND($L$14*S6/10000,0)</f>
        <v>0</v>
      </c>
      <c r="U6" s="78">
        <v>1.2</v>
      </c>
      <c r="V6" s="79">
        <v>0.01</v>
      </c>
      <c r="W6" s="79">
        <v>0.1</v>
      </c>
      <c r="X6" s="1261"/>
      <c r="Y6" s="80">
        <f>N6</f>
        <v>0.65</v>
      </c>
      <c r="Z6" s="81"/>
      <c r="AA6" s="74"/>
      <c r="AB6" s="74"/>
      <c r="AC6" s="1261"/>
      <c r="AD6" s="82"/>
      <c r="AE6" s="1262">
        <f ca="1">IF(AN6="",0,SUMIF(INDIRECT("'"&amp;AN6&amp;"'"&amp;"!E:E"),$AE$5,INDIRECT("'"&amp;AN6&amp;"'"&amp;"!F:F")))</f>
        <v>30.12</v>
      </c>
      <c r="AF6" s="1804"/>
      <c r="AG6" s="147">
        <f>IF(AF6="",0,AE6-AF6)</f>
        <v>0</v>
      </c>
      <c r="AH6" s="83">
        <f>'数据-汇总表'!F19</f>
        <v>885.9</v>
      </c>
      <c r="AI6" s="85">
        <v>365</v>
      </c>
      <c r="AJ6" s="86"/>
      <c r="AK6" s="87">
        <v>0.02</v>
      </c>
      <c r="AL6" s="88">
        <v>2E-3</v>
      </c>
      <c r="AM6" s="89">
        <v>0.02</v>
      </c>
      <c r="AN6" s="2309" t="s">
        <v>3069</v>
      </c>
      <c r="AO6" s="55">
        <f ca="1">SUMIF(INDIRECT("'"&amp;AN6&amp;"'"&amp;"!A:A"),"总价",INDIRECT("'"&amp;AN6&amp;"'"&amp;"!B:B"))</f>
        <v>469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2009</v>
      </c>
      <c r="B14" s="2307" t="s">
        <v>2010</v>
      </c>
      <c r="C14" s="2312"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2011</v>
      </c>
      <c r="B15" s="2307" t="s">
        <v>2010</v>
      </c>
      <c r="C15" s="2312"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2013</v>
      </c>
      <c r="B16" s="97"/>
      <c r="C16" s="1005"/>
      <c r="D16" s="2314"/>
      <c r="E16" s="97"/>
      <c r="F16" s="97"/>
      <c r="G16" s="98">
        <f>ROUND(SUMPRODUCT(G6:G13,K6:K13)/SUMPRODUCT((G6:G13&gt;0)*(K6:K13)),3)</f>
        <v>0.76400000000000001</v>
      </c>
      <c r="H16" s="99">
        <f>ROUND(SUMPRODUCT(H6:H13,K6:K13)/SUMPRODUCT((H6:H13&gt;0)*(K6:K13)),3)</f>
        <v>0.03</v>
      </c>
      <c r="I16" s="100"/>
      <c r="J16" s="100"/>
      <c r="K16" s="101">
        <f>SUM(K6:K15)</f>
        <v>885.9</v>
      </c>
      <c r="L16" s="102">
        <f>ROUND(M16*10000/SUM(K6:K14),0)</f>
        <v>2054</v>
      </c>
      <c r="M16" s="102">
        <f>SUM(M6:M14)</f>
        <v>182</v>
      </c>
      <c r="N16" s="103">
        <f>ROUND(SUMPRODUCT(M6:M14,N6:N14)/M16,3)</f>
        <v>0.65</v>
      </c>
      <c r="O16" s="102">
        <f>SUM(O6:O14)</f>
        <v>0</v>
      </c>
      <c r="P16" s="102">
        <f>SUM(P6:P14)</f>
        <v>0</v>
      </c>
      <c r="Q16" s="104">
        <f>ROUND(SUMPRODUCT(Q6:Q13,K6:K13)/SUMPRODUCT((Q6:Q13&gt;0)*(K6:K13)),2)</f>
        <v>0.15</v>
      </c>
      <c r="R16" s="1255">
        <f ca="1">SUM(R6:R13)</f>
        <v>2337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2015</v>
      </c>
      <c r="B19" s="112">
        <v>0</v>
      </c>
      <c r="C19" s="2277" t="s">
        <v>2016</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2017</v>
      </c>
      <c r="B20" s="113">
        <v>1</v>
      </c>
      <c r="C20" s="2277" t="s">
        <v>2018</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2019</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2020</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2021</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2022</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2023</v>
      </c>
      <c r="B26" s="2320" t="s">
        <v>2024</v>
      </c>
      <c r="C26" s="2321" t="s">
        <v>2025</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2026</v>
      </c>
      <c r="B27" s="116"/>
      <c r="C27" s="1764" t="s">
        <v>2027</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2028</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2029</v>
      </c>
      <c r="B29" s="121">
        <f ca="1">'成本法 (元)'!C10</f>
        <v>177180</v>
      </c>
      <c r="C29" s="1764" t="s">
        <v>2030</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2031</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2032</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2033</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2034</v>
      </c>
      <c r="B33" s="726">
        <v>0.04</v>
      </c>
      <c r="C33" s="1763" t="s">
        <v>2035</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2036</v>
      </c>
      <c r="B34" s="122">
        <v>0</v>
      </c>
      <c r="C34" s="1763" t="s">
        <v>2037</v>
      </c>
      <c r="D34" s="2278" t="s">
        <v>2038</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2039</v>
      </c>
      <c r="B35" s="119">
        <v>200</v>
      </c>
      <c r="C35" s="1763" t="s">
        <v>2040</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2041</v>
      </c>
      <c r="B36" s="123">
        <v>1.4999999999999999E-2</v>
      </c>
      <c r="C36" s="1763" t="s">
        <v>2042</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2043</v>
      </c>
      <c r="B37" s="124">
        <v>0.02</v>
      </c>
      <c r="C37" s="1763" t="s">
        <v>2044</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2045</v>
      </c>
      <c r="B38" s="122">
        <v>0.02</v>
      </c>
      <c r="C38" s="1763" t="s">
        <v>2044</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2046</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2047</v>
      </c>
      <c r="B40" s="1300">
        <f ca="1">存贷款利率!G1</f>
        <v>4.3499999999999997E-2</v>
      </c>
      <c r="C40" s="1763" t="s">
        <v>2048</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2049</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2050</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2051</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2052</v>
      </c>
      <c r="B44" s="128">
        <v>0.05</v>
      </c>
      <c r="C44" s="1763" t="s">
        <v>2053</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2054</v>
      </c>
      <c r="B45" s="126">
        <v>0.03</v>
      </c>
      <c r="C45" s="1764" t="s">
        <v>2055</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2056</v>
      </c>
      <c r="B46" s="126">
        <v>0.02</v>
      </c>
      <c r="C46" s="1764" t="s">
        <v>2057</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2058</v>
      </c>
      <c r="B47" s="129"/>
      <c r="C47" s="1764" t="s">
        <v>2059</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2060</v>
      </c>
      <c r="B48" s="130">
        <v>0.03</v>
      </c>
      <c r="C48" s="1771" t="s">
        <v>2061</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2062</v>
      </c>
      <c r="B49" s="126">
        <v>5.0000000000000001E-4</v>
      </c>
      <c r="C49" s="1771" t="s">
        <v>2063</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2064</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2065</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2066</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2067</v>
      </c>
      <c r="B53" s="2336" t="s">
        <v>56</v>
      </c>
      <c r="C53" s="1427" t="s">
        <v>2068</v>
      </c>
      <c r="D53" s="2337" t="s">
        <v>2069</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2070</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2071</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2072</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2073</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2074</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2075</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2076</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2077</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2078</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2079</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47" t="s">
        <v>2080</v>
      </c>
      <c r="B1" s="3048"/>
      <c r="C1" s="3048"/>
      <c r="D1" s="3048"/>
      <c r="E1" s="3048"/>
      <c r="F1" s="3048"/>
      <c r="G1" s="304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68" t="s">
        <v>2084</v>
      </c>
      <c r="C3" s="2369" t="s">
        <v>2085</v>
      </c>
      <c r="D3" s="2370"/>
      <c r="E3" s="431" t="s">
        <v>2083</v>
      </c>
      <c r="F3" s="2371" t="s">
        <v>2086</v>
      </c>
      <c r="G3" s="2953" t="s">
        <v>3091</v>
      </c>
      <c r="H3" s="2367"/>
      <c r="I3" s="2367"/>
      <c r="J3" s="2367"/>
      <c r="K3" s="2367"/>
      <c r="L3" s="2367"/>
      <c r="M3" s="2367"/>
      <c r="N3" s="2367"/>
      <c r="O3" s="2367"/>
      <c r="P3" s="2367"/>
      <c r="Q3" s="2367"/>
      <c r="R3" s="2367"/>
    </row>
    <row r="4" spans="1:29" ht="67.5">
      <c r="A4" s="431"/>
      <c r="B4" s="1795" t="s">
        <v>2087</v>
      </c>
      <c r="C4" s="2372" t="s">
        <v>2088</v>
      </c>
      <c r="D4" s="2370"/>
      <c r="E4" s="2373"/>
      <c r="F4" s="42" t="s">
        <v>2089</v>
      </c>
      <c r="G4" s="2954" t="s">
        <v>3092</v>
      </c>
      <c r="H4" s="2367"/>
      <c r="I4" s="2367"/>
      <c r="J4" s="2367"/>
      <c r="K4" s="2367"/>
      <c r="L4" s="2367"/>
      <c r="M4" s="2367"/>
      <c r="N4" s="2367"/>
      <c r="O4" s="2367"/>
      <c r="P4" s="2367"/>
      <c r="Q4" s="2367"/>
      <c r="R4" s="2367"/>
    </row>
    <row r="5" spans="1:29" ht="41.25">
      <c r="A5" s="431"/>
      <c r="B5" s="1795" t="s">
        <v>2091</v>
      </c>
      <c r="C5" s="2372" t="s">
        <v>2092</v>
      </c>
      <c r="D5" s="2370"/>
      <c r="E5" s="2373"/>
      <c r="F5" s="1795" t="s">
        <v>2093</v>
      </c>
      <c r="G5" s="2954" t="s">
        <v>3093</v>
      </c>
      <c r="H5" s="2367"/>
      <c r="I5" s="2367"/>
      <c r="J5" s="2367"/>
      <c r="K5" s="2367"/>
      <c r="L5" s="2367"/>
      <c r="M5" s="2367"/>
      <c r="N5" s="2367"/>
      <c r="O5" s="2367"/>
      <c r="P5" s="2367"/>
      <c r="Q5" s="2367"/>
      <c r="R5" s="2367"/>
    </row>
    <row r="6" spans="1:29" ht="54">
      <c r="A6" s="431"/>
      <c r="B6" s="1795" t="s">
        <v>2095</v>
      </c>
      <c r="C6" s="2374" t="s">
        <v>2090</v>
      </c>
      <c r="D6" s="2370"/>
      <c r="E6" s="2373"/>
      <c r="F6" s="1795" t="s">
        <v>2096</v>
      </c>
      <c r="G6" s="2954" t="s">
        <v>3094</v>
      </c>
      <c r="H6" s="2367"/>
      <c r="I6" s="2367"/>
      <c r="J6" s="2367"/>
      <c r="K6" s="2367"/>
      <c r="L6" s="2367"/>
      <c r="M6" s="2367"/>
      <c r="N6" s="2367"/>
      <c r="O6" s="2367"/>
      <c r="P6" s="2367"/>
      <c r="Q6" s="2367"/>
      <c r="R6" s="2367"/>
    </row>
    <row r="7" spans="1:29" ht="54.75" thickBot="1">
      <c r="A7" s="431"/>
      <c r="B7" s="1795" t="s">
        <v>2093</v>
      </c>
      <c r="C7" s="2374" t="s">
        <v>2094</v>
      </c>
      <c r="D7" s="2375"/>
      <c r="E7" s="2376"/>
      <c r="F7" s="2377" t="s">
        <v>2098</v>
      </c>
      <c r="G7" s="2955" t="s">
        <v>3095</v>
      </c>
      <c r="H7" s="2367"/>
      <c r="I7" s="2367"/>
      <c r="J7" s="2367"/>
      <c r="K7" s="2367"/>
      <c r="L7" s="2367"/>
      <c r="M7" s="2367"/>
      <c r="N7" s="2367"/>
      <c r="O7" s="2367"/>
      <c r="P7" s="2367"/>
      <c r="Q7" s="2367"/>
      <c r="R7" s="2367"/>
    </row>
    <row r="8" spans="1:29" ht="27">
      <c r="A8" s="431"/>
      <c r="B8" s="1795" t="s">
        <v>2096</v>
      </c>
      <c r="C8" s="2374" t="s">
        <v>2097</v>
      </c>
      <c r="D8" s="2375"/>
      <c r="E8" s="2375"/>
      <c r="F8" s="1133"/>
      <c r="G8" s="1133"/>
      <c r="H8" s="2367"/>
      <c r="I8" s="2367"/>
      <c r="J8" s="2367"/>
      <c r="K8" s="2367"/>
      <c r="L8" s="2367"/>
      <c r="M8" s="2367"/>
      <c r="N8" s="2367"/>
      <c r="O8" s="2367"/>
      <c r="P8" s="2367"/>
      <c r="Q8" s="2367"/>
      <c r="R8" s="2367"/>
    </row>
    <row r="9" spans="1:29" ht="27">
      <c r="A9" s="431"/>
      <c r="B9" s="1795" t="s">
        <v>2099</v>
      </c>
      <c r="C9" s="2372" t="s">
        <v>2100</v>
      </c>
      <c r="D9" s="2370"/>
      <c r="E9" s="2375"/>
      <c r="F9" s="1133"/>
      <c r="G9" s="1133"/>
      <c r="H9" s="2367"/>
      <c r="I9" s="2367"/>
      <c r="J9" s="2367"/>
      <c r="K9" s="2367"/>
      <c r="L9" s="2367"/>
      <c r="M9" s="2367"/>
      <c r="N9" s="2367"/>
      <c r="O9" s="2367"/>
      <c r="P9" s="2367"/>
      <c r="Q9" s="2367"/>
      <c r="R9" s="2367"/>
    </row>
    <row r="10" spans="1:29" s="117" customFormat="1" ht="15.75" thickBot="1">
      <c r="A10" s="2378"/>
      <c r="B10" s="2379" t="s">
        <v>2101</v>
      </c>
      <c r="C10" s="2380"/>
      <c r="D10" s="2370"/>
      <c r="E10" s="2370"/>
      <c r="F10" s="1133"/>
      <c r="G10" s="1133"/>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1"/>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1"/>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2102</v>
      </c>
      <c r="B13" s="2385"/>
      <c r="C13" s="2385"/>
      <c r="D13" s="2392"/>
      <c r="E13" s="2385"/>
      <c r="F13" s="2385"/>
      <c r="G13" s="2385"/>
    </row>
    <row r="14" spans="1:29" ht="15.75" thickBot="1">
      <c r="A14" s="2396"/>
      <c r="B14" s="2397"/>
      <c r="C14" s="2398" t="s">
        <v>2103</v>
      </c>
      <c r="D14" s="2370"/>
      <c r="E14" s="2399"/>
      <c r="F14" s="2399"/>
      <c r="G14" s="2364" t="s">
        <v>2104</v>
      </c>
    </row>
    <row r="15" spans="1:29" ht="57">
      <c r="A15" s="68" t="s">
        <v>2105</v>
      </c>
      <c r="B15" s="1267" t="s">
        <v>2084</v>
      </c>
      <c r="C15" s="2400" t="str">
        <f>C3</f>
        <v>估价对象周边居住用地比例、居住小区规模和社区发展完善程度，综合评价居住社区成熟度一般</v>
      </c>
      <c r="D15" s="2370"/>
      <c r="E15" s="2401" t="s">
        <v>2106</v>
      </c>
      <c r="F15" s="1267" t="s">
        <v>2107</v>
      </c>
      <c r="G15" s="135" t="str">
        <f>G3</f>
        <v>估价对象周边有汽车修理厂、加油站等工交用地，无开发区，产业集聚程度一般。</v>
      </c>
    </row>
    <row r="16" spans="1:29" ht="71.25">
      <c r="A16" s="645"/>
      <c r="B16" s="2402" t="s">
        <v>2087</v>
      </c>
      <c r="C16" s="2403" t="str">
        <f>C4</f>
        <v>估价对象位于XX商圈，周边商业氛围成熟，人流量大，商业繁华度好</v>
      </c>
      <c r="D16" s="2370"/>
      <c r="E16" s="2404"/>
      <c r="F16" s="2405" t="s">
        <v>2089</v>
      </c>
      <c r="G16" s="136" t="str">
        <f>G4</f>
        <v>估价对象周边有f2路、房18路、房27路、房38路等多条公交线路，距地铁房山线（苏庄站）约900米，综合评价交通便捷度较好</v>
      </c>
    </row>
    <row r="17" spans="1:18" ht="42.75">
      <c r="A17" s="645"/>
      <c r="B17" s="2402" t="s">
        <v>2091</v>
      </c>
      <c r="C17" s="2403" t="str">
        <f>C5</f>
        <v>估价对象位于XX商圈，周边办公楼项目较多，入驻率高，办公集聚程度较好</v>
      </c>
      <c r="D17" s="2375"/>
      <c r="E17" s="2404"/>
      <c r="F17" s="2405" t="s">
        <v>2108</v>
      </c>
      <c r="G17" s="1569"/>
    </row>
    <row r="18" spans="1:18" ht="57">
      <c r="A18" s="645"/>
      <c r="B18" s="2405" t="s">
        <v>2095</v>
      </c>
      <c r="C18" s="136" t="str">
        <f>C6</f>
        <v>估价对象周边道路状况、公共交通通达情况、停车便捷程度，综合评价交通便捷度较好</v>
      </c>
      <c r="D18" s="2375"/>
      <c r="E18" s="2404"/>
      <c r="F18" s="2405" t="s">
        <v>2098</v>
      </c>
      <c r="G18" s="136" t="str">
        <f>G7</f>
        <v>估价对象周边500米内有2处加油站，有北潞园健身公园、房山区良乡体育中心等，整体环境状况一般</v>
      </c>
    </row>
    <row r="19" spans="1:18" ht="28.5">
      <c r="A19" s="645"/>
      <c r="B19" s="2405" t="s">
        <v>2109</v>
      </c>
      <c r="C19" s="1569"/>
      <c r="D19" s="2370"/>
      <c r="E19" s="2404"/>
      <c r="F19" s="1795" t="s">
        <v>2093</v>
      </c>
      <c r="G19" s="136" t="str">
        <f>G5</f>
        <v>估价对象所在区域公共配套设施较齐备</v>
      </c>
    </row>
    <row r="20" spans="1:18" ht="28.5">
      <c r="A20" s="645"/>
      <c r="B20" s="2405" t="s">
        <v>2110</v>
      </c>
      <c r="C20" s="2403" t="str">
        <f>C9</f>
        <v>区域自然环境：；人文环境；综合评价环境状况一般</v>
      </c>
      <c r="D20" s="2375"/>
      <c r="E20" s="2404"/>
      <c r="F20" s="1795" t="s">
        <v>2111</v>
      </c>
      <c r="G20" s="136" t="str">
        <f>G6</f>
        <v>估价对象所在区域基础设施水平好</v>
      </c>
    </row>
    <row r="21" spans="1:18" ht="28.5">
      <c r="A21" s="645"/>
      <c r="B21" s="1795" t="s">
        <v>2093</v>
      </c>
      <c r="C21" s="136" t="str">
        <f>C7</f>
        <v>估价对象所在区域公共配套设施齐备情况</v>
      </c>
      <c r="D21" s="2370"/>
      <c r="E21" s="2404"/>
      <c r="F21" s="2405" t="s">
        <v>2112</v>
      </c>
      <c r="G21" s="2406"/>
    </row>
    <row r="22" spans="1:18" ht="13.5" customHeight="1">
      <c r="A22" s="645"/>
      <c r="B22" s="1795" t="s">
        <v>2096</v>
      </c>
      <c r="C22" s="136" t="str">
        <f>C8</f>
        <v>估价对象所在区域基础设施水平</v>
      </c>
      <c r="D22" s="2370"/>
      <c r="E22" s="2404"/>
      <c r="F22" s="2405" t="s">
        <v>2101</v>
      </c>
      <c r="G22" s="1569"/>
    </row>
    <row r="23" spans="1:18" s="2367"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7"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885.9</v>
      </c>
      <c r="C1" s="1742"/>
      <c r="D1" s="1742"/>
      <c r="E1" s="1742"/>
      <c r="F1" s="1742"/>
      <c r="G1" s="1740"/>
    </row>
    <row r="2" spans="1:10" ht="16.5">
      <c r="A2" s="1743" t="s">
        <v>1349</v>
      </c>
      <c r="B2" s="1743">
        <f>SUM(C14:C23)</f>
        <v>2337</v>
      </c>
      <c r="C2" s="1742"/>
      <c r="D2" s="1742"/>
      <c r="E2" s="1742"/>
      <c r="F2" s="1742"/>
      <c r="G2" s="1740"/>
    </row>
    <row r="3" spans="1:10" ht="16.5">
      <c r="A3" s="1743" t="s">
        <v>1358</v>
      </c>
      <c r="B3" s="1744">
        <f>项目基本情况!D3</f>
        <v>43756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536</v>
      </c>
      <c r="C5" s="1743">
        <f ca="1">ROUND(B5*10000/$B$1,0)</f>
        <v>6050</v>
      </c>
      <c r="D5" s="1743">
        <f ca="1">ROUND(B5*10000/$B$2,0)</f>
        <v>2294</v>
      </c>
      <c r="E5" s="1742"/>
      <c r="F5" s="1740"/>
      <c r="G5" s="1740"/>
    </row>
    <row r="6" spans="1:10" ht="16.5">
      <c r="A6" s="1743" t="s">
        <v>1352</v>
      </c>
      <c r="B6" s="1743">
        <f ca="1">SUM(G14:G23)</f>
        <v>536</v>
      </c>
      <c r="C6" s="1743">
        <f ca="1">ROUND(B6*10000/$B$1,0)</f>
        <v>6050</v>
      </c>
      <c r="D6" s="1743">
        <f ca="1">ROUND(B6*10000/$B$2,0)</f>
        <v>2294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885.9</v>
      </c>
      <c r="C14" s="1741">
        <f>结果表!C118</f>
        <v>2337</v>
      </c>
      <c r="D14" s="1741">
        <f ca="1">结果表!H118</f>
        <v>536</v>
      </c>
      <c r="E14" s="1741">
        <f ca="1">ROUND(D14*10000/B14,0)</f>
        <v>6050</v>
      </c>
      <c r="F14" s="1741">
        <f ca="1">ROUND(D14*10000/C14,0)</f>
        <v>2294</v>
      </c>
      <c r="G14" s="1741">
        <f ca="1">结果表!D122</f>
        <v>536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22" sqref="D2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2115</v>
      </c>
      <c r="B1" s="2416"/>
      <c r="C1" s="2417" t="s">
        <v>3066</v>
      </c>
      <c r="D1" s="2416"/>
      <c r="E1" s="2416"/>
      <c r="F1" s="2418" t="s">
        <v>2116</v>
      </c>
      <c r="G1" s="2070" t="s">
        <v>2117</v>
      </c>
      <c r="H1" s="2419" t="str">
        <f>IF(G1="现房","——","估价对象范围")</f>
        <v>估价对象范围</v>
      </c>
      <c r="I1" s="2420"/>
    </row>
    <row r="2" spans="1:12" ht="21.75" customHeight="1" thickBot="1">
      <c r="A2" s="3121" t="str">
        <f>项目基本情况!S2</f>
        <v>北京市出让国有建设用地使用权及在建建筑物房地产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3" t="s">
        <v>2119</v>
      </c>
      <c r="B4" s="2424" t="s">
        <v>2120</v>
      </c>
      <c r="C4" s="2425" t="s">
        <v>3069</v>
      </c>
      <c r="D4" s="2425" t="s">
        <v>3070</v>
      </c>
      <c r="E4" s="3105" t="s">
        <v>2121</v>
      </c>
      <c r="F4" s="3118"/>
      <c r="G4" s="3118"/>
      <c r="H4" s="3118"/>
      <c r="I4" s="3106"/>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096" t="s">
        <v>2122</v>
      </c>
      <c r="B5" s="3022">
        <v>25</v>
      </c>
      <c r="C5" s="3126">
        <v>4</v>
      </c>
      <c r="D5" s="3114">
        <f>10-C5</f>
        <v>6</v>
      </c>
      <c r="E5" s="140" t="s">
        <v>2123</v>
      </c>
      <c r="F5" s="2427"/>
      <c r="G5" s="2427"/>
      <c r="H5" s="2427"/>
      <c r="I5" s="1831"/>
    </row>
    <row r="6" spans="1:12" ht="12.75">
      <c r="A6" s="3096"/>
      <c r="B6" s="3022"/>
      <c r="C6" s="3128"/>
      <c r="D6" s="3114"/>
      <c r="E6" s="140" t="s">
        <v>2124</v>
      </c>
      <c r="F6" s="2427"/>
      <c r="G6" s="2427"/>
      <c r="H6" s="2427"/>
      <c r="I6" s="1831"/>
    </row>
    <row r="7" spans="1:12" ht="12.75">
      <c r="A7" s="3096"/>
      <c r="B7" s="3022"/>
      <c r="C7" s="3127"/>
      <c r="D7" s="3114"/>
      <c r="E7" s="140" t="s">
        <v>2125</v>
      </c>
      <c r="F7" s="2427"/>
      <c r="G7" s="2427"/>
      <c r="H7" s="2427"/>
      <c r="I7" s="1831"/>
    </row>
    <row r="8" spans="1:12" ht="12.75">
      <c r="A8" s="3096" t="s">
        <v>2126</v>
      </c>
      <c r="B8" s="3022">
        <v>15</v>
      </c>
      <c r="C8" s="3126"/>
      <c r="D8" s="3114"/>
      <c r="E8" s="140" t="s">
        <v>2127</v>
      </c>
      <c r="F8" s="2427"/>
      <c r="G8" s="2427"/>
      <c r="H8" s="2427"/>
      <c r="I8" s="1831"/>
    </row>
    <row r="9" spans="1:12" ht="12.75">
      <c r="A9" s="3096"/>
      <c r="B9" s="3022"/>
      <c r="C9" s="3127"/>
      <c r="D9" s="3114"/>
      <c r="E9" s="140" t="s">
        <v>2128</v>
      </c>
      <c r="F9" s="2427"/>
      <c r="G9" s="2427"/>
      <c r="H9" s="2427"/>
      <c r="I9" s="1831"/>
    </row>
    <row r="10" spans="1:12" ht="12.75">
      <c r="A10" s="3096" t="s">
        <v>2129</v>
      </c>
      <c r="B10" s="3022">
        <v>15</v>
      </c>
      <c r="C10" s="3126"/>
      <c r="D10" s="3114"/>
      <c r="E10" s="140" t="s">
        <v>2130</v>
      </c>
      <c r="F10" s="2427"/>
      <c r="G10" s="2427"/>
      <c r="H10" s="2427"/>
      <c r="I10" s="1831"/>
    </row>
    <row r="11" spans="1:12" ht="12.75">
      <c r="A11" s="3096"/>
      <c r="B11" s="3022"/>
      <c r="C11" s="3127"/>
      <c r="D11" s="3114"/>
      <c r="E11" s="140" t="s">
        <v>2131</v>
      </c>
      <c r="F11" s="2427"/>
      <c r="G11" s="2427"/>
      <c r="H11" s="2427"/>
      <c r="I11" s="1831"/>
    </row>
    <row r="12" spans="1:12" ht="12.75">
      <c r="A12" s="3096" t="s">
        <v>2132</v>
      </c>
      <c r="B12" s="3022">
        <v>15</v>
      </c>
      <c r="C12" s="3126"/>
      <c r="D12" s="3114"/>
      <c r="E12" s="140" t="s">
        <v>2133</v>
      </c>
      <c r="F12" s="2427"/>
      <c r="G12" s="2427"/>
      <c r="H12" s="2427"/>
      <c r="I12" s="1831"/>
    </row>
    <row r="13" spans="1:12" ht="12.75">
      <c r="A13" s="3096"/>
      <c r="B13" s="3022"/>
      <c r="C13" s="3127"/>
      <c r="D13" s="3114"/>
      <c r="E13" s="140" t="s">
        <v>2134</v>
      </c>
      <c r="F13" s="2427"/>
      <c r="G13" s="2427"/>
      <c r="H13" s="2427"/>
      <c r="I13" s="1831"/>
    </row>
    <row r="14" spans="1:12" ht="12.75">
      <c r="A14" s="3096" t="s">
        <v>2135</v>
      </c>
      <c r="B14" s="3022">
        <v>30</v>
      </c>
      <c r="C14" s="3126"/>
      <c r="D14" s="3114"/>
      <c r="E14" s="140" t="s">
        <v>2136</v>
      </c>
      <c r="F14" s="2427"/>
      <c r="G14" s="2427"/>
      <c r="H14" s="2427"/>
      <c r="I14" s="1831"/>
    </row>
    <row r="15" spans="1:12" ht="12.75">
      <c r="A15" s="3096"/>
      <c r="B15" s="3022"/>
      <c r="C15" s="3128"/>
      <c r="D15" s="3114"/>
      <c r="E15" s="140" t="s">
        <v>2137</v>
      </c>
      <c r="F15" s="2427"/>
      <c r="G15" s="2427"/>
      <c r="H15" s="2427"/>
      <c r="I15" s="1831"/>
    </row>
    <row r="16" spans="1:12" ht="12.75">
      <c r="A16" s="3096"/>
      <c r="B16" s="3022"/>
      <c r="C16" s="3127"/>
      <c r="D16" s="3114"/>
      <c r="E16" s="140" t="s">
        <v>2138</v>
      </c>
      <c r="F16" s="2427"/>
      <c r="G16" s="2427"/>
      <c r="H16" s="2427"/>
      <c r="I16" s="1831"/>
    </row>
    <row r="17" spans="1:35" ht="15">
      <c r="A17" s="2428" t="s">
        <v>2139</v>
      </c>
      <c r="B17" s="64"/>
      <c r="C17" s="141">
        <f>SUM(C5:C16)</f>
        <v>4</v>
      </c>
      <c r="D17" s="141">
        <f>SUM(D5:D16)</f>
        <v>6</v>
      </c>
      <c r="E17" s="138"/>
      <c r="F17" s="138"/>
      <c r="G17" s="138"/>
      <c r="H17" s="138"/>
      <c r="I17" s="138"/>
      <c r="K17" s="2426"/>
      <c r="L17" s="2429" t="s">
        <v>2140</v>
      </c>
      <c r="M17" s="2429" t="s">
        <v>2141</v>
      </c>
    </row>
    <row r="18" spans="1:35" ht="15.75" thickBot="1">
      <c r="A18" s="2430" t="s">
        <v>2142</v>
      </c>
      <c r="B18" s="2431"/>
      <c r="C18" s="142">
        <f>ROUND(C17/SUM(C17:D17),2)</f>
        <v>0.4</v>
      </c>
      <c r="D18" s="142">
        <f>1-C18</f>
        <v>0.6</v>
      </c>
      <c r="E18" s="138"/>
      <c r="F18" s="138"/>
      <c r="G18" s="138"/>
      <c r="H18" s="138"/>
      <c r="I18" s="138"/>
      <c r="K18" s="2426" t="s">
        <v>2143</v>
      </c>
      <c r="L18" s="2426">
        <f>IF(C1="",'数据-汇总表'!E3,SUMIF(项目类型,C1,'数据-汇总表'!E17:E26)+SUMIF(项目类型,C1,'数据-汇总表'!I17:I26))</f>
        <v>885.9</v>
      </c>
      <c r="M18" s="2426">
        <f>IF(C1="",'数据-汇总表'!E3,SUMIF(项目类型,C1,'数据-汇总表'!E17:E26))</f>
        <v>885.9</v>
      </c>
    </row>
    <row r="19" spans="1:35" ht="15">
      <c r="A19" s="2432" t="s">
        <v>2144</v>
      </c>
      <c r="B19" s="2433" t="s">
        <v>2145</v>
      </c>
      <c r="C19" s="143">
        <f ca="1">SUMIF(INDIRECT("'"&amp;C4&amp;"'"&amp;"!A:A"),结果表!B19,INDIRECT("'"&amp;C4&amp;"'"&amp;"!B:B"))</f>
        <v>469</v>
      </c>
      <c r="D19" s="144">
        <f ca="1">SUMIF(INDIRECT("'"&amp;D4&amp;"'"&amp;"!A:A"),结果表!B19,INDIRECT("'"&amp;D4&amp;"'"&amp;"!B:B"))</f>
        <v>580</v>
      </c>
      <c r="E19" s="2432" t="s">
        <v>2146</v>
      </c>
      <c r="F19" s="2433" t="s">
        <v>2145</v>
      </c>
      <c r="G19" s="145">
        <f ca="1">ROUND(C19*$C$18+D19*$D$18,0)</f>
        <v>536</v>
      </c>
      <c r="H19" s="2434" t="s">
        <v>2147</v>
      </c>
      <c r="I19" s="138"/>
      <c r="K19" s="2426" t="s">
        <v>2148</v>
      </c>
      <c r="L19" s="2426">
        <f>IF(C1="",'数据-汇总表'!D3,SUMIF(项目类型,C1,'数据-汇总表'!D17:D26)+SUMIF(项目类型,C1,'数据-汇总表'!H17:H27))</f>
        <v>2337</v>
      </c>
      <c r="M19" s="2426">
        <f>IF(C1="",'数据-汇总表'!D3,SUMIF(项目类型,C1,'数据-汇总表'!D17:D26))</f>
        <v>2337</v>
      </c>
    </row>
    <row r="20" spans="1:35" ht="15">
      <c r="A20" s="2435"/>
      <c r="B20" s="1247" t="s">
        <v>2149</v>
      </c>
      <c r="C20" s="146">
        <f ca="1">SUMIF(INDIRECT("'"&amp;C4&amp;"'"&amp;"!A:A"),结果表!B20,INDIRECT("'"&amp;C4&amp;"'"&amp;"!B:B"))</f>
        <v>5293</v>
      </c>
      <c r="D20" s="147">
        <f ca="1">SUMIF(INDIRECT("'"&amp;D4&amp;"'"&amp;"!A:A"),结果表!B20,INDIRECT("'"&amp;D4&amp;"'"&amp;"!B:B"))</f>
        <v>6542</v>
      </c>
      <c r="E20" s="2435"/>
      <c r="F20" s="1247" t="s">
        <v>2149</v>
      </c>
      <c r="G20" s="148">
        <f ca="1">ROUND(C20*$C$18+D20*$D$18,0)</f>
        <v>6042</v>
      </c>
      <c r="H20" s="980" t="s">
        <v>2150</v>
      </c>
      <c r="I20" s="138"/>
    </row>
    <row r="21" spans="1:35" ht="15" customHeight="1" thickBot="1">
      <c r="A21" s="1000"/>
      <c r="B21" s="2436" t="s">
        <v>2151</v>
      </c>
      <c r="C21" s="789">
        <f ca="1">ROUND(C19*10000/L19,0)</f>
        <v>2007</v>
      </c>
      <c r="D21" s="790">
        <f ca="1">ROUND(D19*10000/L19,0)</f>
        <v>2482</v>
      </c>
      <c r="E21" s="1000"/>
      <c r="F21" s="2436" t="s">
        <v>2151</v>
      </c>
      <c r="G21" s="149">
        <f ca="1">ROUND(G19*10000/L19,0)</f>
        <v>2294</v>
      </c>
      <c r="H21" s="2437" t="s">
        <v>2150</v>
      </c>
      <c r="I21" s="138"/>
    </row>
    <row r="22" spans="1:35" ht="15" thickBot="1">
      <c r="A22" s="2281" t="s">
        <v>2152</v>
      </c>
      <c r="B22" s="2438"/>
      <c r="C22" s="2439"/>
      <c r="D22" s="791">
        <f ca="1">IF(C19&lt;D19,D19/C19-1,C19/D19-1)</f>
        <v>0.2366737739872069</v>
      </c>
      <c r="E22" s="138"/>
      <c r="F22" s="138"/>
      <c r="G22" s="138"/>
      <c r="H22" s="138"/>
      <c r="I22" s="138"/>
    </row>
    <row r="23" spans="1:35" ht="13.5" thickBot="1">
      <c r="A23" s="2416"/>
      <c r="B23" s="2416"/>
      <c r="C23" s="2416"/>
      <c r="D23" s="2416"/>
      <c r="E23" s="138"/>
      <c r="F23" s="138"/>
      <c r="G23" s="138"/>
      <c r="H23" s="138"/>
      <c r="I23" s="138"/>
    </row>
    <row r="24" spans="1:35" ht="14.25">
      <c r="A24" s="3135" t="s">
        <v>2153</v>
      </c>
      <c r="B24" s="2433" t="s">
        <v>2145</v>
      </c>
      <c r="C24" s="145">
        <f>IF(B30=0,0,D30)</f>
        <v>0</v>
      </c>
      <c r="D24" s="2440"/>
      <c r="E24" s="138"/>
      <c r="F24" s="138"/>
      <c r="G24" s="138"/>
      <c r="H24" s="138"/>
      <c r="I24" s="138"/>
    </row>
    <row r="25" spans="1:35" ht="14.25">
      <c r="A25" s="3136"/>
      <c r="B25" s="1247"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2159</v>
      </c>
      <c r="B32" s="2446"/>
      <c r="C32" s="153">
        <f ca="1">IF(D32="总价",G19-C24,G20-C25)</f>
        <v>536</v>
      </c>
      <c r="D32" s="2447" t="s">
        <v>2160</v>
      </c>
      <c r="E32" s="138"/>
      <c r="F32" s="138"/>
      <c r="G32" s="138"/>
      <c r="H32" s="138"/>
      <c r="I32" s="138"/>
    </row>
    <row r="33" spans="1:15" ht="15">
      <c r="A33" s="957" t="s">
        <v>2161</v>
      </c>
      <c r="B33" s="2448"/>
      <c r="C33" s="2449"/>
      <c r="D33" s="2450"/>
      <c r="E33" s="2451" t="s">
        <v>2162</v>
      </c>
      <c r="F33" s="2452" t="str">
        <f>IF(D32="楼面单价","取值（单价）","取值（总价）")</f>
        <v>取值（总价）</v>
      </c>
      <c r="G33" s="138"/>
      <c r="H33" s="138"/>
      <c r="I33" s="138"/>
    </row>
    <row r="34" spans="1:15" ht="15">
      <c r="A34" s="2453"/>
      <c r="B34" s="2454"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2164</v>
      </c>
      <c r="F34" s="1736"/>
      <c r="G34" s="138"/>
      <c r="H34" s="138"/>
      <c r="I34" s="138"/>
    </row>
    <row r="35" spans="1:15" ht="15.75" thickBot="1">
      <c r="A35" s="2456"/>
      <c r="B35" s="2457"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2166</v>
      </c>
      <c r="F35" s="163"/>
      <c r="G35" s="138"/>
      <c r="H35" s="138"/>
      <c r="I35" s="138"/>
    </row>
    <row r="36" spans="1:15" ht="15.75" thickBot="1">
      <c r="A36" s="3115" t="s">
        <v>2167</v>
      </c>
      <c r="B36" s="2459" t="s">
        <v>2168</v>
      </c>
      <c r="C36" s="154"/>
      <c r="D36" s="2460"/>
      <c r="E36" s="2461"/>
      <c r="F36" s="2462"/>
      <c r="G36" s="138"/>
      <c r="H36" s="138"/>
      <c r="I36" s="138"/>
    </row>
    <row r="37" spans="1:15" ht="15.75" thickBot="1">
      <c r="A37" s="3116"/>
      <c r="B37" s="2267" t="s">
        <v>2169</v>
      </c>
      <c r="C37" s="156"/>
      <c r="D37" s="1392"/>
      <c r="E37" s="1392"/>
      <c r="F37" s="2462"/>
      <c r="G37" s="138"/>
      <c r="H37" s="138"/>
      <c r="I37" s="138"/>
    </row>
    <row r="38" spans="1:15" ht="15.75" thickBot="1">
      <c r="A38" s="3117"/>
      <c r="B38" s="2463" t="s">
        <v>2170</v>
      </c>
      <c r="C38" s="727"/>
      <c r="D38" s="2464" t="s">
        <v>2171</v>
      </c>
      <c r="E38" s="1392"/>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132" t="s">
        <v>2181</v>
      </c>
      <c r="B45" s="3133"/>
      <c r="C45" s="3134"/>
      <c r="D45" s="164">
        <f ca="1">ROUND(H101*F45,0)</f>
        <v>536</v>
      </c>
      <c r="E45" s="165" t="s">
        <v>2182</v>
      </c>
      <c r="F45" s="166">
        <v>1</v>
      </c>
      <c r="G45" s="167" t="s">
        <v>2183</v>
      </c>
      <c r="H45" s="138"/>
      <c r="I45" s="138"/>
      <c r="J45" s="3051" t="s">
        <v>2184</v>
      </c>
      <c r="K45" s="3051"/>
      <c r="L45" s="3051"/>
      <c r="M45" s="3051"/>
      <c r="N45" s="3051"/>
      <c r="O45" s="3051"/>
    </row>
    <row r="46" spans="1:15" ht="14.25" customHeight="1">
      <c r="A46" s="3129" t="s">
        <v>2185</v>
      </c>
      <c r="B46" s="3130"/>
      <c r="C46" s="3130"/>
      <c r="D46" s="3130"/>
      <c r="E46" s="3130"/>
      <c r="F46" s="3130"/>
      <c r="G46" s="3131"/>
      <c r="H46" s="2478"/>
      <c r="I46" s="168"/>
      <c r="J46" s="1809">
        <v>1</v>
      </c>
      <c r="K46" s="3051" t="s">
        <v>2186</v>
      </c>
      <c r="L46" s="3051"/>
      <c r="M46" s="3052"/>
      <c r="N46" s="3052"/>
      <c r="O46" s="3052"/>
    </row>
    <row r="47" spans="1:15" ht="12" customHeight="1">
      <c r="A47" s="169" t="s">
        <v>2187</v>
      </c>
      <c r="B47" s="170"/>
      <c r="C47" s="171"/>
      <c r="D47" s="172" t="s">
        <v>2188</v>
      </c>
      <c r="E47" s="24" t="s">
        <v>2189</v>
      </c>
      <c r="F47" s="173" t="s">
        <v>2190</v>
      </c>
      <c r="G47" s="174" t="s">
        <v>2191</v>
      </c>
      <c r="H47" s="2478"/>
      <c r="I47" s="168"/>
      <c r="J47" s="1809">
        <v>2</v>
      </c>
      <c r="K47" s="3051" t="s">
        <v>2192</v>
      </c>
      <c r="L47" s="3051"/>
      <c r="M47" s="3053">
        <f>'数据-取费表'!B2</f>
        <v>43756</v>
      </c>
      <c r="N47" s="3053"/>
      <c r="O47" s="3053"/>
    </row>
    <row r="48" spans="1:15" ht="25.5">
      <c r="A48" s="3119" t="s">
        <v>2193</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79" t="s">
        <v>2194</v>
      </c>
      <c r="H48" s="2480" t="s">
        <v>2195</v>
      </c>
      <c r="I48" s="2478"/>
      <c r="J48" s="1809">
        <v>3</v>
      </c>
      <c r="K48" s="3051" t="s">
        <v>2196</v>
      </c>
      <c r="L48" s="3051"/>
      <c r="M48" s="3054">
        <f ca="1">H101</f>
        <v>536</v>
      </c>
      <c r="N48" s="3054"/>
      <c r="O48" s="3054"/>
    </row>
    <row r="49" spans="1:35" ht="25.5" customHeight="1">
      <c r="A49" s="176" t="s">
        <v>2197</v>
      </c>
      <c r="B49" s="3099" t="s">
        <v>2198</v>
      </c>
      <c r="C49" s="3099"/>
      <c r="D49" s="177">
        <v>0</v>
      </c>
      <c r="E49" s="23" t="s">
        <v>2199</v>
      </c>
      <c r="F49" s="28" t="s">
        <v>34</v>
      </c>
      <c r="G49" s="3080"/>
      <c r="H49" s="138"/>
      <c r="I49" s="2481"/>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2200</v>
      </c>
      <c r="C50" s="3099"/>
      <c r="D50" s="179"/>
      <c r="E50" s="31"/>
      <c r="F50" s="180"/>
      <c r="G50" s="3081"/>
      <c r="H50" s="138"/>
      <c r="I50" s="2481"/>
      <c r="J50" s="3051" t="s">
        <v>2201</v>
      </c>
      <c r="K50" s="3051"/>
      <c r="L50" s="3051"/>
      <c r="M50" s="3051"/>
      <c r="N50" s="3051"/>
      <c r="O50" s="3051"/>
    </row>
    <row r="51" spans="1:35" ht="12" customHeight="1">
      <c r="A51" s="181"/>
      <c r="B51" s="3099" t="s">
        <v>2202</v>
      </c>
      <c r="C51" s="3099"/>
      <c r="D51" s="182"/>
      <c r="E51" s="30"/>
      <c r="F51" s="180"/>
      <c r="G51" s="3082"/>
      <c r="H51" s="138"/>
      <c r="I51" s="2481"/>
      <c r="J51" s="2482" t="s">
        <v>2203</v>
      </c>
      <c r="K51" s="3051" t="s">
        <v>2204</v>
      </c>
      <c r="L51" s="3051"/>
      <c r="M51" s="2482" t="s">
        <v>2205</v>
      </c>
      <c r="N51" s="2482" t="s">
        <v>2206</v>
      </c>
      <c r="O51" s="2482" t="s">
        <v>2207</v>
      </c>
    </row>
    <row r="52" spans="1:35" ht="24" customHeight="1">
      <c r="A52" s="183" t="s">
        <v>2208</v>
      </c>
      <c r="B52" s="3099" t="s">
        <v>2209</v>
      </c>
      <c r="C52" s="3099"/>
      <c r="D52" s="182">
        <f ca="1">ROUND(D45*'数据-取费表'!B41/(1+'数据-取费表'!C42),0)</f>
        <v>28</v>
      </c>
      <c r="E52" s="11" t="s">
        <v>2210</v>
      </c>
      <c r="F52" s="184">
        <f>'数据-取费表'!B41</f>
        <v>5.5000000000000007E-2</v>
      </c>
      <c r="G52" s="2483"/>
      <c r="H52" s="138"/>
      <c r="I52" s="2481"/>
      <c r="J52" s="1809">
        <v>1</v>
      </c>
      <c r="K52" s="3074" t="s">
        <v>2211</v>
      </c>
      <c r="L52" s="3074"/>
      <c r="M52" s="1751">
        <f>D48</f>
        <v>0</v>
      </c>
      <c r="N52" s="1809" t="str">
        <f>E48</f>
        <v>销售额×税（费）率</v>
      </c>
      <c r="O52" s="1752" t="str">
        <f>F48</f>
        <v>免征</v>
      </c>
    </row>
    <row r="53" spans="1:35" ht="12" customHeight="1">
      <c r="A53" s="183" t="s">
        <v>2212</v>
      </c>
      <c r="B53" s="3100" t="s">
        <v>2213</v>
      </c>
      <c r="C53" s="3101"/>
      <c r="D53" s="182">
        <f ca="1">ROUND(D45*'数据-取费表'!B41/(1+'数据-取费表'!C42),0)</f>
        <v>28</v>
      </c>
      <c r="E53" s="11" t="s">
        <v>2210</v>
      </c>
      <c r="F53" s="184">
        <f>'数据-取费表'!B41</f>
        <v>5.5000000000000007E-2</v>
      </c>
      <c r="G53" s="2483"/>
      <c r="H53" s="138"/>
      <c r="I53" s="2481"/>
      <c r="J53" s="1809">
        <v>2</v>
      </c>
      <c r="K53" s="3074" t="s">
        <v>2214</v>
      </c>
      <c r="L53" s="3074"/>
      <c r="M53" s="1751">
        <f t="shared" ref="M53:O54" ca="1" si="0">D55</f>
        <v>0</v>
      </c>
      <c r="N53" s="1809" t="str">
        <f t="shared" si="0"/>
        <v>销售额×税（费）率</v>
      </c>
      <c r="O53" s="1752">
        <f t="shared" si="0"/>
        <v>5.0000000000000001E-4</v>
      </c>
    </row>
    <row r="54" spans="1:35" ht="12" customHeight="1">
      <c r="A54" s="183" t="s">
        <v>2215</v>
      </c>
      <c r="B54" s="3100" t="s">
        <v>2216</v>
      </c>
      <c r="C54" s="3101"/>
      <c r="D54" s="182">
        <f ca="1">C68</f>
        <v>28</v>
      </c>
      <c r="E54" s="30" t="s">
        <v>2217</v>
      </c>
      <c r="F54" s="184">
        <f>'数据-取费表'!B41</f>
        <v>5.5000000000000007E-2</v>
      </c>
      <c r="G54" s="2483"/>
      <c r="H54" s="2484"/>
      <c r="I54" s="2481"/>
      <c r="J54" s="1809">
        <v>3</v>
      </c>
      <c r="K54" s="3074" t="s">
        <v>2218</v>
      </c>
      <c r="L54" s="3074"/>
      <c r="M54" s="1751">
        <f t="shared" ca="1" si="0"/>
        <v>303</v>
      </c>
      <c r="N54" s="1809" t="str">
        <f t="shared" si="0"/>
        <v>增值额×税（费）率</v>
      </c>
      <c r="O54" s="1753" t="str">
        <f t="shared" si="0"/>
        <v>——</v>
      </c>
    </row>
    <row r="55" spans="1:35" ht="24" customHeight="1">
      <c r="A55" s="3138" t="s">
        <v>2219</v>
      </c>
      <c r="B55" s="3120"/>
      <c r="C55" s="3120"/>
      <c r="D55" s="185">
        <f ca="1">IF(H55="个人住宅",0,ROUND(D45*I55,0))</f>
        <v>0</v>
      </c>
      <c r="E55" s="11" t="s">
        <v>2220</v>
      </c>
      <c r="F55" s="184">
        <f>IF(H55="正常",I55,"免征")</f>
        <v>5.0000000000000001E-4</v>
      </c>
      <c r="G55" s="2483"/>
      <c r="H55" s="2480" t="s">
        <v>2221</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2222</v>
      </c>
      <c r="B56" s="3120"/>
      <c r="C56" s="3120"/>
      <c r="D56" s="185">
        <f ca="1">IF(H56="个人住宅",D57,D58)</f>
        <v>303</v>
      </c>
      <c r="E56" s="11" t="s">
        <v>2223</v>
      </c>
      <c r="F56" s="184" t="str">
        <f>IF(H56="正常",F58,"免征")</f>
        <v>——</v>
      </c>
      <c r="G56" s="2485" t="s">
        <v>2224</v>
      </c>
      <c r="H56" s="2486" t="s">
        <v>2221</v>
      </c>
      <c r="I56" s="2487"/>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2197</v>
      </c>
      <c r="B57" s="3105" t="s">
        <v>2225</v>
      </c>
      <c r="C57" s="3106"/>
      <c r="D57" s="187">
        <v>0</v>
      </c>
      <c r="E57" s="23" t="s">
        <v>2199</v>
      </c>
      <c r="F57" s="155"/>
      <c r="G57" s="2483"/>
      <c r="H57" s="2487"/>
      <c r="I57" s="2487"/>
      <c r="J57" s="3074">
        <f>IF(AND(J55="",J56=""),4,IF(项目基本情况!K6="上海银行",结果表!J56+1,结果表!J55+1))</f>
        <v>4</v>
      </c>
      <c r="K57" s="3074" t="s">
        <v>2226</v>
      </c>
      <c r="L57" s="2488" t="s">
        <v>2227</v>
      </c>
      <c r="M57" s="1756"/>
      <c r="N57" s="1757">
        <f ca="1">SUMIF(M52:M56,"&lt;9e307")</f>
        <v>303</v>
      </c>
      <c r="O57" s="2489"/>
      <c r="P57" s="1750" t="e">
        <f ca="1">N57/M49</f>
        <v>#VALUE!</v>
      </c>
    </row>
    <row r="58" spans="1:35" ht="24.75">
      <c r="A58" s="183" t="s">
        <v>2208</v>
      </c>
      <c r="B58" s="3105" t="s">
        <v>2228</v>
      </c>
      <c r="C58" s="3118"/>
      <c r="D58" s="185">
        <f ca="1">IF(H58="转让取得",C81,C97)</f>
        <v>303</v>
      </c>
      <c r="E58" s="11" t="s">
        <v>2223</v>
      </c>
      <c r="F58" s="24" t="s">
        <v>34</v>
      </c>
      <c r="G58" s="2483"/>
      <c r="H58" s="2486" t="s">
        <v>2229</v>
      </c>
      <c r="I58" s="2487"/>
      <c r="J58" s="3074"/>
      <c r="K58" s="3074"/>
      <c r="L58" s="2488" t="s">
        <v>2230</v>
      </c>
      <c r="M58" s="1758"/>
      <c r="N58" s="2490" t="str">
        <f ca="1">NUMBERSTRING(INT(N57*10000),2)&amp;"元整"</f>
        <v>叁佰零叁万元整</v>
      </c>
      <c r="O58" s="2491"/>
    </row>
    <row r="59" spans="1:35" ht="24.75" thickBot="1">
      <c r="A59" s="3078" t="s">
        <v>2231</v>
      </c>
      <c r="B59" s="3079"/>
      <c r="C59" s="3079"/>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076">
        <f>J57+1</f>
        <v>5</v>
      </c>
      <c r="K59" s="3074" t="s">
        <v>2233</v>
      </c>
      <c r="L59" s="1809" t="s">
        <v>2227</v>
      </c>
      <c r="M59" s="1759"/>
      <c r="N59" s="1760" t="e">
        <f ca="1">M49-N57</f>
        <v>#VALUE!</v>
      </c>
      <c r="O59" s="2493"/>
    </row>
    <row r="60" spans="1:35" ht="12" customHeight="1">
      <c r="A60" s="2494"/>
      <c r="B60" s="2416"/>
      <c r="C60" s="2416"/>
      <c r="D60" s="2416"/>
      <c r="E60" s="2166"/>
      <c r="F60" s="2487"/>
      <c r="G60" s="2487"/>
      <c r="H60" s="2495"/>
      <c r="I60" s="138"/>
      <c r="J60" s="3077"/>
      <c r="K60" s="3074"/>
      <c r="L60" s="2488" t="s">
        <v>2230</v>
      </c>
      <c r="M60" s="1758"/>
      <c r="N60" s="2490" t="e">
        <f ca="1">NUMBERSTRING(INT(N59*10000),2)&amp;"元整"</f>
        <v>#VALUE!</v>
      </c>
      <c r="O60" s="2491"/>
    </row>
    <row r="61" spans="1:35" ht="13.5" thickBot="1">
      <c r="A61" s="3137" t="s">
        <v>2234</v>
      </c>
      <c r="B61" s="3137"/>
      <c r="C61" s="3137"/>
      <c r="D61" s="3137"/>
      <c r="E61" s="3137"/>
      <c r="F61" s="2487"/>
      <c r="G61" s="2487"/>
      <c r="H61" s="2495"/>
      <c r="I61" s="138"/>
      <c r="J61" s="1809">
        <f>J59+1</f>
        <v>6</v>
      </c>
      <c r="K61" s="3074" t="s">
        <v>2235</v>
      </c>
      <c r="L61" s="3074"/>
      <c r="M61" s="1761"/>
      <c r="N61" s="1762" t="e">
        <f ca="1">ROUND(N59*10000/'数据-汇总表'!E3,0)</f>
        <v>#VALUE!</v>
      </c>
      <c r="O61" s="2496"/>
    </row>
    <row r="62" spans="1:35" ht="12.75">
      <c r="A62" s="3094" t="s">
        <v>2236</v>
      </c>
      <c r="B62" s="3095"/>
      <c r="C62" s="1801"/>
      <c r="D62" s="1801" t="s">
        <v>2237</v>
      </c>
      <c r="E62" s="192" t="s">
        <v>2238</v>
      </c>
      <c r="F62" s="2487"/>
      <c r="G62" s="2487"/>
      <c r="H62" s="2495"/>
      <c r="I62" s="138"/>
    </row>
    <row r="63" spans="1:35" ht="12.75">
      <c r="A63" s="203" t="s">
        <v>775</v>
      </c>
      <c r="B63" s="193" t="s">
        <v>2239</v>
      </c>
      <c r="C63" s="194">
        <f ca="1">ROUND((C64+C65)/(1+'数据-取费表'!C42),0)</f>
        <v>510</v>
      </c>
      <c r="D63" s="195"/>
      <c r="E63" s="196"/>
      <c r="F63" s="2487"/>
      <c r="G63" s="2487"/>
      <c r="H63" s="2495"/>
      <c r="I63" s="138"/>
      <c r="J63" s="3059" t="s">
        <v>2240</v>
      </c>
      <c r="K63" s="2497" t="s">
        <v>2241</v>
      </c>
      <c r="L63" s="1749" t="e">
        <f>IF(M49&gt;10000,M49*0.5%,IF(AND(M49&gt;1000,M49&lt;=10000),M49*1%,IF(AND(M49&gt;100,M49&lt;=1000),M49*3%,IF(AND(M49&gt;10,M49&lt;=100),M49*5%,M49*8%))))</f>
        <v>#VALUE!</v>
      </c>
      <c r="M63" s="24" t="e">
        <f>ROUND(L63,1)</f>
        <v>#VALUE!</v>
      </c>
      <c r="Z63" s="2421"/>
      <c r="AI63" s="2422"/>
    </row>
    <row r="64" spans="1:35" ht="14.25" customHeight="1">
      <c r="A64" s="197" t="s">
        <v>770</v>
      </c>
      <c r="B64" s="198" t="s">
        <v>2242</v>
      </c>
      <c r="C64" s="199">
        <f ca="1">D45</f>
        <v>536</v>
      </c>
      <c r="D64" s="200" t="s">
        <v>32</v>
      </c>
      <c r="E64" s="201"/>
      <c r="F64" s="2487"/>
      <c r="G64" s="2487"/>
      <c r="H64" s="2495"/>
      <c r="I64" s="138"/>
      <c r="J64" s="3059"/>
      <c r="K64" s="2497"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1"/>
      <c r="AI64" s="2422"/>
    </row>
    <row r="65" spans="1:35" ht="14.25" customHeight="1">
      <c r="A65" s="197" t="s">
        <v>771</v>
      </c>
      <c r="B65" s="198" t="s">
        <v>2245</v>
      </c>
      <c r="C65" s="202"/>
      <c r="D65" s="200"/>
      <c r="E65" s="201"/>
      <c r="F65" s="2487"/>
      <c r="G65" s="2487"/>
      <c r="H65" s="2495"/>
      <c r="I65" s="138"/>
      <c r="J65" s="3059"/>
      <c r="K65" s="2497" t="s">
        <v>2246</v>
      </c>
      <c r="L65" s="1749" t="e">
        <f>IF(M49&gt;1000,M49*0.1%,IF(AND(M49&gt;500,M49&lt;=1000),M49*0.5%,IF(AND(M49&gt;50,M49&lt;=500),M49*1%,IF(AND(M49&gt;1,M49&lt;=50),M49*1.5%))))</f>
        <v>#VALUE!</v>
      </c>
      <c r="M65" s="24" t="e">
        <f t="shared" si="1"/>
        <v>#VALUE!</v>
      </c>
      <c r="N65" s="138" t="s">
        <v>2244</v>
      </c>
      <c r="Z65" s="2421"/>
      <c r="AI65" s="2422"/>
    </row>
    <row r="66" spans="1:35" ht="14.25" customHeight="1">
      <c r="A66" s="203" t="s">
        <v>772</v>
      </c>
      <c r="B66" s="204" t="s">
        <v>2247</v>
      </c>
      <c r="C66" s="205"/>
      <c r="D66" s="206" t="s">
        <v>32</v>
      </c>
      <c r="E66" s="1773" t="s">
        <v>1367</v>
      </c>
      <c r="F66" s="2487"/>
      <c r="G66" s="2487"/>
      <c r="H66" s="2495"/>
      <c r="I66" s="138"/>
      <c r="J66" s="3059"/>
      <c r="K66" s="2497" t="s">
        <v>2248</v>
      </c>
      <c r="L66" s="1749" t="e">
        <f>M49*0.5%</f>
        <v>#VALUE!</v>
      </c>
      <c r="M66" s="24" t="e">
        <f>IF(L66&gt;0.5,0.5,ROUND(L66,0))</f>
        <v>#VALUE!</v>
      </c>
      <c r="N66" s="138" t="s">
        <v>2249</v>
      </c>
      <c r="Z66" s="2421"/>
      <c r="AI66" s="2422"/>
    </row>
    <row r="67" spans="1:35" ht="14.25" customHeight="1">
      <c r="A67" s="203" t="s">
        <v>773</v>
      </c>
      <c r="B67" s="204" t="s">
        <v>2250</v>
      </c>
      <c r="C67" s="207">
        <f ca="1">C63-C66</f>
        <v>510</v>
      </c>
      <c r="D67" s="200" t="s">
        <v>32</v>
      </c>
      <c r="E67" s="201"/>
      <c r="F67" s="2487"/>
      <c r="G67" s="2487"/>
      <c r="H67" s="2495"/>
      <c r="I67" s="138"/>
      <c r="J67" s="3059"/>
      <c r="K67" s="2497"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2252</v>
      </c>
      <c r="C68" s="210">
        <f ca="1">IF(C67&lt;=0,0,ROUND(C67*D68,0))</f>
        <v>28</v>
      </c>
      <c r="D68" s="211">
        <f>'数据-取费表'!B41</f>
        <v>5.5000000000000007E-2</v>
      </c>
      <c r="E68" s="212"/>
      <c r="F68" s="2487"/>
      <c r="G68" s="2487"/>
      <c r="H68" s="2495"/>
      <c r="I68" s="138"/>
      <c r="J68" s="3059"/>
      <c r="K68" s="2497" t="s">
        <v>2253</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6"/>
      <c r="G69" s="2166"/>
      <c r="H69" s="2165"/>
      <c r="I69" s="2416"/>
      <c r="J69" s="3059"/>
      <c r="K69" s="2497" t="s">
        <v>2254</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2255</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4" t="s">
        <v>2236</v>
      </c>
      <c r="B71" s="3095"/>
      <c r="C71" s="1801"/>
      <c r="D71" s="1801"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510</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3</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100" t="s">
        <v>2264</v>
      </c>
      <c r="F76" s="3099"/>
      <c r="G76" s="3099"/>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3</v>
      </c>
      <c r="D78" s="226">
        <f>'数据-取费表'!B43</f>
        <v>5.000000000000001E-3</v>
      </c>
      <c r="E78" s="3091" t="s">
        <v>2269</v>
      </c>
      <c r="F78" s="3092"/>
      <c r="G78" s="3092"/>
      <c r="H78" s="309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507</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169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303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2273</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4" t="s">
        <v>2236</v>
      </c>
      <c r="B84" s="3095"/>
      <c r="C84" s="1801"/>
      <c r="D84" s="1801"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510</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3</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7"/>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091" t="s">
        <v>2282</v>
      </c>
      <c r="F91" s="3092"/>
      <c r="G91" s="3092"/>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091" t="s">
        <v>2286</v>
      </c>
      <c r="F92" s="3092"/>
      <c r="G92" s="3092"/>
      <c r="H92" s="309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3</v>
      </c>
      <c r="D93" s="226">
        <f>'数据-取费表'!B43</f>
        <v>5.000000000000001E-3</v>
      </c>
      <c r="E93" s="3091" t="s">
        <v>2269</v>
      </c>
      <c r="F93" s="3092"/>
      <c r="G93" s="3092"/>
      <c r="H93" s="309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139" t="s">
        <v>2290</v>
      </c>
      <c r="F94" s="3140"/>
      <c r="G94" s="3140"/>
      <c r="H94" s="314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507</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169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303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2291</v>
      </c>
      <c r="B99" s="2416"/>
      <c r="C99" s="2416"/>
      <c r="D99" s="2416"/>
      <c r="E99" s="2166"/>
      <c r="F99" s="2166"/>
      <c r="G99" s="2166"/>
      <c r="H99" s="2165"/>
      <c r="I99" s="138"/>
    </row>
    <row r="100" spans="1:35" ht="18.75" customHeight="1">
      <c r="A100" s="3043" t="s">
        <v>2292</v>
      </c>
      <c r="B100" s="3044"/>
      <c r="C100" s="3044"/>
      <c r="D100" s="3075"/>
      <c r="E100" s="3044" t="s">
        <v>2293</v>
      </c>
      <c r="F100" s="3044"/>
      <c r="G100" s="3044"/>
      <c r="H100" s="3075"/>
      <c r="I100" s="138"/>
    </row>
    <row r="101" spans="1:35" ht="18.75" customHeight="1">
      <c r="A101" s="3083" t="s">
        <v>2294</v>
      </c>
      <c r="B101" s="3084"/>
      <c r="C101" s="736" t="str">
        <f>C4</f>
        <v>收益法 (元)</v>
      </c>
      <c r="D101" s="737" t="str">
        <f>D4</f>
        <v>成本法 (元)</v>
      </c>
      <c r="E101" s="3055" t="s">
        <v>2295</v>
      </c>
      <c r="F101" s="3056"/>
      <c r="G101" s="2518" t="s">
        <v>2296</v>
      </c>
      <c r="H101" s="1045">
        <f ca="1">H118</f>
        <v>536</v>
      </c>
      <c r="I101" s="138"/>
    </row>
    <row r="102" spans="1:35" ht="18.75" customHeight="1">
      <c r="A102" s="3085" t="s">
        <v>2297</v>
      </c>
      <c r="B102" s="2518" t="s">
        <v>2296</v>
      </c>
      <c r="C102" s="736">
        <f ca="1">C19</f>
        <v>469</v>
      </c>
      <c r="D102" s="737">
        <f ca="1">D19</f>
        <v>580</v>
      </c>
      <c r="E102" s="3055"/>
      <c r="F102" s="3056"/>
      <c r="G102" s="2518" t="s">
        <v>2298</v>
      </c>
      <c r="H102" s="371">
        <f ca="1">I118</f>
        <v>6050</v>
      </c>
      <c r="I102" s="138"/>
    </row>
    <row r="103" spans="1:35" ht="42.75" customHeight="1">
      <c r="A103" s="3085"/>
      <c r="B103" s="2518" t="s">
        <v>2298</v>
      </c>
      <c r="C103" s="738">
        <f ca="1">C20</f>
        <v>5293</v>
      </c>
      <c r="D103" s="739">
        <f ca="1">D20</f>
        <v>6542</v>
      </c>
      <c r="E103" s="3049" t="s">
        <v>2299</v>
      </c>
      <c r="F103" s="3050"/>
      <c r="G103" s="2519" t="s">
        <v>2300</v>
      </c>
      <c r="H103" s="1045">
        <f>IF(D36="正常操作",H104+H105+H106,H105+H106)</f>
        <v>0</v>
      </c>
      <c r="I103" s="138"/>
    </row>
    <row r="104" spans="1:35" ht="18.75" customHeight="1">
      <c r="A104" s="3085" t="s">
        <v>2301</v>
      </c>
      <c r="B104" s="2520" t="s">
        <v>2296</v>
      </c>
      <c r="C104" s="740">
        <f ca="1">H118</f>
        <v>536</v>
      </c>
      <c r="D104" s="741"/>
      <c r="E104" s="2267" t="s">
        <v>2302</v>
      </c>
      <c r="F104" s="2258"/>
      <c r="G104" s="2519" t="s">
        <v>2300</v>
      </c>
      <c r="H104" s="1046">
        <f>IF(D36="同一抵押权人同一抵押物续贷",C36&amp;"（未扣减，详见特别提示）",C36)</f>
        <v>0</v>
      </c>
      <c r="I104" s="138"/>
    </row>
    <row r="105" spans="1:35" ht="18.75" customHeight="1" thickBot="1">
      <c r="A105" s="3097"/>
      <c r="B105" s="2521" t="s">
        <v>2298</v>
      </c>
      <c r="C105" s="742">
        <f ca="1">I118</f>
        <v>6050</v>
      </c>
      <c r="D105" s="743"/>
      <c r="E105" s="2267" t="s">
        <v>2303</v>
      </c>
      <c r="F105" s="2258"/>
      <c r="G105" s="2519" t="s">
        <v>2300</v>
      </c>
      <c r="H105" s="1046">
        <f>C37</f>
        <v>0</v>
      </c>
      <c r="I105" s="138"/>
    </row>
    <row r="106" spans="1:35" ht="18.75" customHeight="1">
      <c r="A106" s="2416" t="s">
        <v>2304</v>
      </c>
      <c r="B106" s="2416"/>
      <c r="C106" s="2416"/>
      <c r="D106" s="2416"/>
      <c r="E106" s="2522" t="s">
        <v>2305</v>
      </c>
      <c r="F106" s="2258"/>
      <c r="G106" s="2519" t="s">
        <v>2300</v>
      </c>
      <c r="H106" s="1046">
        <f>C38</f>
        <v>0</v>
      </c>
      <c r="I106" s="138"/>
    </row>
    <row r="107" spans="1:35" ht="18.75" customHeight="1">
      <c r="A107" s="138"/>
      <c r="B107" s="138"/>
      <c r="C107" s="138"/>
      <c r="D107" s="138"/>
      <c r="E107" s="3086" t="str">
        <f>IF(项目基本情况!E8="已注销","——","3.房地产抵押价值")</f>
        <v>3.房地产抵押价值</v>
      </c>
      <c r="F107" s="3056"/>
      <c r="G107" s="2518" t="s">
        <v>2296</v>
      </c>
      <c r="H107" s="1045">
        <f ca="1">IF(E107="——","——",H101-H103)</f>
        <v>536</v>
      </c>
      <c r="I107" s="138"/>
    </row>
    <row r="108" spans="1:35" ht="18.75" customHeight="1">
      <c r="A108" s="138"/>
      <c r="B108" s="138"/>
      <c r="C108" s="138"/>
      <c r="D108" s="138"/>
      <c r="E108" s="3086"/>
      <c r="F108" s="3056"/>
      <c r="G108" s="2518" t="s">
        <v>2298</v>
      </c>
      <c r="H108" s="371">
        <f ca="1">ROUND(H107*10000/'数据-汇总表'!E3,0)</f>
        <v>6050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18" t="s">
        <v>2296</v>
      </c>
      <c r="H109" s="348" t="str">
        <f>IF(E109="——","——",H101-H105-H106)</f>
        <v>——</v>
      </c>
      <c r="I109" s="138"/>
    </row>
    <row r="110" spans="1:35" ht="18.75" customHeight="1">
      <c r="A110" s="138"/>
      <c r="B110" s="138"/>
      <c r="C110" s="138"/>
      <c r="D110" s="138"/>
      <c r="E110" s="3086"/>
      <c r="F110" s="3056"/>
      <c r="G110" s="2518" t="s">
        <v>2298</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18" t="s">
        <v>2296</v>
      </c>
      <c r="H111" s="1045" t="str">
        <f>IF(E111="——","——",N59)</f>
        <v>——</v>
      </c>
      <c r="I111" s="138"/>
    </row>
    <row r="112" spans="1:35" ht="18.75" customHeight="1" thickBot="1">
      <c r="A112" s="138"/>
      <c r="B112" s="138"/>
      <c r="C112" s="138"/>
      <c r="D112" s="138"/>
      <c r="E112" s="3089"/>
      <c r="F112" s="3090"/>
      <c r="G112" s="2523" t="s">
        <v>2298</v>
      </c>
      <c r="H112" s="790" t="str">
        <f>IF(E111="——","——",N61)</f>
        <v>——</v>
      </c>
      <c r="I112" s="138"/>
    </row>
    <row r="113" spans="1:11" ht="18.75" customHeight="1">
      <c r="A113" s="138"/>
      <c r="B113" s="138"/>
      <c r="C113" s="138"/>
      <c r="D113" s="138"/>
      <c r="E113" s="3098" t="s">
        <v>2304</v>
      </c>
      <c r="F113" s="3098"/>
      <c r="G113" s="3098"/>
      <c r="H113" s="3098"/>
      <c r="I113" s="138"/>
    </row>
    <row r="114" spans="1:11" ht="3.75" customHeight="1">
      <c r="A114" s="2416"/>
      <c r="B114" s="2416"/>
      <c r="C114" s="2416"/>
      <c r="D114" s="2416"/>
      <c r="E114" s="2494"/>
      <c r="F114" s="2494"/>
      <c r="G114" s="2494"/>
      <c r="H114" s="2494"/>
      <c r="I114" s="2416"/>
    </row>
    <row r="115" spans="1:11" ht="18.75" customHeight="1">
      <c r="A115" s="3111" t="s">
        <v>2306</v>
      </c>
      <c r="B115" s="3112"/>
      <c r="C115" s="3112"/>
      <c r="D115" s="3112"/>
      <c r="E115" s="3112"/>
      <c r="F115" s="3112"/>
      <c r="G115" s="3112"/>
      <c r="H115" s="3112"/>
      <c r="I115" s="3113"/>
    </row>
    <row r="116" spans="1:11" ht="27" customHeight="1">
      <c r="A116" s="3022" t="s">
        <v>2307</v>
      </c>
      <c r="B116" s="3065" t="s">
        <v>2308</v>
      </c>
      <c r="C116" s="3065" t="s">
        <v>2309</v>
      </c>
      <c r="D116" s="3071" t="s">
        <v>2310</v>
      </c>
      <c r="E116" s="3072"/>
      <c r="F116" s="3107" t="s">
        <v>2311</v>
      </c>
      <c r="G116" s="3107"/>
      <c r="H116" s="3022" t="s">
        <v>2312</v>
      </c>
      <c r="I116" s="3022"/>
    </row>
    <row r="117" spans="1:11" ht="18.75" customHeight="1">
      <c r="A117" s="3022"/>
      <c r="B117" s="3066"/>
      <c r="C117" s="3066"/>
      <c r="D117" s="1795" t="s">
        <v>2313</v>
      </c>
      <c r="E117" s="1795" t="s">
        <v>2314</v>
      </c>
      <c r="F117" s="1795" t="s">
        <v>2313</v>
      </c>
      <c r="G117" s="1795" t="s">
        <v>2315</v>
      </c>
      <c r="H117" s="1795" t="s">
        <v>2313</v>
      </c>
      <c r="I117" s="1795" t="s">
        <v>2315</v>
      </c>
    </row>
    <row r="118" spans="1:11" ht="24.75" customHeight="1">
      <c r="A118" s="2524" t="str">
        <f>项目基本情况!S2</f>
        <v>北京市出让国有建设用地使用权及在建建筑物房地产</v>
      </c>
      <c r="B118" s="1795">
        <f>M18</f>
        <v>885.9</v>
      </c>
      <c r="C118" s="1795">
        <f>M19</f>
        <v>2337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536</v>
      </c>
      <c r="I118" s="1795">
        <f ca="1">ROUND(IF(D32="楼面单价",C32,H118*10000/B118),0)</f>
        <v>6050</v>
      </c>
    </row>
    <row r="119" spans="1:11" ht="18.75" customHeight="1">
      <c r="A119" s="3022" t="s">
        <v>2316</v>
      </c>
      <c r="B119" s="3022"/>
      <c r="C119" s="3022"/>
      <c r="D119" s="3067" t="e">
        <f ca="1">NUMBERSTRING(INT(D118*10000),2)&amp;"元整"</f>
        <v>#REF!</v>
      </c>
      <c r="E119" s="3068"/>
      <c r="F119" s="3067" t="e">
        <f ca="1">NUMBERSTRING(INT(F118*10000),2)&amp;"元整"</f>
        <v>#REF!</v>
      </c>
      <c r="G119" s="3068"/>
      <c r="H119" s="3067" t="str">
        <f ca="1">NUMBERSTRING(INT(H118*10000),2)&amp;"元整"</f>
        <v>伍佰叁拾陆万元整</v>
      </c>
      <c r="I119" s="3068"/>
    </row>
    <row r="120" spans="1:11" ht="18.75" customHeight="1">
      <c r="A120" s="3062" t="str">
        <f>IF(项目基本情况!B9="房地产市场价值","",MID(E103,3,LEN(E103)-2))</f>
        <v/>
      </c>
      <c r="B120" s="3063"/>
      <c r="C120" s="3064"/>
      <c r="D120" s="3062">
        <f>H103</f>
        <v>0</v>
      </c>
      <c r="E120" s="3063"/>
      <c r="F120" s="3063"/>
      <c r="G120" s="3063"/>
      <c r="H120" s="3063"/>
      <c r="I120" s="3064"/>
      <c r="K120" s="2421" t="str">
        <f>IF(D120=0,"故，本次评估不存在"&amp;A120,"故，本次评估"&amp;A120&amp;"为人民币"&amp;D120&amp;"万元整。")</f>
        <v>故，本次评估不存在</v>
      </c>
    </row>
    <row r="121" spans="1:11" ht="18.75" customHeight="1">
      <c r="A121" s="3108" t="s">
        <v>2316</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
      </c>
      <c r="B122" s="3073"/>
      <c r="C122" s="3073"/>
      <c r="D122" s="3062">
        <f ca="1">H107</f>
        <v>536</v>
      </c>
      <c r="E122" s="3063"/>
      <c r="F122" s="3063"/>
      <c r="G122" s="3063"/>
      <c r="H122" s="3063"/>
      <c r="I122" s="3064"/>
    </row>
    <row r="123" spans="1:11" ht="18.75" customHeight="1">
      <c r="A123" s="3022" t="s">
        <v>2316</v>
      </c>
      <c r="B123" s="3022"/>
      <c r="C123" s="3022"/>
      <c r="D123" s="3067" t="str">
        <f ca="1">NUMBERSTRING(INT(D122*10000),2)&amp;"元整"</f>
        <v>伍佰叁拾陆万元整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2316</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2316</v>
      </c>
      <c r="B127" s="3022"/>
      <c r="C127" s="3022"/>
      <c r="D127" s="3067" t="e">
        <f>NUMBERSTRING(INT(D126*10000),2)&amp;"元整"</f>
        <v>#VALUE!</v>
      </c>
      <c r="E127" s="3069"/>
      <c r="F127" s="3069"/>
      <c r="G127" s="3069"/>
      <c r="H127" s="3069"/>
      <c r="I127" s="3068"/>
    </row>
    <row r="128" spans="1:11" ht="21.75" customHeight="1">
      <c r="A128" s="3070" t="s">
        <v>2317</v>
      </c>
      <c r="B128" s="3070"/>
      <c r="C128" s="3070"/>
      <c r="D128" s="3070"/>
      <c r="E128" s="3070"/>
      <c r="F128" s="3070"/>
      <c r="G128" s="3070"/>
      <c r="H128" s="3070"/>
      <c r="I128" s="3070"/>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2320</v>
      </c>
      <c r="G135" s="2542"/>
      <c r="H135" s="2542"/>
      <c r="I135" s="2543" t="s">
        <v>2321</v>
      </c>
    </row>
    <row r="136" spans="1:35" ht="21.75" customHeight="1">
      <c r="A136" s="795"/>
      <c r="B136" s="2544"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2323</v>
      </c>
    </row>
    <row r="139" spans="1:35" ht="21.75" customHeight="1">
      <c r="A139" s="795"/>
      <c r="B139" s="2544" t="s">
        <v>2324</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2323</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233501</v>
      </c>
      <c r="C2" s="243" t="s">
        <v>2327</v>
      </c>
      <c r="D2" s="2547" t="s">
        <v>70</v>
      </c>
      <c r="E2" s="1440"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2635749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177180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177180</v>
      </c>
      <c r="D8" s="266"/>
      <c r="E8" s="264"/>
      <c r="F8" s="265"/>
      <c r="G8" s="2550"/>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1"/>
      <c r="H9" s="1390"/>
      <c r="I9" s="2552" t="s">
        <v>2343</v>
      </c>
    </row>
    <row r="10" spans="1:9" s="258" customFormat="1" ht="13.5" customHeight="1">
      <c r="A10" s="950" t="s">
        <v>801</v>
      </c>
      <c r="B10" s="268" t="s">
        <v>2344</v>
      </c>
      <c r="C10" s="269">
        <f ca="1">ROUND(D10*E10/10000,0)</f>
        <v>18</v>
      </c>
      <c r="D10" s="1032">
        <f ca="1">IF(B1="",'数据-汇总表'!E6,IF(INDIRECT("'数据-取费表'!c"&amp;$G$1)="住宅",INDIRECT("'数据-取费表'!s"&amp;$G$1),INDIRECT("'数据-取费表'!k"&amp;$G$1)+INDIRECT("'数据-取费表'!s"&amp;$G$1)))</f>
        <v>885.9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18</v>
      </c>
      <c r="D19" s="1036">
        <f ca="1">D9+D10</f>
        <v>885.9</v>
      </c>
      <c r="E19" s="255">
        <f>'数据-取费表'!B31</f>
        <v>200</v>
      </c>
      <c r="F19" s="275"/>
      <c r="G19" s="2550"/>
    </row>
    <row r="20" spans="1:7" s="258" customFormat="1" ht="13.5" customHeight="1">
      <c r="A20" s="299" t="s">
        <v>2357</v>
      </c>
      <c r="B20" s="254" t="s">
        <v>2358</v>
      </c>
      <c r="C20" s="276">
        <f ca="1">ROUND((C5+C19)*F20,0)</f>
        <v>3544</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7785</v>
      </c>
      <c r="D22" s="279">
        <f ca="1">C26</f>
        <v>4.0000000000000002E-4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7707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v>
      </c>
      <c r="D24" s="282"/>
      <c r="E24" s="282"/>
      <c r="F24" s="283"/>
      <c r="G24" s="284" t="s">
        <v>2371</v>
      </c>
    </row>
    <row r="25" spans="1:7" s="258" customFormat="1" ht="24">
      <c r="A25" s="951" t="s">
        <v>2372</v>
      </c>
      <c r="B25" s="259" t="s">
        <v>2373</v>
      </c>
      <c r="C25" s="1355">
        <f ca="1">ROUND(IF('数据-取费表'!B22&lt;=1,C20*F22*'数据-取费表'!B23/2,C20*(POWER((1+F22),'数据-取费表'!B23/2)-1)),0)</f>
        <v>77</v>
      </c>
      <c r="D25" s="282"/>
      <c r="E25" s="285"/>
      <c r="F25" s="283"/>
      <c r="G25" s="286" t="s">
        <v>2374</v>
      </c>
    </row>
    <row r="26" spans="1:7" s="258" customFormat="1">
      <c r="A26" s="951"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27111</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27111</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233324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182</v>
      </c>
      <c r="D34" s="261"/>
      <c r="E34" s="264"/>
      <c r="F34" s="301">
        <f ca="1">IF('数据-取费表'!B24=0,1,IF(B1="",'数据-取费表'!N16,INDIRECT("'数据-取费表'!n"&amp;$G$1)))</f>
        <v>1</v>
      </c>
      <c r="G34" s="263" t="s">
        <v>2390</v>
      </c>
    </row>
    <row r="35" spans="1:7" ht="13.5" customHeight="1">
      <c r="A35" s="951" t="s">
        <v>796</v>
      </c>
      <c r="B35" s="259" t="s">
        <v>2391</v>
      </c>
      <c r="C35" s="264">
        <f ca="1">ROUND(C34*F35,0)</f>
        <v>7</v>
      </c>
      <c r="D35" s="264"/>
      <c r="E35" s="264"/>
      <c r="F35" s="303">
        <f>'数据-取费表'!B33</f>
        <v>0.04</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18</v>
      </c>
      <c r="D37" s="261">
        <f ca="1">D19</f>
        <v>885.9</v>
      </c>
      <c r="E37" s="293">
        <f>'数据-取费表'!B35</f>
        <v>200</v>
      </c>
      <c r="F37" s="303"/>
      <c r="G37" s="305" t="s">
        <v>2396</v>
      </c>
    </row>
    <row r="38" spans="1:7" ht="13.5" customHeight="1">
      <c r="A38" s="951" t="s">
        <v>799</v>
      </c>
      <c r="B38" s="259" t="s">
        <v>2397</v>
      </c>
      <c r="C38" s="264">
        <f ca="1">ROUND(C34*F38,0)</f>
        <v>3</v>
      </c>
      <c r="D38" s="264"/>
      <c r="E38" s="264"/>
      <c r="F38" s="303">
        <f>'数据-取费表'!B36</f>
        <v>1.4999999999999999E-2</v>
      </c>
      <c r="G38" s="263" t="s">
        <v>2392</v>
      </c>
    </row>
    <row r="39" spans="1:7" s="258" customFormat="1" ht="13.5" customHeight="1">
      <c r="A39" s="299" t="s">
        <v>2398</v>
      </c>
      <c r="B39" s="254" t="s">
        <v>2399</v>
      </c>
      <c r="C39" s="276">
        <f ca="1">ROUND(C33*F20,0)</f>
        <v>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5</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5</v>
      </c>
      <c r="D42" s="282"/>
      <c r="E42" s="282"/>
      <c r="F42" s="283"/>
      <c r="G42" s="3142" t="s">
        <v>2408</v>
      </c>
    </row>
    <row r="43" spans="1:7" ht="13.5" customHeight="1">
      <c r="A43" s="951" t="s">
        <v>792</v>
      </c>
      <c r="B43" s="259" t="s">
        <v>2409</v>
      </c>
      <c r="C43" s="282">
        <f ca="1">ROUND(IF('数据-取费表'!B22&lt;=1,C39*F22*'数据-取费表'!B21/2,C39*(POWER((1+F22),'数据-取费表'!B21/2)-1)),0)</f>
        <v>0</v>
      </c>
      <c r="D43" s="282"/>
      <c r="E43" s="282"/>
      <c r="F43" s="283"/>
      <c r="G43" s="3143"/>
    </row>
    <row r="44" spans="1:7" ht="13.5" customHeight="1">
      <c r="A44" s="951" t="s">
        <v>793</v>
      </c>
      <c r="B44" s="259" t="s">
        <v>2410</v>
      </c>
      <c r="C44" s="282">
        <f ca="1">ROUND(IF('数据-取费表'!B22&lt;=1,C40*F22*'数据-取费表'!B21/2,C40*(POWER((1+F22),'数据-取费表'!B21/2)-1)),4)</f>
        <v>4.0000000000000002E-4</v>
      </c>
      <c r="D44" s="282"/>
      <c r="E44" s="282"/>
      <c r="F44" s="283"/>
      <c r="G44" s="3144"/>
    </row>
    <row r="45" spans="1:7" s="258" customFormat="1" ht="13.5" customHeight="1">
      <c r="A45" s="299" t="s">
        <v>2411</v>
      </c>
      <c r="B45" s="288" t="s">
        <v>2377</v>
      </c>
      <c r="C45" s="289">
        <f ca="1">C46</f>
        <v>32</v>
      </c>
      <c r="D45" s="279">
        <f ca="1">C47</f>
        <v>3.0000000000000001E-3</v>
      </c>
      <c r="E45" s="280" t="s">
        <v>2403</v>
      </c>
      <c r="F45" s="290"/>
      <c r="G45" s="291" t="s">
        <v>2412</v>
      </c>
    </row>
    <row r="46" spans="1:7" s="258" customFormat="1" ht="13.5" customHeight="1">
      <c r="A46" s="951" t="s">
        <v>791</v>
      </c>
      <c r="B46" s="292" t="s">
        <v>2413</v>
      </c>
      <c r="C46" s="293">
        <f ca="1">ROUND((C33+C39)*F27,0)</f>
        <v>32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272</v>
      </c>
      <c r="D49" s="276"/>
      <c r="E49" s="276"/>
      <c r="F49" s="308"/>
      <c r="G49" s="278" t="s">
        <v>2418</v>
      </c>
    </row>
    <row r="50" spans="1:7" s="302" customFormat="1" ht="24">
      <c r="A50" s="299" t="s">
        <v>2419</v>
      </c>
      <c r="B50" s="254" t="s">
        <v>2420</v>
      </c>
      <c r="C50" s="276"/>
      <c r="D50" s="276"/>
      <c r="E50" s="276"/>
      <c r="F50" s="308">
        <f>IF('数据-取费表'!B24=0,'数据-取费表'!N16,1)</f>
        <v>0.65</v>
      </c>
      <c r="G50" s="291" t="s">
        <v>2421</v>
      </c>
    </row>
    <row r="51" spans="1:7" ht="16.5" customHeight="1">
      <c r="A51" s="299" t="s">
        <v>2422</v>
      </c>
      <c r="B51" s="254" t="s">
        <v>2423</v>
      </c>
      <c r="C51" s="276">
        <f ca="1">ROUND(C49*F50,0)</f>
        <v>177</v>
      </c>
      <c r="D51" s="276"/>
      <c r="E51" s="276"/>
      <c r="F51" s="308"/>
      <c r="G51" s="278" t="s">
        <v>2424</v>
      </c>
    </row>
    <row r="52" spans="1:7" s="252" customFormat="1" ht="16.5" thickBot="1">
      <c r="A52" s="309" t="s">
        <v>2425</v>
      </c>
      <c r="B52" s="310"/>
      <c r="C52" s="311">
        <f ca="1">C31+C51</f>
        <v>233501</v>
      </c>
      <c r="D52" s="310"/>
      <c r="E52" s="310"/>
      <c r="F52" s="310"/>
      <c r="G52" s="312"/>
    </row>
    <row r="55" spans="1:7" ht="15">
      <c r="B55" s="314" t="s">
        <v>2426</v>
      </c>
      <c r="C55" s="315"/>
    </row>
    <row r="56" spans="1:7">
      <c r="B56" s="317" t="s">
        <v>1508</v>
      </c>
      <c r="C56" s="319">
        <f ca="1">1-C57</f>
        <v>0.999</v>
      </c>
    </row>
    <row r="57" spans="1:7">
      <c r="B57" s="317" t="s">
        <v>1509</v>
      </c>
      <c r="C57" s="318">
        <f ca="1">ROUND(C51/C52,3)</f>
        <v>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北京市出让国有建设用地使用权及在建建筑物房地产市场价值预评估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46"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t="s">
        <v>3066</v>
      </c>
      <c r="C1" s="2553" t="s">
        <v>2427</v>
      </c>
      <c r="D1" s="242"/>
      <c r="E1" s="242"/>
      <c r="F1" s="242"/>
      <c r="G1" s="1379">
        <f>MATCH(B1,'数据-取费表'!A6:A16,0)+5</f>
        <v>6</v>
      </c>
      <c r="H1" s="1282" t="str">
        <f>IF(ISERROR(FIND("住宅",B1)),"非住宅","住宅")</f>
        <v>非住宅</v>
      </c>
    </row>
    <row r="2" spans="1:8" s="244" customFormat="1" ht="18" customHeight="1">
      <c r="A2" s="245" t="s">
        <v>2326</v>
      </c>
      <c r="B2" s="246">
        <f ca="1">ROUND(IF(D2="——",C52/10000,C52/10000-E2),0)</f>
        <v>580</v>
      </c>
      <c r="C2" s="243" t="s">
        <v>2327</v>
      </c>
      <c r="D2" s="2547" t="s">
        <v>70</v>
      </c>
      <c r="E2" s="1440" t="e">
        <f ca="1">SUMIF(INDIRECT("'"&amp;G2&amp;"'"&amp;"!A:A"),"承租人权益价值",INDIRECT("'"&amp;G2&amp;"'"&amp;"!c:c"))</f>
        <v>#REF!</v>
      </c>
      <c r="F2" s="2548" t="s">
        <v>2327</v>
      </c>
      <c r="G2" s="2549"/>
    </row>
    <row r="3" spans="1:8" s="244" customFormat="1" ht="18" customHeight="1" thickBot="1">
      <c r="A3" s="247" t="s">
        <v>2328</v>
      </c>
      <c r="B3" s="248">
        <f ca="1">ROUND(C52/(IF(B1="",'数据-汇总表'!E3,INDIRECT("'数据-取费表'!k"&amp;$G$1))),0)</f>
        <v>6542</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3059268</v>
      </c>
      <c r="D5" s="255" t="s">
        <v>2333</v>
      </c>
      <c r="E5" s="256" t="s">
        <v>2334</v>
      </c>
      <c r="F5" s="256" t="s">
        <v>2335</v>
      </c>
      <c r="G5" s="257"/>
    </row>
    <row r="6" spans="1:8" s="258" customFormat="1" ht="13.5" customHeight="1">
      <c r="A6" s="949" t="s">
        <v>2336</v>
      </c>
      <c r="B6" s="259" t="s">
        <v>2337</v>
      </c>
      <c r="C6" s="260">
        <f ca="1">ROUND(基准地价修正!C29*基准地价修正!D29,0)</f>
        <v>2796786</v>
      </c>
      <c r="D6" s="261"/>
      <c r="E6" s="262"/>
      <c r="F6" s="262"/>
      <c r="G6" s="263"/>
    </row>
    <row r="7" spans="1:8" s="258" customFormat="1" ht="13.5" customHeight="1">
      <c r="A7" s="949" t="s">
        <v>2338</v>
      </c>
      <c r="B7" s="259" t="s">
        <v>2339</v>
      </c>
      <c r="C7" s="264">
        <f ca="1">ROUND(C6*F7,0)</f>
        <v>85302</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177180</v>
      </c>
      <c r="D8" s="266"/>
      <c r="E8" s="264"/>
      <c r="F8" s="265"/>
      <c r="G8" s="2550" t="s">
        <v>3087</v>
      </c>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177180</v>
      </c>
      <c r="D10" s="1032">
        <f ca="1">IF(B1="",'数据-汇总表'!E6,IF(INDIRECT("'数据-取费表'!c"&amp;$G$1)="住宅",INDIRECT("'数据-取费表'!s"&amp;$G$1),INDIRECT("'数据-取费表'!k"&amp;$G$1)+INDIRECT("'数据-取费表'!s"&amp;$G$1)))</f>
        <v>885.9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t="str">
        <f>IF(G19="已包含在土地取得成本中","0",ROUND(D19*E19,0))</f>
        <v>0</v>
      </c>
      <c r="D19" s="1036">
        <f ca="1">D9+D10</f>
        <v>885.9</v>
      </c>
      <c r="E19" s="255">
        <f>'数据-取费表'!B31</f>
        <v>200</v>
      </c>
      <c r="F19" s="275"/>
      <c r="G19" s="2550" t="s">
        <v>3086</v>
      </c>
    </row>
    <row r="20" spans="1:7" s="258" customFormat="1" ht="13.5" customHeight="1">
      <c r="A20" s="299" t="s">
        <v>2438</v>
      </c>
      <c r="B20" s="254" t="s">
        <v>2439</v>
      </c>
      <c r="C20" s="276">
        <f ca="1">ROUND((C5+C19)*F20,0)</f>
        <v>61185</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134409</v>
      </c>
      <c r="D22" s="279">
        <f ca="1">C26</f>
        <v>4.0000000000000002E-4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133078</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0</v>
      </c>
      <c r="D24" s="282"/>
      <c r="E24" s="282"/>
      <c r="F24" s="283"/>
      <c r="G24" s="284" t="s">
        <v>2450</v>
      </c>
    </row>
    <row r="25" spans="1:7" s="258" customFormat="1" ht="24">
      <c r="A25" s="951" t="s">
        <v>2340</v>
      </c>
      <c r="B25" s="259" t="s">
        <v>2451</v>
      </c>
      <c r="C25" s="1381">
        <f ca="1">ROUND(IF('数据-取费表'!B22&lt;=1,C20*F22*'数据-取费表'!B22/2,C20*(POWER((1+F22),'数据-取费表'!B22/2)-1)),0)</f>
        <v>1331</v>
      </c>
      <c r="D25" s="282"/>
      <c r="E25" s="285"/>
      <c r="F25" s="283"/>
      <c r="G25" s="286" t="s">
        <v>2452</v>
      </c>
    </row>
    <row r="26" spans="1:7" s="258" customFormat="1">
      <c r="A26" s="951"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468068</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468068</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4028273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2102506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1824954</v>
      </c>
      <c r="D34" s="261"/>
      <c r="E34" s="264"/>
      <c r="F34" s="301"/>
      <c r="G34" s="263"/>
    </row>
    <row r="35" spans="1:7" ht="13.5" customHeight="1">
      <c r="A35" s="951" t="s">
        <v>796</v>
      </c>
      <c r="B35" s="259" t="s">
        <v>2391</v>
      </c>
      <c r="C35" s="264">
        <f ca="1">ROUND(C34*F35,0)</f>
        <v>72998</v>
      </c>
      <c r="D35" s="264"/>
      <c r="E35" s="264"/>
      <c r="F35" s="303">
        <f>'数据-取费表'!B33</f>
        <v>0.04</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177180</v>
      </c>
      <c r="D37" s="261">
        <f ca="1">D19</f>
        <v>885.9</v>
      </c>
      <c r="E37" s="293">
        <f>'数据-取费表'!B35</f>
        <v>200</v>
      </c>
      <c r="F37" s="303"/>
      <c r="G37" s="305"/>
    </row>
    <row r="38" spans="1:7" ht="13.5" customHeight="1">
      <c r="A38" s="951" t="s">
        <v>799</v>
      </c>
      <c r="B38" s="259" t="s">
        <v>2397</v>
      </c>
      <c r="C38" s="264">
        <f ca="1">ROUND(C34*F38,0)</f>
        <v>27374</v>
      </c>
      <c r="D38" s="264"/>
      <c r="E38" s="264"/>
      <c r="F38" s="303">
        <f>'数据-取费表'!B36</f>
        <v>1.4999999999999999E-2</v>
      </c>
      <c r="G38" s="263" t="s">
        <v>2392</v>
      </c>
    </row>
    <row r="39" spans="1:7" s="258" customFormat="1" ht="13.5" customHeight="1">
      <c r="A39" s="299" t="s">
        <v>2398</v>
      </c>
      <c r="B39" s="254" t="s">
        <v>2399</v>
      </c>
      <c r="C39" s="276">
        <f ca="1">ROUND(C33*F20,0)</f>
        <v>42050</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46645</v>
      </c>
      <c r="D41" s="279">
        <f ca="1">C44</f>
        <v>4.0000000000000002E-4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45730</v>
      </c>
      <c r="D42" s="282"/>
      <c r="E42" s="282"/>
      <c r="F42" s="283"/>
      <c r="G42" s="3142" t="s">
        <v>2455</v>
      </c>
    </row>
    <row r="43" spans="1:7" ht="13.5" customHeight="1">
      <c r="A43" s="951" t="s">
        <v>792</v>
      </c>
      <c r="B43" s="259" t="s">
        <v>2409</v>
      </c>
      <c r="C43" s="282">
        <f ca="1">ROUND(IF('数据-取费表'!B22&lt;=1,C39*F22*'数据-取费表'!B20/2,C39*(POWER((1+F22),'数据-取费表'!B20/2)-1)),0)</f>
        <v>915</v>
      </c>
      <c r="D43" s="282"/>
      <c r="E43" s="282"/>
      <c r="F43" s="283"/>
      <c r="G43" s="3143"/>
    </row>
    <row r="44" spans="1:7" ht="13.5" customHeight="1">
      <c r="A44" s="951" t="s">
        <v>793</v>
      </c>
      <c r="B44" s="259" t="s">
        <v>2410</v>
      </c>
      <c r="C44" s="282">
        <f ca="1">ROUND(IF('数据-取费表'!B22&lt;=1,C40*F22*'数据-取费表'!B20/2,C40*(POWER((1+F22),'数据-取费表'!B20/2)-1)),4)</f>
        <v>4.0000000000000002E-4</v>
      </c>
      <c r="D44" s="282"/>
      <c r="E44" s="282"/>
      <c r="F44" s="283"/>
      <c r="G44" s="3144"/>
    </row>
    <row r="45" spans="1:7" s="258" customFormat="1" ht="13.5" customHeight="1">
      <c r="A45" s="299" t="s">
        <v>2411</v>
      </c>
      <c r="B45" s="288" t="s">
        <v>2377</v>
      </c>
      <c r="C45" s="289">
        <f ca="1">C46</f>
        <v>321683</v>
      </c>
      <c r="D45" s="279">
        <f ca="1">C47</f>
        <v>3.0000000000000001E-3</v>
      </c>
      <c r="E45" s="280" t="s">
        <v>2403</v>
      </c>
      <c r="F45" s="290"/>
      <c r="G45" s="291" t="s">
        <v>2412</v>
      </c>
    </row>
    <row r="46" spans="1:7" s="258" customFormat="1" ht="13.5" customHeight="1">
      <c r="A46" s="951" t="s">
        <v>791</v>
      </c>
      <c r="B46" s="292" t="s">
        <v>2413</v>
      </c>
      <c r="C46" s="293">
        <f ca="1">ROUND((C33+C39)*F27,0)</f>
        <v>321683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2718983</v>
      </c>
      <c r="D49" s="276"/>
      <c r="E49" s="276"/>
      <c r="F49" s="308"/>
      <c r="G49" s="278" t="s">
        <v>2418</v>
      </c>
    </row>
    <row r="50" spans="1:7" s="302" customFormat="1">
      <c r="A50" s="299" t="s">
        <v>2419</v>
      </c>
      <c r="B50" s="254" t="s">
        <v>2420</v>
      </c>
      <c r="C50" s="276"/>
      <c r="D50" s="276"/>
      <c r="E50" s="276"/>
      <c r="F50" s="308">
        <f>IF('数据-取费表'!B24=0,'数据-取费表'!N16,1)</f>
        <v>0.65</v>
      </c>
      <c r="G50" s="291"/>
    </row>
    <row r="51" spans="1:7" ht="16.5" customHeight="1">
      <c r="A51" s="299" t="s">
        <v>2422</v>
      </c>
      <c r="B51" s="254" t="s">
        <v>2457</v>
      </c>
      <c r="C51" s="276">
        <f ca="1">ROUND(C49*F50,0)</f>
        <v>1767339</v>
      </c>
      <c r="D51" s="276"/>
      <c r="E51" s="276"/>
      <c r="F51" s="308"/>
      <c r="G51" s="278" t="s">
        <v>2424</v>
      </c>
    </row>
    <row r="52" spans="1:7" s="252" customFormat="1" ht="16.5" thickBot="1">
      <c r="A52" s="309" t="s">
        <v>2425</v>
      </c>
      <c r="B52" s="310"/>
      <c r="C52" s="311">
        <f ca="1">C31+C51</f>
        <v>5795612</v>
      </c>
      <c r="D52" s="310"/>
      <c r="E52" s="310"/>
      <c r="F52" s="310"/>
      <c r="G52" s="312"/>
    </row>
    <row r="55" spans="1:7" ht="15">
      <c r="B55" s="314" t="s">
        <v>2426</v>
      </c>
      <c r="C55" s="315"/>
    </row>
    <row r="56" spans="1:7">
      <c r="B56" s="317" t="s">
        <v>1508</v>
      </c>
      <c r="C56" s="319">
        <f ca="1">1-C57</f>
        <v>0.69500000000000006</v>
      </c>
    </row>
    <row r="57" spans="1:7">
      <c r="B57" s="317" t="s">
        <v>1509</v>
      </c>
      <c r="C57" s="318">
        <f ca="1">ROUND(C51/C52,3)</f>
        <v>0.30499999999999999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201954</v>
      </c>
      <c r="C2" s="320" t="s">
        <v>2459</v>
      </c>
      <c r="D2" s="320"/>
      <c r="E2" s="320"/>
      <c r="F2" s="320"/>
      <c r="G2" s="320"/>
      <c r="H2" s="320"/>
      <c r="I2" s="320"/>
      <c r="J2" s="320"/>
      <c r="K2" s="320"/>
    </row>
    <row r="3" spans="1:33" ht="18" customHeight="1" thickBot="1">
      <c r="A3" s="247" t="s">
        <v>2328</v>
      </c>
      <c r="B3" s="248">
        <f ca="1">ROUND(B2*10000/IF(C1="",'数据-汇总表'!E3,INDIRECT("'数据-取费表'!K"&amp;$K$1)),0)</f>
        <v>2279648</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4" t="s">
        <v>2464</v>
      </c>
      <c r="D5" s="2554" t="s">
        <v>2465</v>
      </c>
      <c r="E5" s="2554" t="s">
        <v>2466</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2480</v>
      </c>
      <c r="C12" s="24">
        <f ca="1">ROUND(C11*F12,0)</f>
        <v>0</v>
      </c>
      <c r="D12" s="973"/>
      <c r="E12" s="375"/>
      <c r="F12" s="976">
        <f>'数据-取费表'!B33</f>
        <v>0.04</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0</v>
      </c>
      <c r="D14" s="1033">
        <f ca="1">IF(C1="",'数据-汇总表'!E3,INDIRECT("'数据-取费表'!K"&amp;$K$1)+INDIRECT("'数据-取费表'!S"&amp;$K$1))</f>
        <v>885.9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885.9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-177162</v>
      </c>
      <c r="D18" s="1033"/>
      <c r="E18" s="24"/>
      <c r="F18" s="976"/>
      <c r="G18" s="2556"/>
      <c r="H18" s="1577"/>
      <c r="I18" s="2557"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18</v>
      </c>
      <c r="D20" s="1033">
        <f ca="1">IF(C1="",'数据-汇总表'!E6,IF(INDIRECT("'数据-取费表'!c"&amp;$K$1)="住宅",INDIRECT("'数据-取费表'!s"&amp;$K$1),INDIRECT("'数据-取费表'!k"&amp;$K$1)+INDIRECT("'数据-取费表'!s"&amp;$K$1)))</f>
        <v>885.9</v>
      </c>
      <c r="E20" s="24">
        <f>'数据-取费表'!B28</f>
        <v>200</v>
      </c>
      <c r="F20" s="976"/>
      <c r="G20" s="15"/>
      <c r="H20" s="981"/>
      <c r="I20" s="981"/>
      <c r="J20" s="981"/>
      <c r="K20" s="982"/>
    </row>
    <row r="21" spans="1:33" s="975" customFormat="1" ht="13.5" customHeight="1">
      <c r="A21" s="961" t="s">
        <v>802</v>
      </c>
      <c r="B21" s="985" t="s">
        <v>2495</v>
      </c>
      <c r="C21" s="986">
        <f ca="1">C16+C17+C18</f>
        <v>-177162</v>
      </c>
      <c r="D21" s="987"/>
      <c r="E21" s="325"/>
      <c r="F21" s="325"/>
      <c r="G21" s="140" t="s">
        <v>2496</v>
      </c>
      <c r="H21" s="979"/>
      <c r="I21" s="979"/>
      <c r="J21" s="979"/>
      <c r="K21" s="980"/>
    </row>
    <row r="22" spans="1:33" s="975" customFormat="1" ht="13.5" customHeight="1">
      <c r="A22" s="961" t="s">
        <v>2468</v>
      </c>
      <c r="B22" s="985" t="s">
        <v>2497</v>
      </c>
      <c r="C22" s="986">
        <f ca="1">ROUND(C21*F22,0)</f>
        <v>-3543</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2508</v>
      </c>
      <c r="B28" s="2559" t="s">
        <v>2509</v>
      </c>
      <c r="C28" s="331">
        <f ca="1">C30</f>
        <v>-27106</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-27106</v>
      </c>
      <c r="D30" s="328"/>
      <c r="E30" s="329"/>
      <c r="F30" s="334"/>
      <c r="G30" s="140"/>
      <c r="H30" s="979"/>
      <c r="I30" s="979"/>
      <c r="J30" s="979"/>
      <c r="K30" s="980"/>
    </row>
    <row r="31" spans="1:33" s="975" customFormat="1" ht="13.5" customHeight="1" thickBot="1">
      <c r="A31" s="2560"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201954</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#DIV/0!</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0</v>
      </c>
      <c r="D6" s="164" t="s">
        <v>3030</v>
      </c>
      <c r="E6" s="347" t="s">
        <v>1400</v>
      </c>
      <c r="F6" s="348">
        <f ca="1">INDIRECT("'数据-取费表'!u"&amp;$G$1)</f>
        <v>0</v>
      </c>
      <c r="G6" s="1851"/>
      <c r="H6" s="1291" t="s">
        <v>1032</v>
      </c>
      <c r="I6" s="3147" t="s">
        <v>1398</v>
      </c>
      <c r="J6" s="346">
        <f ca="1">ROUND(M6*M8*M7*(1-M9)/10000,0)</f>
        <v>0</v>
      </c>
      <c r="K6" s="164" t="s">
        <v>3029</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24" t="s">
        <v>3038</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200</v>
      </c>
      <c r="G17" s="1854"/>
      <c r="H17" s="1201" t="s">
        <v>1032</v>
      </c>
      <c r="I17" s="347" t="s">
        <v>1424</v>
      </c>
      <c r="J17" s="24">
        <f ca="1">ROUND(IF(项目基本情况!B11="自然人",J6*M17/(1+'数据-取费表'!C42),J18+J19+J20),1)</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IF(K19="按租金收入计税",ROUND(J6*M19/(1+'数据-取费表'!C42),2),ROUND(C29*M19*0.7,2))</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ROUND(C13*F37,1)</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#DIV/0!</v>
      </c>
      <c r="D46" s="1872" t="str">
        <f>C2</f>
        <v>万元</v>
      </c>
      <c r="E46" s="1866"/>
      <c r="F46" s="1866"/>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ROUND(F49*F51*F50*(1-F52)/10000,0)</f>
        <v>0</v>
      </c>
      <c r="D49" s="1276" t="s">
        <v>3031</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3038</v>
      </c>
      <c r="E53" s="358" t="s">
        <v>1405</v>
      </c>
      <c r="F53" s="1366"/>
      <c r="I53" s="1905" t="s">
        <v>1542</v>
      </c>
      <c r="J53" s="2950">
        <f ca="1">IF(M47="住宅",IF(D1="——",MAX(J51,L48),MAX(J51,L48-'数据-取费表'!B24)),IF(D1="——",MIN(J51,L48),MIN(J51,L48-'数据-取费表'!B24)))</f>
        <v>0</v>
      </c>
      <c r="K53" s="3145" t="s">
        <v>1543</v>
      </c>
      <c r="L53" s="3146"/>
      <c r="O53" s="1884" t="s">
        <v>1043</v>
      </c>
      <c r="P53" s="1885" t="s">
        <v>1544</v>
      </c>
      <c r="Q53" s="1886" t="e">
        <f ca="1">Q47+Q48</f>
        <v>#DIV/0!</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0</v>
      </c>
      <c r="D56" s="1913"/>
      <c r="E56" s="1914"/>
      <c r="F56" s="1906"/>
      <c r="I56" s="1915" t="s">
        <v>1549</v>
      </c>
      <c r="J56" s="1916"/>
      <c r="K56" s="1887" t="s">
        <v>1550</v>
      </c>
      <c r="L56" s="1890">
        <f ca="1">IF(L48&lt;J51,"——",L48-J53)</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1552</v>
      </c>
      <c r="L57" s="1890">
        <f ca="1">IF(L48&lt;J51,"——",IF(L55="比较法",L49,IF(L55="基准地价",L50,L51)))</f>
        <v>0</v>
      </c>
      <c r="O57" s="1884" t="s">
        <v>1038</v>
      </c>
      <c r="P57" s="1885" t="s">
        <v>1553</v>
      </c>
      <c r="Q57" s="1886" t="e">
        <f ca="1">L60</f>
        <v>#DIV/0!</v>
      </c>
      <c r="R57" s="1886" t="s">
        <v>1554</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c r="O70" s="1894" t="s">
        <v>1046</v>
      </c>
      <c r="P70" s="1933" t="s">
        <v>1580</v>
      </c>
      <c r="Q70" s="1886">
        <f ca="1">C13</f>
        <v>0</v>
      </c>
      <c r="R70" s="1886" t="s">
        <v>1524</v>
      </c>
    </row>
    <row r="71" spans="1:18" s="1842" customFormat="1" ht="13.5" thickBot="1">
      <c r="A71" s="1190" t="s">
        <v>1030</v>
      </c>
      <c r="B71" s="1191" t="s">
        <v>1482</v>
      </c>
      <c r="C71" s="382" t="e">
        <f ca="1">ROUND(C68*10000/F71,0)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3066</v>
      </c>
      <c r="D1" s="1820"/>
      <c r="E1" s="1821" t="s">
        <v>1382</v>
      </c>
      <c r="F1" s="1283">
        <f ca="1">J53</f>
        <v>30.12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469</v>
      </c>
      <c r="C2" s="1845" t="s">
        <v>1586</v>
      </c>
      <c r="D2" s="1937">
        <f ca="1">C40+J29+L46</f>
        <v>4689328</v>
      </c>
      <c r="E2" s="1846" t="s">
        <v>1587</v>
      </c>
      <c r="F2" s="1847"/>
      <c r="G2" s="1848"/>
      <c r="H2" s="1840"/>
      <c r="I2" s="1840"/>
      <c r="J2" s="1840"/>
      <c r="K2" s="1841"/>
      <c r="L2" s="1840"/>
      <c r="M2" s="1840"/>
    </row>
    <row r="3" spans="1:37" ht="18" customHeight="1" thickBot="1">
      <c r="A3" s="1849" t="s">
        <v>1588</v>
      </c>
      <c r="B3" s="1850">
        <f ca="1">IF(ISERROR(D2/F43),0,ROUND(D2/F43,0))</f>
        <v>5293</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349659</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349222</v>
      </c>
      <c r="D6" s="164" t="s">
        <v>3027</v>
      </c>
      <c r="E6" s="347" t="s">
        <v>1400</v>
      </c>
      <c r="F6" s="348">
        <f ca="1">INDIRECT("'数据-取费表'!u"&amp;$G$1)</f>
        <v>1.2</v>
      </c>
      <c r="G6" s="1851"/>
      <c r="H6" s="1291" t="s">
        <v>1032</v>
      </c>
      <c r="I6" s="3147" t="s">
        <v>1398</v>
      </c>
      <c r="J6" s="346">
        <f ca="1">ROUND(M6*M8*M7*(1-M9),0)</f>
        <v>0</v>
      </c>
      <c r="K6" s="1834" t="s">
        <v>3028</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885.9</v>
      </c>
      <c r="G7" s="1851"/>
      <c r="H7" s="349"/>
      <c r="I7" s="3148"/>
      <c r="J7" s="351"/>
      <c r="K7" s="352"/>
      <c r="L7" s="347" t="s">
        <v>1401</v>
      </c>
      <c r="M7" s="348">
        <f ca="1">F7</f>
        <v>885.9</v>
      </c>
    </row>
    <row r="8" spans="1:37" ht="18" customHeight="1">
      <c r="A8" s="349"/>
      <c r="B8" s="3148"/>
      <c r="C8" s="351"/>
      <c r="D8" s="352"/>
      <c r="E8" s="347" t="s">
        <v>1402</v>
      </c>
      <c r="F8" s="348">
        <f ca="1">INDIRECT("'数据-取费表'!ai"&amp;$G$1)</f>
        <v>365</v>
      </c>
      <c r="G8" s="1851"/>
      <c r="H8" s="349"/>
      <c r="I8" s="3148"/>
      <c r="J8" s="351"/>
      <c r="K8" s="352"/>
      <c r="L8" s="347" t="s">
        <v>1402</v>
      </c>
      <c r="M8" s="348">
        <f ca="1">INDIRECT("'数据-取费表'!ai"&amp;$G$1)</f>
        <v>365</v>
      </c>
    </row>
    <row r="9" spans="1:37" ht="18" customHeight="1">
      <c r="A9" s="349"/>
      <c r="B9" s="3149"/>
      <c r="C9" s="351"/>
      <c r="D9" s="352"/>
      <c r="E9" s="347" t="s">
        <v>1403</v>
      </c>
      <c r="F9" s="357">
        <f ca="1">INDIRECT("'数据-取费表'!w"&amp;$G$1)</f>
        <v>0.1</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437</v>
      </c>
      <c r="D10" s="1824" t="s">
        <v>3038</v>
      </c>
      <c r="E10" s="358" t="s">
        <v>1405</v>
      </c>
      <c r="F10" s="1366" t="s">
        <v>3075</v>
      </c>
      <c r="G10" s="1851"/>
      <c r="H10" s="1291" t="s">
        <v>1036</v>
      </c>
      <c r="I10" s="1823" t="s">
        <v>1404</v>
      </c>
      <c r="J10" s="346">
        <f ca="1">ROUND(IF(M10="押一",J6/12*M11,IF(M10="押二",J6/12*2*M11,IF(M10="押三",J6/12*3*M11,J11*M11))),0)</f>
        <v>0</v>
      </c>
      <c r="K10" s="1835" t="s">
        <v>3040</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1767339</v>
      </c>
      <c r="D13" s="1331" t="s">
        <v>1410</v>
      </c>
      <c r="E13" s="1331" t="s">
        <v>1411</v>
      </c>
      <c r="F13" s="1332">
        <f ca="1">INDIRECT("'数据-取费表'!y"&amp;$G$1)</f>
        <v>0.65</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1824954</v>
      </c>
      <c r="D14" s="1800" t="s">
        <v>1413</v>
      </c>
      <c r="E14" s="1794"/>
      <c r="F14" s="364"/>
      <c r="G14" s="1851"/>
      <c r="H14" s="1201" t="s">
        <v>1032</v>
      </c>
      <c r="I14" s="347" t="s">
        <v>1414</v>
      </c>
      <c r="J14" s="24">
        <f ca="1">C29</f>
        <v>2718983</v>
      </c>
      <c r="K14" s="15"/>
      <c r="L14" s="979"/>
      <c r="M14" s="980"/>
    </row>
    <row r="15" spans="1:37" s="1858" customFormat="1" ht="18" customHeight="1" thickBot="1">
      <c r="A15" s="1201" t="s">
        <v>1033</v>
      </c>
      <c r="B15" s="347" t="s">
        <v>1415</v>
      </c>
      <c r="C15" s="24">
        <f ca="1">ROUND(C14*F15,0)</f>
        <v>72998</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80725</v>
      </c>
      <c r="K16" s="1337" t="s">
        <v>1420</v>
      </c>
      <c r="L16" s="1338"/>
      <c r="M16" s="1294"/>
    </row>
    <row r="17" spans="1:37" s="1858" customFormat="1" ht="18" customHeight="1">
      <c r="A17" s="1201" t="s">
        <v>1385</v>
      </c>
      <c r="B17" s="347" t="s">
        <v>1421</v>
      </c>
      <c r="C17" s="24">
        <f ca="1">ROUND(F17*(F43+INDIRECT("'数据-取费表'!S"&amp;$G$1)),0)</f>
        <v>177180</v>
      </c>
      <c r="D17" s="347" t="s">
        <v>1422</v>
      </c>
      <c r="E17" s="347" t="s">
        <v>1423</v>
      </c>
      <c r="F17" s="26">
        <f>'数据-取费表'!B35</f>
        <v>200</v>
      </c>
      <c r="G17" s="1854"/>
      <c r="H17" s="1201" t="s">
        <v>1032</v>
      </c>
      <c r="I17" s="347" t="s">
        <v>1424</v>
      </c>
      <c r="J17" s="24">
        <f ca="1">ROUND(IF(项目基本情况!B11="自然人",J6*M17/(1+'数据-取费表'!C42),J18+J19+J20),0)</f>
        <v>26345</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27374</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2102506</v>
      </c>
      <c r="D19" s="140" t="s">
        <v>1431</v>
      </c>
      <c r="E19" s="1818"/>
      <c r="F19" s="26"/>
      <c r="G19" s="1851"/>
      <c r="H19" s="1201" t="s">
        <v>1033</v>
      </c>
      <c r="I19" s="347" t="s">
        <v>1432</v>
      </c>
      <c r="J19" s="24">
        <f ca="1">IF(K19="按租金收入计税",ROUND(J6*M19/(1+'数据-取费表'!C42),0),ROUND(C29*M19*0.7,0))</f>
        <v>22839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42050</v>
      </c>
      <c r="D20" s="369" t="s">
        <v>1435</v>
      </c>
      <c r="E20" s="347" t="s">
        <v>1417</v>
      </c>
      <c r="F20" s="367">
        <f>'数据-取费表'!B37</f>
        <v>0.02</v>
      </c>
      <c r="G20" s="1854"/>
      <c r="H20" s="1201" t="s">
        <v>1384</v>
      </c>
      <c r="I20" s="164" t="s">
        <v>1436</v>
      </c>
      <c r="J20" s="25">
        <f ca="1">ROUND(M20*M21,0)</f>
        <v>3506</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2337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54380</v>
      </c>
      <c r="K22" s="1798" t="s">
        <v>1445</v>
      </c>
      <c r="L22" s="347" t="s">
        <v>1417</v>
      </c>
      <c r="M22" s="374">
        <f ca="1">INDIRECT("'数据-取费表'!Ak"&amp;$G$1)</f>
        <v>0.02</v>
      </c>
    </row>
    <row r="23" spans="1:37" s="1858" customFormat="1" ht="18" customHeight="1">
      <c r="A23" s="1201" t="s">
        <v>1031</v>
      </c>
      <c r="B23" s="347" t="s">
        <v>1446</v>
      </c>
      <c r="C23" s="24">
        <f ca="1">IF('数据-取费表'!B22&lt;=1,ROUND(C19*F24*F23/2,0)+ROUND(C20*F24*F23/2,0),ROUND(C19*(POWER((1+F24),F23/2)-1),0)+ROUND(C20*(POWER((1+F24),F23/2)-1),0))</f>
        <v>46645</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-80725</v>
      </c>
      <c r="K25" s="1345" t="s">
        <v>1459</v>
      </c>
      <c r="L25" s="1346"/>
      <c r="M25" s="1347"/>
    </row>
    <row r="26" spans="1:37" ht="18" customHeight="1">
      <c r="A26" s="1201" t="s">
        <v>1031</v>
      </c>
      <c r="B26" s="347" t="s">
        <v>1460</v>
      </c>
      <c r="C26" s="24">
        <f ca="1">ROUND((C19+C20)*F26,0)</f>
        <v>321683</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0.04</v>
      </c>
    </row>
    <row r="27" spans="1:37" ht="18" customHeight="1">
      <c r="A27" s="1201" t="s">
        <v>1033</v>
      </c>
      <c r="B27" s="347" t="s">
        <v>1466</v>
      </c>
      <c r="C27" s="24">
        <f ca="1">ROUND(F21*F26,4)</f>
        <v>3.0000000000000001E-3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2718983</v>
      </c>
      <c r="D29" s="1342"/>
      <c r="E29" s="1340"/>
      <c r="F29" s="1343"/>
      <c r="G29" s="1854"/>
      <c r="H29" s="380" t="s">
        <v>1030</v>
      </c>
      <c r="I29" s="381" t="s">
        <v>1474</v>
      </c>
      <c r="J29" s="382">
        <f ca="1">ROUND(J26/(1+F40)^F41,0)</f>
        <v>0</v>
      </c>
      <c r="K29" s="383" t="s">
        <v>1475</v>
      </c>
      <c r="L29" s="384"/>
      <c r="M29" s="385">
        <f ca="1">INDIRECT("'数据-取费表'!k"&amp;$G$1)</f>
        <v>885.9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109546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44638</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18293</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22839</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3506</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2337</v>
      </c>
      <c r="G35" s="1851"/>
      <c r="H35" s="745"/>
      <c r="I35" s="1860"/>
      <c r="J35" s="1861"/>
      <c r="K35" s="1862"/>
      <c r="L35" s="1859"/>
      <c r="M35" s="1859"/>
    </row>
    <row r="36" spans="1:18" ht="18" customHeight="1">
      <c r="A36" s="1352" t="s">
        <v>1036</v>
      </c>
      <c r="B36" s="347" t="s">
        <v>1444</v>
      </c>
      <c r="C36" s="24">
        <f ca="1">ROUND(C29*F36,0)</f>
        <v>54380</v>
      </c>
      <c r="D36" s="1798" t="s">
        <v>1477</v>
      </c>
      <c r="E36" s="347" t="s">
        <v>1417</v>
      </c>
      <c r="F36" s="374">
        <f ca="1">INDIRECT("'数据-取费表'!Ak"&amp;$G$1)</f>
        <v>0.02</v>
      </c>
      <c r="G36" s="1851"/>
      <c r="H36" s="1859"/>
      <c r="I36" s="1860"/>
      <c r="J36" s="1861"/>
      <c r="K36" s="751"/>
      <c r="L36" s="1859"/>
      <c r="M36" s="1859"/>
    </row>
    <row r="37" spans="1:18" ht="18" customHeight="1">
      <c r="A37" s="1201" t="s">
        <v>1072</v>
      </c>
      <c r="B37" s="347" t="s">
        <v>1448</v>
      </c>
      <c r="C37" s="24">
        <f ca="1">ROUND(C13*F37,0)</f>
        <v>3535</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6993.2</v>
      </c>
      <c r="D38" s="1342" t="s">
        <v>1454</v>
      </c>
      <c r="E38" s="1340" t="s">
        <v>1450</v>
      </c>
      <c r="F38" s="1336">
        <f ca="1">INDIRECT("'数据-取费表'!Am"&amp;$G$1)</f>
        <v>0.02</v>
      </c>
      <c r="G38" s="1851"/>
      <c r="H38" s="1859"/>
      <c r="I38" s="1860"/>
      <c r="J38" s="1861"/>
      <c r="K38" s="1865"/>
      <c r="L38" s="1859"/>
      <c r="M38" s="1859"/>
    </row>
    <row r="39" spans="1:18" ht="24.6" customHeight="1" thickTop="1">
      <c r="A39" s="1329" t="s">
        <v>1028</v>
      </c>
      <c r="B39" s="1344" t="s">
        <v>1478</v>
      </c>
      <c r="C39" s="355">
        <f ca="1">C5-C30</f>
        <v>240113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4689328</v>
      </c>
      <c r="D40" s="370" t="s">
        <v>1464</v>
      </c>
      <c r="E40" s="347" t="s">
        <v>1465</v>
      </c>
      <c r="F40" s="357">
        <f ca="1">INDIRECT("'数据-取费表'!I"&amp;$G$1)</f>
        <v>0.04</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30.12</v>
      </c>
      <c r="G41" s="1851"/>
      <c r="H41" s="732"/>
      <c r="I41" s="1860"/>
      <c r="J41" s="1861"/>
      <c r="K41" s="751"/>
      <c r="L41" s="732"/>
      <c r="M41" s="732"/>
    </row>
    <row r="42" spans="1:18" ht="18" customHeight="1">
      <c r="A42" s="353"/>
      <c r="B42" s="354"/>
      <c r="C42" s="355"/>
      <c r="D42" s="373"/>
      <c r="E42" s="347" t="s">
        <v>1472</v>
      </c>
      <c r="F42" s="357">
        <f ca="1">INDIRECT("'数据-取费表'!v"&amp;$G$1)</f>
        <v>0.01</v>
      </c>
      <c r="G42" s="1851"/>
      <c r="H42" s="732"/>
      <c r="I42" s="1860"/>
      <c r="J42" s="1861"/>
      <c r="K42" s="751"/>
      <c r="L42" s="732"/>
      <c r="M42" s="732"/>
    </row>
    <row r="43" spans="1:18" ht="18" customHeight="1" thickBot="1">
      <c r="A43" s="380" t="s">
        <v>1030</v>
      </c>
      <c r="B43" s="381" t="s">
        <v>1482</v>
      </c>
      <c r="C43" s="382">
        <f ca="1">ROUND(C40/F43,0)</f>
        <v>5293</v>
      </c>
      <c r="D43" s="383" t="s">
        <v>1483</v>
      </c>
      <c r="E43" s="384" t="s">
        <v>1484</v>
      </c>
      <c r="F43" s="385">
        <f ca="1">INDIRECT("'数据-取费表'!k"&amp;$G$1)</f>
        <v>885.9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-6334898</v>
      </c>
      <c r="D45" s="1939" t="s">
        <v>1599</v>
      </c>
      <c r="E45" s="1866"/>
      <c r="F45" s="1866"/>
      <c r="O45" s="1869" t="s">
        <v>1514</v>
      </c>
      <c r="P45" s="1839"/>
      <c r="Q45" s="1839"/>
      <c r="R45" s="1839"/>
    </row>
    <row r="46" spans="1:18" s="1842" customFormat="1" ht="13.5" thickBot="1">
      <c r="A46" s="1870" t="s">
        <v>1515</v>
      </c>
      <c r="C46" s="1871">
        <f ca="1">ROUND(C45/10000,0)</f>
        <v>-633</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3073</v>
      </c>
      <c r="K47" s="1882" t="s">
        <v>1522</v>
      </c>
      <c r="L47" s="1883">
        <f ca="1">INDIRECT("'数据-取费表'!d"&amp;$G$1)</f>
        <v>50</v>
      </c>
      <c r="M47" s="1838" t="str">
        <f>IF(ISNUMBER(FIND("住宅",C1)),"住宅","非住宅")</f>
        <v>非住宅</v>
      </c>
      <c r="O47" s="1884" t="s">
        <v>1037</v>
      </c>
      <c r="P47" s="1885" t="s">
        <v>1523</v>
      </c>
      <c r="Q47" s="1886">
        <f ca="1">C40+J29</f>
        <v>4689328</v>
      </c>
      <c r="R47" s="1886" t="s">
        <v>1524</v>
      </c>
    </row>
    <row r="48" spans="1:18" s="1842" customFormat="1" ht="28.5" thickBot="1">
      <c r="A48" s="1360" t="s">
        <v>1132</v>
      </c>
      <c r="B48" s="345" t="s">
        <v>1396</v>
      </c>
      <c r="C48" s="1817">
        <f ca="1">C49+C53+C55</f>
        <v>0</v>
      </c>
      <c r="D48" s="1362"/>
      <c r="E48" s="1363"/>
      <c r="F48" s="1181"/>
      <c r="G48" s="792"/>
      <c r="H48" s="793"/>
      <c r="I48" s="1887" t="s">
        <v>1525</v>
      </c>
      <c r="J48" s="1888" t="s">
        <v>3074</v>
      </c>
      <c r="K48" s="1889" t="s">
        <v>1526</v>
      </c>
      <c r="L48" s="1890">
        <f ca="1">INDIRECT("'数据-取费表'!f"&amp;$G$1)</f>
        <v>30.12</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2718983</v>
      </c>
      <c r="R49" s="1886" t="s">
        <v>1524</v>
      </c>
    </row>
    <row r="50" spans="1:18" s="1842" customFormat="1" ht="13.5" thickBot="1">
      <c r="A50" s="1195"/>
      <c r="B50" s="1198"/>
      <c r="C50" s="1199"/>
      <c r="D50" s="1172"/>
      <c r="E50" s="1277" t="s">
        <v>1401</v>
      </c>
      <c r="F50" s="1278">
        <f ca="1">F7</f>
        <v>885.9</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50</v>
      </c>
      <c r="K51" s="1900" t="s">
        <v>1536</v>
      </c>
      <c r="L51" s="1901">
        <f ca="1">ROUND(-PV(INDIRECT("'数据-取费表'!h"&amp;$G$1),L48,(C39-C13*C76),0),0)</f>
        <v>2981668</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30.12</v>
      </c>
      <c r="R52" s="1886" t="s">
        <v>1541</v>
      </c>
    </row>
    <row r="53" spans="1:18" s="1842" customFormat="1" ht="30.75" customHeight="1" thickBot="1">
      <c r="A53" s="1361" t="s">
        <v>1134</v>
      </c>
      <c r="B53" s="369" t="s">
        <v>1404</v>
      </c>
      <c r="C53" s="361">
        <f ca="1">ROUND(IF(F53="押一",C49/12*F11,IF(F53="押二",C49/12*2*F11,IF(F53="押三",C49/12*3*F11,C54*F11))),0)</f>
        <v>0</v>
      </c>
      <c r="D53" s="1824" t="s">
        <v>3041</v>
      </c>
      <c r="E53" s="358" t="s">
        <v>1405</v>
      </c>
      <c r="F53" s="1366"/>
      <c r="I53" s="1905" t="s">
        <v>1542</v>
      </c>
      <c r="J53" s="2950">
        <f ca="1">IF(M47="住宅",IF(D1="——",MAX(J51,L48),MAX(J51,L48-'数据-取费表'!B24)),IF(D1="——",MIN(J51,L48),MIN(J51,L48-'数据-取费表'!B24)))</f>
        <v>30.12</v>
      </c>
      <c r="K53" s="3145" t="s">
        <v>1543</v>
      </c>
      <c r="L53" s="3146"/>
      <c r="O53" s="1884" t="s">
        <v>1043</v>
      </c>
      <c r="P53" s="1885" t="s">
        <v>1544</v>
      </c>
      <c r="Q53" s="1886">
        <f ca="1">Q47+Q48</f>
        <v>4689328</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1767339</v>
      </c>
      <c r="D56" s="1913"/>
      <c r="E56" s="1914"/>
      <c r="F56" s="1906"/>
      <c r="I56" s="1915" t="s">
        <v>1549</v>
      </c>
      <c r="J56" s="1916" t="s">
        <v>3064</v>
      </c>
      <c r="K56" s="1887" t="s">
        <v>1550</v>
      </c>
      <c r="L56" s="1890" t="str">
        <f ca="1">IF(L48&lt;J51,"——",L48-J51)</f>
        <v>——</v>
      </c>
      <c r="O56" s="1884" t="s">
        <v>1037</v>
      </c>
      <c r="P56" s="1885" t="s">
        <v>1523</v>
      </c>
      <c r="Q56" s="1886">
        <f ca="1">C40+J29</f>
        <v>4689328</v>
      </c>
      <c r="R56" s="1886" t="s">
        <v>1524</v>
      </c>
    </row>
    <row r="57" spans="1:18" s="1842" customFormat="1" ht="24.75" thickBot="1">
      <c r="A57" s="1917"/>
      <c r="B57" s="1169" t="s">
        <v>1473</v>
      </c>
      <c r="C57" s="282">
        <f ca="1">C29</f>
        <v>2718983</v>
      </c>
      <c r="D57" s="1918"/>
      <c r="E57" s="1919"/>
      <c r="F57" s="1920"/>
      <c r="I57" s="1921" t="s">
        <v>1551</v>
      </c>
      <c r="J57" s="1922"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84260</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26345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22839</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3506</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4689328</v>
      </c>
      <c r="R62" s="1886" t="s">
        <v>1044</v>
      </c>
    </row>
    <row r="63" spans="1:18" s="1842" customFormat="1" ht="13.5" thickBot="1">
      <c r="A63" s="372"/>
      <c r="B63" s="1175"/>
      <c r="C63" s="29"/>
      <c r="D63" s="1185"/>
      <c r="E63" s="1169" t="s">
        <v>1494</v>
      </c>
      <c r="F63" s="348">
        <f t="shared" ca="1" si="0"/>
        <v>2337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54380</v>
      </c>
      <c r="D64" s="1183" t="s">
        <v>1497</v>
      </c>
      <c r="E64" s="1169" t="s">
        <v>1489</v>
      </c>
      <c r="F64" s="374">
        <f t="shared" ca="1" si="0"/>
        <v>0.02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3535</v>
      </c>
      <c r="D65" s="1183" t="s">
        <v>1449</v>
      </c>
      <c r="E65" s="1169" t="s">
        <v>1450</v>
      </c>
      <c r="F65" s="376">
        <f t="shared" ca="1" si="0"/>
        <v>2E-3</v>
      </c>
      <c r="I65" s="1928" t="s">
        <v>1574</v>
      </c>
      <c r="J65" s="1929">
        <v>40</v>
      </c>
      <c r="K65" s="1929">
        <v>30</v>
      </c>
      <c r="L65" s="1929">
        <v>50</v>
      </c>
      <c r="M65" s="1931">
        <v>0.02</v>
      </c>
      <c r="O65" s="1884" t="s">
        <v>1037</v>
      </c>
      <c r="P65" s="1885" t="s">
        <v>1575</v>
      </c>
      <c r="Q65" s="1886">
        <f ca="1">C40+J29</f>
        <v>4689328</v>
      </c>
      <c r="R65" s="1886" t="s">
        <v>1524</v>
      </c>
    </row>
    <row r="66" spans="1:18" s="1842" customFormat="1" ht="16.5" thickBot="1">
      <c r="A66" s="1201" t="s">
        <v>1499</v>
      </c>
      <c r="B66" s="1169" t="s">
        <v>1434</v>
      </c>
      <c r="C66" s="24">
        <f ca="1">ROUND(C48*F66,0)</f>
        <v>0</v>
      </c>
      <c r="D66" s="1183" t="s">
        <v>1500</v>
      </c>
      <c r="E66" s="1169" t="s">
        <v>1417</v>
      </c>
      <c r="F66" s="357">
        <f t="shared" ca="1" si="0"/>
        <v>0.02</v>
      </c>
      <c r="O66" s="1884" t="s">
        <v>1038</v>
      </c>
      <c r="P66" s="1885" t="s">
        <v>1553</v>
      </c>
      <c r="Q66" s="1886">
        <f ca="1">L60</f>
        <v>0</v>
      </c>
      <c r="R66" s="1886" t="s">
        <v>1576</v>
      </c>
    </row>
    <row r="67" spans="1:18" s="1842" customFormat="1" ht="16.5" thickBot="1">
      <c r="A67" s="1176" t="s">
        <v>1028</v>
      </c>
      <c r="B67" s="1186" t="s">
        <v>1458</v>
      </c>
      <c r="C67" s="361">
        <f ca="1">C48-C58</f>
        <v>-84260</v>
      </c>
      <c r="D67" s="1182" t="s">
        <v>1459</v>
      </c>
      <c r="E67" s="1187"/>
      <c r="F67" s="1188"/>
      <c r="O67" s="1894" t="s">
        <v>1039</v>
      </c>
      <c r="P67" s="1885" t="s">
        <v>1557</v>
      </c>
      <c r="Q67" s="1932">
        <f ca="1">L51</f>
        <v>2981668</v>
      </c>
      <c r="R67" s="1886" t="s">
        <v>1577</v>
      </c>
    </row>
    <row r="68" spans="1:18" s="1842" customFormat="1" ht="16.5" thickBot="1">
      <c r="A68" s="1166" t="s">
        <v>1029</v>
      </c>
      <c r="B68" s="1167" t="s">
        <v>1480</v>
      </c>
      <c r="C68" s="346">
        <f ca="1">ROUND(C67*(1-((1+F70)/(1+F68))^F69)/(F68-F70),0)</f>
        <v>-1645570</v>
      </c>
      <c r="D68" s="1184" t="s">
        <v>1464</v>
      </c>
      <c r="E68" s="1169" t="s">
        <v>1465</v>
      </c>
      <c r="F68" s="357">
        <f ca="1">F40</f>
        <v>0.04</v>
      </c>
      <c r="O68" s="1894" t="s">
        <v>1040</v>
      </c>
      <c r="P68" s="1933" t="s">
        <v>1578</v>
      </c>
      <c r="Q68" s="1886">
        <f ca="1">ROUND(Q69-Q70*Q71,0)</f>
        <v>151746</v>
      </c>
      <c r="R68" s="1886" t="s">
        <v>1048</v>
      </c>
    </row>
    <row r="69" spans="1:18" s="1842" customFormat="1" ht="13.5" thickBot="1">
      <c r="A69" s="1170"/>
      <c r="B69" s="1171"/>
      <c r="C69" s="351"/>
      <c r="D69" s="1189" t="s">
        <v>1468</v>
      </c>
      <c r="E69" s="1169" t="s">
        <v>1469</v>
      </c>
      <c r="F69" s="379">
        <f ca="1">F41</f>
        <v>30.12</v>
      </c>
      <c r="O69" s="1894" t="s">
        <v>1045</v>
      </c>
      <c r="P69" s="1933" t="s">
        <v>1579</v>
      </c>
      <c r="Q69" s="1886">
        <f ca="1">C39</f>
        <v>240113</v>
      </c>
      <c r="R69" s="1886" t="s">
        <v>1524</v>
      </c>
    </row>
    <row r="70" spans="1:18" s="1842" customFormat="1" ht="13.5" thickBot="1">
      <c r="A70" s="1173"/>
      <c r="B70" s="1174"/>
      <c r="C70" s="355"/>
      <c r="D70" s="1185"/>
      <c r="E70" s="1169" t="s">
        <v>1472</v>
      </c>
      <c r="F70" s="1275">
        <f ca="1">F42</f>
        <v>0.01</v>
      </c>
      <c r="O70" s="1894" t="s">
        <v>1046</v>
      </c>
      <c r="P70" s="1933" t="s">
        <v>1580</v>
      </c>
      <c r="Q70" s="1886">
        <f ca="1">C13</f>
        <v>1767339</v>
      </c>
      <c r="R70" s="1886" t="s">
        <v>1524</v>
      </c>
    </row>
    <row r="71" spans="1:18" s="1842" customFormat="1" ht="13.5" thickBot="1">
      <c r="A71" s="1190" t="s">
        <v>1030</v>
      </c>
      <c r="B71" s="1191" t="s">
        <v>1482</v>
      </c>
      <c r="C71" s="382">
        <f ca="1">ROUND(C68/F71,0)</f>
        <v>-1858</v>
      </c>
      <c r="D71" s="1192" t="s">
        <v>1483</v>
      </c>
      <c r="E71" s="1193" t="s">
        <v>1484</v>
      </c>
      <c r="F71" s="385">
        <f ca="1">F43</f>
        <v>885.9</v>
      </c>
      <c r="O71" s="1894" t="s">
        <v>1047</v>
      </c>
      <c r="P71" s="1933" t="s">
        <v>1581</v>
      </c>
      <c r="Q71" s="1897">
        <f ca="1">C76</f>
        <v>0.05</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88367</v>
      </c>
      <c r="D75" s="1842"/>
      <c r="E75" s="1842"/>
      <c r="F75" s="1842"/>
      <c r="K75" s="1868"/>
      <c r="L75" s="1842"/>
      <c r="O75" s="1884" t="s">
        <v>1043</v>
      </c>
      <c r="P75" s="1885" t="s">
        <v>1544</v>
      </c>
      <c r="Q75" s="1886">
        <f ca="1">Q65+Q66</f>
        <v>4689328</v>
      </c>
      <c r="R75" s="1886" t="s">
        <v>1044</v>
      </c>
    </row>
    <row r="76" spans="1:18">
      <c r="B76" s="388" t="s">
        <v>1502</v>
      </c>
      <c r="C76" s="389">
        <f ca="1">INDIRECT("'数据-取费表'!j"&amp;$G$1)</f>
        <v>0.05</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0.63200000000000001</v>
      </c>
    </row>
    <row r="80" spans="1:18">
      <c r="B80" s="386" t="s">
        <v>1506</v>
      </c>
      <c r="C80" s="318">
        <f ca="1">ROUND(C75/C39,3)</f>
        <v>0.36799999999999999</v>
      </c>
    </row>
    <row r="81" spans="2:3">
      <c r="B81" s="314" t="s">
        <v>1507</v>
      </c>
      <c r="C81" s="282"/>
    </row>
    <row r="82" spans="2:3">
      <c r="B82" s="317" t="s">
        <v>1508</v>
      </c>
      <c r="C82" s="319">
        <f ca="1">1-C83</f>
        <v>0.623</v>
      </c>
    </row>
    <row r="83" spans="2:3">
      <c r="B83" s="317" t="s">
        <v>1509</v>
      </c>
      <c r="C83" s="318">
        <f ca="1">ROUND(C13/C40,3)</f>
        <v>0.377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2525</v>
      </c>
      <c r="B1" s="2562"/>
      <c r="C1" s="2562"/>
      <c r="D1" s="2562"/>
      <c r="E1" s="2563"/>
    </row>
    <row r="2" spans="1:6" ht="15.75">
      <c r="A2" s="2564" t="s">
        <v>2326</v>
      </c>
      <c r="B2" s="2565">
        <f ca="1">SUMIF(B6:B13,"&lt;&gt;#ref!",B6:B13)</f>
        <v>469</v>
      </c>
      <c r="C2" s="2566" t="s">
        <v>2518</v>
      </c>
      <c r="D2" s="2567" t="s">
        <v>2519</v>
      </c>
      <c r="E2" s="2568">
        <f>SUM(E6:E13)</f>
        <v>885.9</v>
      </c>
    </row>
    <row r="3" spans="1:6" ht="15.75">
      <c r="A3" s="2564" t="s">
        <v>1390</v>
      </c>
      <c r="B3" s="2565">
        <f ca="1">ROUND(B2*10000/E2,0)</f>
        <v>5294</v>
      </c>
      <c r="C3" s="2566" t="s">
        <v>2526</v>
      </c>
      <c r="D3" s="2569"/>
      <c r="E3" s="2570"/>
    </row>
    <row r="4" spans="1:6" ht="15.75">
      <c r="A4" s="2571"/>
      <c r="B4" s="2569"/>
      <c r="C4" s="2569"/>
      <c r="D4" s="2569"/>
      <c r="E4" s="2570"/>
    </row>
    <row r="5" spans="1:6" ht="15">
      <c r="A5" s="2572" t="s">
        <v>2520</v>
      </c>
      <c r="B5" s="3150" t="s">
        <v>2521</v>
      </c>
      <c r="C5" s="3150"/>
      <c r="D5" s="2573"/>
      <c r="E5" s="2574" t="s">
        <v>2522</v>
      </c>
      <c r="F5" s="2575" t="s">
        <v>2523</v>
      </c>
    </row>
    <row r="6" spans="1:6">
      <c r="A6" s="2576" t="str">
        <f>'数据-取费表'!AN6</f>
        <v>收益法 (元)</v>
      </c>
      <c r="B6" s="2575">
        <f ca="1">IF(F6="是",'数据-取费表'!AO6,0)</f>
        <v>469</v>
      </c>
      <c r="C6" s="2566" t="s">
        <v>2518</v>
      </c>
      <c r="D6" s="2569"/>
      <c r="E6" s="2577">
        <f>IF(OR(A6=0,F6="否"),0,'数据-取费表'!K6+'数据-取费表'!S6)</f>
        <v>885.9</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2528</v>
      </c>
      <c r="C1" s="1634" t="s">
        <v>2529</v>
      </c>
      <c r="D1" s="1621"/>
      <c r="E1" s="2583"/>
      <c r="F1" s="2584" t="s">
        <v>2530</v>
      </c>
      <c r="G1" s="1631" t="s">
        <v>2531</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2532</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2533</v>
      </c>
      <c r="D3" s="399">
        <f>IF(D1="",'数据-汇总表'!E3,SUMIF('数据-汇总表'!$C19:$C33,D1,'数据-汇总表'!$E19:$E33))</f>
        <v>885.9</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2534</v>
      </c>
      <c r="B4" s="402"/>
      <c r="C4" s="3190" t="s">
        <v>2535</v>
      </c>
      <c r="D4" s="3191"/>
      <c r="E4" s="3192" t="s">
        <v>2536</v>
      </c>
      <c r="F4" s="3193"/>
      <c r="G4" s="3190" t="s">
        <v>2537</v>
      </c>
      <c r="H4" s="3191"/>
      <c r="I4" s="3190" t="s">
        <v>2538</v>
      </c>
      <c r="J4" s="3191"/>
      <c r="K4" s="2596" t="s">
        <v>2539</v>
      </c>
      <c r="L4" s="1130"/>
      <c r="M4" s="1131"/>
      <c r="N4" s="1131"/>
      <c r="O4" s="1131"/>
      <c r="P4" s="3194" t="s">
        <v>2540</v>
      </c>
      <c r="Q4" s="3195"/>
      <c r="R4" s="3177" t="s">
        <v>2536</v>
      </c>
      <c r="S4" s="3178"/>
      <c r="T4" s="3177" t="s">
        <v>2537</v>
      </c>
      <c r="U4" s="3178"/>
      <c r="V4" s="3202" t="s">
        <v>2538</v>
      </c>
      <c r="W4" s="3202"/>
      <c r="X4" s="1813"/>
      <c r="Y4" s="3177" t="s">
        <v>2540</v>
      </c>
      <c r="Z4" s="3178"/>
      <c r="AA4" s="3172" t="s">
        <v>2536</v>
      </c>
      <c r="AB4" s="3172" t="s">
        <v>2537</v>
      </c>
      <c r="AC4" s="3172" t="s">
        <v>2538</v>
      </c>
    </row>
    <row r="5" spans="1:29" ht="15">
      <c r="A5" s="404"/>
      <c r="B5" s="405"/>
      <c r="C5" s="3183" t="s">
        <v>2541</v>
      </c>
      <c r="D5" s="3184"/>
      <c r="E5" s="3181" t="s">
        <v>2542</v>
      </c>
      <c r="F5" s="3182"/>
      <c r="G5" s="3183" t="s">
        <v>2543</v>
      </c>
      <c r="H5" s="3184"/>
      <c r="I5" s="3183" t="s">
        <v>2544</v>
      </c>
      <c r="J5" s="3184"/>
      <c r="K5" s="2597"/>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2597"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43756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5" t="s">
        <v>2548</v>
      </c>
      <c r="Q7" s="3203"/>
      <c r="R7" s="770" t="s">
        <v>23</v>
      </c>
      <c r="S7" s="771">
        <f t="shared" ref="S7:S15" si="0">F7</f>
        <v>0</v>
      </c>
      <c r="T7" s="770" t="s">
        <v>23</v>
      </c>
      <c r="U7" s="771">
        <f t="shared" ref="U7:U15" si="1">H7</f>
        <v>0</v>
      </c>
      <c r="V7" s="770" t="s">
        <v>23</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5" t="s">
        <v>2551</v>
      </c>
      <c r="Q8" s="3176"/>
      <c r="R8" s="770" t="s">
        <v>23</v>
      </c>
      <c r="S8" s="771">
        <f t="shared" si="0"/>
        <v>0</v>
      </c>
      <c r="T8" s="770" t="s">
        <v>23</v>
      </c>
      <c r="U8" s="771">
        <f t="shared" si="1"/>
        <v>0</v>
      </c>
      <c r="V8" s="770" t="s">
        <v>23</v>
      </c>
      <c r="W8" s="771">
        <f t="shared" si="2"/>
        <v>0</v>
      </c>
      <c r="X8" s="772"/>
      <c r="Y8" s="3175" t="s">
        <v>2551</v>
      </c>
      <c r="Z8" s="317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2558</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2559</v>
      </c>
      <c r="Q15" s="1810" t="str">
        <f t="shared" si="6"/>
        <v>居住社区成熟度</v>
      </c>
      <c r="R15" s="774" t="s">
        <v>21</v>
      </c>
      <c r="S15" s="775">
        <f t="shared" si="0"/>
        <v>100</v>
      </c>
      <c r="T15" s="774" t="s">
        <v>21</v>
      </c>
      <c r="U15" s="775">
        <f t="shared" si="1"/>
        <v>100</v>
      </c>
      <c r="V15" s="774" t="s">
        <v>21</v>
      </c>
      <c r="W15" s="775">
        <f t="shared" si="2"/>
        <v>100</v>
      </c>
      <c r="X15" s="1813"/>
      <c r="Y15" s="3209" t="s">
        <v>2559</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2562</v>
      </c>
      <c r="B32" s="71" t="s">
        <v>2563</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1" t="s">
        <v>2564</v>
      </c>
      <c r="Q32" s="1810" t="str">
        <f t="shared" si="11"/>
        <v>建筑类型</v>
      </c>
      <c r="R32" s="774" t="s">
        <v>21</v>
      </c>
      <c r="S32" s="775">
        <f t="shared" si="12"/>
        <v>100</v>
      </c>
      <c r="T32" s="774" t="s">
        <v>21</v>
      </c>
      <c r="U32" s="775">
        <f t="shared" si="13"/>
        <v>100</v>
      </c>
      <c r="V32" s="774" t="s">
        <v>21</v>
      </c>
      <c r="W32" s="775">
        <f t="shared" si="14"/>
        <v>100</v>
      </c>
      <c r="X32" s="1813"/>
      <c r="Y32" s="321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2566</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2567</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2568</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2570</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2" t="s">
        <v>2564</v>
      </c>
      <c r="Q38" s="1810" t="str">
        <f t="shared" si="11"/>
        <v>物业管理</v>
      </c>
      <c r="R38" s="774" t="s">
        <v>21</v>
      </c>
      <c r="S38" s="775">
        <f t="shared" si="12"/>
        <v>100</v>
      </c>
      <c r="T38" s="774" t="s">
        <v>21</v>
      </c>
      <c r="U38" s="775">
        <f t="shared" si="13"/>
        <v>100</v>
      </c>
      <c r="V38" s="774" t="s">
        <v>21</v>
      </c>
      <c r="W38" s="775">
        <f t="shared" si="14"/>
        <v>100</v>
      </c>
      <c r="X38" s="1813"/>
      <c r="Y38" s="3214" t="s">
        <v>2564</v>
      </c>
      <c r="Z38" s="1814" t="str">
        <f t="shared" si="18"/>
        <v>物业管理</v>
      </c>
      <c r="AA38" s="1811">
        <f t="shared" si="15"/>
        <v>1</v>
      </c>
      <c r="AB38" s="1811">
        <f t="shared" si="16"/>
        <v>1</v>
      </c>
      <c r="AC38" s="1811">
        <f t="shared" si="17"/>
        <v>1</v>
      </c>
    </row>
    <row r="39" spans="1:29" ht="15">
      <c r="A39" s="472"/>
      <c r="B39" s="422" t="s">
        <v>2571</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2572</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2574</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2575</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1"/>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2"/>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3"/>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6"/>
      <c r="Q57" s="504"/>
    </row>
    <row r="58" spans="1:29" s="508" customFormat="1" ht="15">
      <c r="A58" s="505" t="s">
        <v>2583</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2610</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2562</v>
      </c>
      <c r="B100" s="528" t="s">
        <v>2611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2614</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2615</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2618</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4">
        <v>6</v>
      </c>
      <c r="C139" s="1085">
        <v>96</v>
      </c>
      <c r="D139" s="2648" t="s">
        <v>2630</v>
      </c>
      <c r="E139" s="1086">
        <v>100</v>
      </c>
      <c r="F139" s="1087">
        <v>102.5</v>
      </c>
      <c r="G139" s="2648" t="s">
        <v>2630</v>
      </c>
      <c r="H139" s="1088">
        <v>105</v>
      </c>
      <c r="I139" s="2649" t="s">
        <v>2631</v>
      </c>
      <c r="J139" s="1085">
        <v>20</v>
      </c>
      <c r="K139" s="1089">
        <f>C145/(J139-2)</f>
        <v>4.0555555555555553E-3</v>
      </c>
    </row>
    <row r="140" spans="1:17" ht="15">
      <c r="B140" s="1090">
        <v>5</v>
      </c>
      <c r="C140" s="1091">
        <v>100</v>
      </c>
      <c r="D140" s="1091"/>
      <c r="E140" s="1092"/>
      <c r="F140" s="1093">
        <v>102</v>
      </c>
      <c r="G140" s="1091"/>
      <c r="H140" s="1094"/>
      <c r="I140" s="2650" t="s">
        <v>2632</v>
      </c>
      <c r="J140" s="315">
        <f>ROUNDUP((J139-1)/2,0)</f>
        <v>10</v>
      </c>
      <c r="K140" s="1095">
        <v>100</v>
      </c>
    </row>
    <row r="141" spans="1:17" ht="15">
      <c r="B141" s="1090">
        <v>4</v>
      </c>
      <c r="C141" s="1091">
        <v>102</v>
      </c>
      <c r="D141" s="1091"/>
      <c r="E141" s="1092"/>
      <c r="F141" s="1093">
        <v>101.5</v>
      </c>
      <c r="G141" s="1091"/>
      <c r="H141" s="1094"/>
      <c r="I141" s="2650" t="s">
        <v>2633</v>
      </c>
      <c r="J141" s="315">
        <v>1</v>
      </c>
      <c r="K141" s="1096">
        <f>ROUND(100+(J141-J140)*K139*100,1)</f>
        <v>96.4</v>
      </c>
    </row>
    <row r="142" spans="1:17" ht="15">
      <c r="B142" s="1090">
        <v>3</v>
      </c>
      <c r="C142" s="1091">
        <v>103</v>
      </c>
      <c r="D142" s="1091"/>
      <c r="E142" s="1092"/>
      <c r="F142" s="1093">
        <v>101</v>
      </c>
      <c r="G142" s="1091"/>
      <c r="H142" s="1094"/>
      <c r="I142" s="2650" t="s">
        <v>2634</v>
      </c>
      <c r="J142" s="315">
        <f>J139</f>
        <v>20</v>
      </c>
      <c r="K142" s="1097">
        <v>95</v>
      </c>
    </row>
    <row r="143" spans="1:17" ht="15">
      <c r="B143" s="1090">
        <v>2</v>
      </c>
      <c r="C143" s="1091">
        <v>100</v>
      </c>
      <c r="D143" s="1091"/>
      <c r="E143" s="1092"/>
      <c r="F143" s="1093">
        <v>100.5</v>
      </c>
      <c r="G143" s="1091"/>
      <c r="H143" s="1094"/>
      <c r="I143" s="2650" t="s">
        <v>2635</v>
      </c>
      <c r="J143" s="1091">
        <v>15</v>
      </c>
      <c r="K143" s="1096">
        <f>ROUND(100+(J143-J140)*K139*100,1)</f>
        <v>102</v>
      </c>
    </row>
    <row r="144" spans="1:17" ht="15">
      <c r="B144" s="1090">
        <v>1</v>
      </c>
      <c r="C144" s="1091">
        <v>98</v>
      </c>
      <c r="D144" s="2651" t="s">
        <v>2636</v>
      </c>
      <c r="E144" s="1092">
        <v>102</v>
      </c>
      <c r="F144" s="1098">
        <v>100</v>
      </c>
      <c r="G144" s="2651" t="s">
        <v>2636</v>
      </c>
      <c r="H144" s="1094">
        <v>105</v>
      </c>
      <c r="I144" s="2650" t="s">
        <v>2635</v>
      </c>
      <c r="J144" s="1091">
        <v>18</v>
      </c>
      <c r="K144" s="1096">
        <f>ROUND(100+(J144-J140)*K139*100,1)</f>
        <v>103.2</v>
      </c>
    </row>
    <row r="145" spans="2:11" ht="15.75" thickBot="1">
      <c r="B145" s="2652" t="s">
        <v>2637</v>
      </c>
      <c r="C145" s="1099">
        <f>ROUND(MAX(C139:C144)/MIN(C139:C144)-1,3)</f>
        <v>7.2999999999999995E-2</v>
      </c>
      <c r="D145" s="1100"/>
      <c r="E145" s="1100"/>
      <c r="F145" s="2653" t="s">
        <v>2638</v>
      </c>
      <c r="G145" s="2654"/>
      <c r="H145" s="2655"/>
      <c r="I145" s="2656" t="s">
        <v>2635</v>
      </c>
      <c r="J145" s="1101">
        <v>8</v>
      </c>
      <c r="K145" s="1102">
        <f>ROUND(100+(J145-J140)*K139*100,1)</f>
        <v>99.2</v>
      </c>
    </row>
    <row r="147" spans="2:11">
      <c r="B147" s="2637" t="s">
        <v>2639</v>
      </c>
    </row>
    <row r="148" spans="2:11">
      <c r="B148" s="263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2" t="s">
        <v>2641</v>
      </c>
      <c r="C1" s="1634" t="s">
        <v>2529</v>
      </c>
      <c r="D1" s="1621"/>
      <c r="E1" s="2657"/>
      <c r="F1" s="2584"/>
      <c r="G1" s="1631" t="s">
        <v>2642</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2326</v>
      </c>
      <c r="B2" s="1418" t="e">
        <f ca="1">IF(C2="——",ROUND(C49*D3/10000,0),ROUND(C49*D3/10000,0)-D2)</f>
        <v>#DIV/0!</v>
      </c>
      <c r="C2" s="2586"/>
      <c r="D2" s="1365" t="e">
        <f ca="1">SUMIF(INDIRECT("'"&amp;F2&amp;"'"&amp;"!A:A"),"承租人权益价值",INDIRECT("'"&amp;F2&amp;"'"&amp;"!c:c"))</f>
        <v>#REF!</v>
      </c>
      <c r="E2" s="2587" t="s">
        <v>2327</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2328</v>
      </c>
      <c r="B3" s="609" t="e">
        <f ca="1">IF(C2="——",C49,ROUND(B2*10000/D3,0))</f>
        <v>#DIV/0!</v>
      </c>
      <c r="C3" s="400" t="s">
        <v>2643</v>
      </c>
      <c r="D3" s="399">
        <f>IF(D1="",'数据-汇总表'!E3,SUMIF('数据-汇总表'!$C19:$C33,D1,'数据-汇总表'!$E19:$E33))</f>
        <v>885.9</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202"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2547</v>
      </c>
      <c r="B7" s="409"/>
      <c r="C7" s="410">
        <f>'数据-取费表'!B2</f>
        <v>43756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2558</v>
      </c>
      <c r="B15" s="69" t="s">
        <v>2652</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2559</v>
      </c>
      <c r="Q15" s="1810" t="str">
        <f t="shared" si="6"/>
        <v>商业繁华度</v>
      </c>
      <c r="R15" s="774" t="s">
        <v>17</v>
      </c>
      <c r="S15" s="775">
        <f t="shared" si="0"/>
        <v>100</v>
      </c>
      <c r="T15" s="774" t="s">
        <v>17</v>
      </c>
      <c r="U15" s="775">
        <f t="shared" si="1"/>
        <v>100</v>
      </c>
      <c r="V15" s="774" t="s">
        <v>17</v>
      </c>
      <c r="W15" s="775">
        <f t="shared" si="2"/>
        <v>100</v>
      </c>
      <c r="X15" s="1813"/>
      <c r="Y15" s="3209"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2653</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2654</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1" t="s">
        <v>2564</v>
      </c>
      <c r="Q32" s="1810" t="str">
        <f t="shared" si="11"/>
        <v>商业类型</v>
      </c>
      <c r="R32" s="774" t="s">
        <v>17</v>
      </c>
      <c r="S32" s="775">
        <f t="shared" si="12"/>
        <v>100</v>
      </c>
      <c r="T32" s="774" t="s">
        <v>17</v>
      </c>
      <c r="U32" s="775">
        <f t="shared" si="13"/>
        <v>100</v>
      </c>
      <c r="V32" s="774" t="s">
        <v>17</v>
      </c>
      <c r="W32" s="775">
        <f t="shared" si="14"/>
        <v>100</v>
      </c>
      <c r="X32" s="1813"/>
      <c r="Y32" s="321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2" t="s">
        <v>2564</v>
      </c>
      <c r="Q38" s="1810" t="str">
        <f t="shared" si="11"/>
        <v>业态</v>
      </c>
      <c r="R38" s="774" t="s">
        <v>17</v>
      </c>
      <c r="S38" s="775">
        <f t="shared" si="12"/>
        <v>100</v>
      </c>
      <c r="T38" s="774" t="s">
        <v>17</v>
      </c>
      <c r="U38" s="775">
        <f t="shared" si="13"/>
        <v>100</v>
      </c>
      <c r="V38" s="774" t="s">
        <v>17</v>
      </c>
      <c r="W38" s="775">
        <f t="shared" si="14"/>
        <v>100</v>
      </c>
      <c r="X38" s="1813"/>
      <c r="Y38" s="3214" t="s">
        <v>2564</v>
      </c>
      <c r="Z38" s="1814" t="str">
        <f t="shared" si="15"/>
        <v>业态</v>
      </c>
      <c r="AA38" s="1811">
        <f t="shared" si="3"/>
        <v>1</v>
      </c>
      <c r="AB38" s="1811">
        <f t="shared" si="4"/>
        <v>1</v>
      </c>
      <c r="AC38" s="1811">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2547</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2587</v>
      </c>
      <c r="B63" s="528" t="s">
        <v>2553</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2679</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2562</v>
      </c>
      <c r="B100" s="528" t="s">
        <v>2680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2613</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2615</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2683</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2619</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2685</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6"/>
      <c r="D2" s="1365" t="e">
        <f ca="1">SUMIF(INDIRECT("'"&amp;F2&amp;"'"&amp;"!A:A"),"承租人权益价值",INDIRECT("'"&amp;F2&amp;"'"&amp;"!c:c"))</f>
        <v>#REF!</v>
      </c>
      <c r="E2" s="2587" t="s">
        <v>2327</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885.9</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224" t="s">
        <v>2650</v>
      </c>
      <c r="Q4" s="3225"/>
      <c r="R4" s="3219" t="s">
        <v>2646</v>
      </c>
      <c r="S4" s="3220"/>
      <c r="T4" s="3219" t="s">
        <v>2647</v>
      </c>
      <c r="U4" s="3220"/>
      <c r="V4" s="3228" t="s">
        <v>2648</v>
      </c>
      <c r="W4" s="3228"/>
      <c r="X4" s="2670"/>
      <c r="Y4" s="3219" t="s">
        <v>2650</v>
      </c>
      <c r="Z4" s="3220"/>
      <c r="AA4" s="3218" t="s">
        <v>2646</v>
      </c>
      <c r="AB4" s="3218" t="s">
        <v>2647</v>
      </c>
      <c r="AC4" s="3221" t="s">
        <v>2648</v>
      </c>
    </row>
    <row r="5" spans="1:29" ht="15">
      <c r="A5" s="404"/>
      <c r="B5" s="405"/>
      <c r="C5" s="3183" t="s">
        <v>2541</v>
      </c>
      <c r="D5" s="3184"/>
      <c r="E5" s="3181" t="s">
        <v>2542</v>
      </c>
      <c r="F5" s="3182"/>
      <c r="G5" s="3183" t="s">
        <v>2543</v>
      </c>
      <c r="H5" s="3184"/>
      <c r="I5" s="3183" t="s">
        <v>2544</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2547</v>
      </c>
      <c r="B7" s="409"/>
      <c r="C7" s="410">
        <f>'数据-取费表'!B2</f>
        <v>43756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2551</v>
      </c>
      <c r="Q8" s="3176"/>
      <c r="R8" s="770" t="s">
        <v>17</v>
      </c>
      <c r="S8" s="771">
        <f t="shared" si="0"/>
        <v>0</v>
      </c>
      <c r="T8" s="770" t="s">
        <v>17</v>
      </c>
      <c r="U8" s="771">
        <f t="shared" si="1"/>
        <v>0</v>
      </c>
      <c r="V8" s="770" t="s">
        <v>17</v>
      </c>
      <c r="W8" s="771">
        <f t="shared" si="2"/>
        <v>0</v>
      </c>
      <c r="X8" s="772"/>
      <c r="Y8" s="3175" t="s">
        <v>2551</v>
      </c>
      <c r="Z8" s="3176"/>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2559</v>
      </c>
      <c r="Q15" s="1810" t="str">
        <f t="shared" si="6"/>
        <v>办公集聚程度</v>
      </c>
      <c r="R15" s="774" t="s">
        <v>17</v>
      </c>
      <c r="S15" s="775">
        <f t="shared" si="0"/>
        <v>100</v>
      </c>
      <c r="T15" s="774" t="s">
        <v>17</v>
      </c>
      <c r="U15" s="775">
        <f t="shared" si="1"/>
        <v>100</v>
      </c>
      <c r="V15" s="774" t="s">
        <v>17</v>
      </c>
      <c r="W15" s="775">
        <f t="shared" si="2"/>
        <v>100</v>
      </c>
      <c r="X15" s="1813"/>
      <c r="Y15" s="3209" t="s">
        <v>2559</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7"/>
      <c r="Q18" s="1810"/>
      <c r="R18" s="774"/>
      <c r="S18" s="775"/>
      <c r="T18" s="774"/>
      <c r="U18" s="775"/>
      <c r="V18" s="774"/>
      <c r="W18" s="775"/>
      <c r="X18" s="1813"/>
      <c r="Y18" s="3210"/>
      <c r="Z18" s="1814"/>
      <c r="AA18" s="1811">
        <v>1</v>
      </c>
      <c r="AB18" s="1811">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7"/>
      <c r="Q20" s="1810"/>
      <c r="R20" s="774"/>
      <c r="S20" s="775"/>
      <c r="T20" s="774"/>
      <c r="U20" s="775"/>
      <c r="V20" s="774"/>
      <c r="W20" s="775"/>
      <c r="X20" s="1813"/>
      <c r="Y20" s="3210"/>
      <c r="Z20" s="1814"/>
      <c r="AA20" s="1811">
        <v>1</v>
      </c>
      <c r="AB20" s="1811">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7"/>
      <c r="Q22" s="1810"/>
      <c r="R22" s="774"/>
      <c r="S22" s="775"/>
      <c r="T22" s="774"/>
      <c r="U22" s="775"/>
      <c r="V22" s="774"/>
      <c r="W22" s="775"/>
      <c r="X22" s="1813"/>
      <c r="Y22" s="3210"/>
      <c r="Z22" s="1814"/>
      <c r="AA22" s="1811">
        <v>1</v>
      </c>
      <c r="AB22" s="1811">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7"/>
      <c r="Q24" s="1810"/>
      <c r="R24" s="774"/>
      <c r="S24" s="775"/>
      <c r="T24" s="774"/>
      <c r="U24" s="775"/>
      <c r="V24" s="774"/>
      <c r="W24" s="775"/>
      <c r="X24" s="1813"/>
      <c r="Y24" s="3210"/>
      <c r="Z24" s="1814"/>
      <c r="AA24" s="1811">
        <v>1</v>
      </c>
      <c r="AB24" s="1811">
        <v>1</v>
      </c>
      <c r="AC24" s="2674">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1" t="s">
        <v>2564</v>
      </c>
      <c r="Q33" s="1810" t="str">
        <f t="shared" si="11"/>
        <v>建筑类型</v>
      </c>
      <c r="R33" s="774" t="s">
        <v>17</v>
      </c>
      <c r="S33" s="775">
        <f t="shared" si="12"/>
        <v>100</v>
      </c>
      <c r="T33" s="774" t="s">
        <v>17</v>
      </c>
      <c r="U33" s="775">
        <f t="shared" si="13"/>
        <v>100</v>
      </c>
      <c r="V33" s="774" t="s">
        <v>17</v>
      </c>
      <c r="W33" s="775">
        <f t="shared" si="14"/>
        <v>100</v>
      </c>
      <c r="X33" s="1813"/>
      <c r="Y33" s="3214" t="s">
        <v>2564</v>
      </c>
      <c r="Z33" s="1814" t="str">
        <f t="shared" si="15"/>
        <v>建筑类型</v>
      </c>
      <c r="AA33" s="1811">
        <f t="shared" si="3"/>
        <v>1</v>
      </c>
      <c r="AB33" s="1811">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2564</v>
      </c>
      <c r="Q39" s="1810" t="str">
        <f t="shared" si="11"/>
        <v>物业管理</v>
      </c>
      <c r="R39" s="774" t="s">
        <v>17</v>
      </c>
      <c r="S39" s="775">
        <f t="shared" si="12"/>
        <v>100</v>
      </c>
      <c r="T39" s="774" t="s">
        <v>17</v>
      </c>
      <c r="U39" s="775">
        <f t="shared" si="13"/>
        <v>100</v>
      </c>
      <c r="V39" s="774" t="s">
        <v>17</v>
      </c>
      <c r="W39" s="775">
        <f t="shared" si="14"/>
        <v>100</v>
      </c>
      <c r="X39" s="1813"/>
      <c r="Y39" s="3214" t="s">
        <v>2564</v>
      </c>
      <c r="Z39" s="1814" t="str">
        <f t="shared" si="15"/>
        <v>物业管理</v>
      </c>
      <c r="AA39" s="1811">
        <f t="shared" si="3"/>
        <v>1</v>
      </c>
      <c r="AB39" s="1811">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4">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4">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4">
        <f t="shared" si="5"/>
        <v>1</v>
      </c>
    </row>
    <row r="48" spans="1:29" ht="15">
      <c r="A48" s="479" t="s">
        <v>2576</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1"/>
      <c r="Q58" s="504"/>
    </row>
    <row r="59" spans="1:29" s="508" customFormat="1" ht="15">
      <c r="A59" s="505" t="s">
        <v>2547</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2587</v>
      </c>
      <c r="B64" s="528" t="s">
        <v>2553</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2698</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2562</v>
      </c>
      <c r="B101" s="528" t="s">
        <v>2611</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2613</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2615</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2616</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2617</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2700</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2619</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9" t="s">
        <v>2701</v>
      </c>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6"/>
      <c r="D2" s="1124" t="e">
        <f ca="1">SUMIF(INDIRECT("'"&amp;F2&amp;"'"&amp;"!A:A"),"承租人权益价值",INDIRECT("'"&amp;F2&amp;"'"&amp;"!c:c"))</f>
        <v>#REF!</v>
      </c>
      <c r="E2" s="2587" t="s">
        <v>2327</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885.9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43756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85.5">
      <c r="A15" s="440" t="s">
        <v>2558</v>
      </c>
      <c r="B15" s="69" t="s">
        <v>2702</v>
      </c>
      <c r="C15" s="2693" t="str">
        <f>估价对象房地状况!G3</f>
        <v>估价对象周边有汽车修理厂、加油站等工交用地，无开发区，产业集聚程度一般。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128.25">
      <c r="A17" s="428"/>
      <c r="B17" s="451" t="s">
        <v>2095</v>
      </c>
      <c r="C17" s="2607" t="str">
        <f>估价对象房地状况!G4</f>
        <v>估价对象周边有f2路、房18路、房27路、房38路等多条公交线路，距地铁房山线（苏庄站）约900米，综合评价交通便捷度较好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2687</v>
      </c>
      <c r="C19" s="2607" t="str">
        <f>估价对象房地状况!G5</f>
        <v>估价对象所在区域公共配套设施较齐备</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42.75">
      <c r="A21" s="428"/>
      <c r="B21" s="1384" t="s">
        <v>2688</v>
      </c>
      <c r="C21" s="2607" t="str">
        <f>估价对象房地状况!G6</f>
        <v>估价对象所在区域基础设施水平好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99.75">
      <c r="A23" s="428"/>
      <c r="B23" s="451" t="s">
        <v>2689</v>
      </c>
      <c r="C23" s="2607" t="str">
        <f>估价对象房地状况!G7</f>
        <v>估价对象周边500米内有2处加油站，有北潞园健身公园、房山区良乡体育中心等，整体环境状况一般</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3" t="s">
        <v>2564</v>
      </c>
      <c r="Q29" s="1810" t="str">
        <f t="shared" si="11"/>
        <v>建筑类型</v>
      </c>
      <c r="R29" s="774" t="s">
        <v>17</v>
      </c>
      <c r="S29" s="775">
        <f t="shared" si="12"/>
        <v>100</v>
      </c>
      <c r="T29" s="774" t="s">
        <v>17</v>
      </c>
      <c r="U29" s="775">
        <f t="shared" si="13"/>
        <v>100</v>
      </c>
      <c r="V29" s="774" t="s">
        <v>17</v>
      </c>
      <c r="W29" s="775">
        <f t="shared" si="14"/>
        <v>100</v>
      </c>
      <c r="X29" s="1813"/>
      <c r="Y29" s="321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2564</v>
      </c>
      <c r="Q35" s="1810" t="str">
        <f t="shared" si="11"/>
        <v>市政基础设施</v>
      </c>
      <c r="R35" s="774" t="s">
        <v>17</v>
      </c>
      <c r="S35" s="775">
        <f t="shared" si="12"/>
        <v>100</v>
      </c>
      <c r="T35" s="774" t="s">
        <v>17</v>
      </c>
      <c r="U35" s="775">
        <f t="shared" si="13"/>
        <v>100</v>
      </c>
      <c r="V35" s="774" t="s">
        <v>17</v>
      </c>
      <c r="W35" s="775">
        <f t="shared" si="14"/>
        <v>100</v>
      </c>
      <c r="X35" s="1813"/>
      <c r="Y35" s="321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估价对象为北京市出让国有建设用地使用权及在建建筑物房地产，为所有。根据《国有土地使用证》[]，估价对象（分摊）出让国有建设用地使用权面积为2337平方米，建筑面积为885.9平方米。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2337平方米，规划建筑面积为885.9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2019年10月18日（评估专业人员实地查勘之日）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1604</v>
      </c>
    </row>
    <row r="24" spans="1:1" ht="18">
      <c r="A24" s="1954" t="str">
        <f>"本次评估采用的主估价方法为"&amp;结果表!K4&amp;"和"&amp;结果表!L4&amp;"。"</f>
        <v>本次评估采用的主估价方法为收益法和成本法。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4"/>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43756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2687</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2688</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2709</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2564</v>
      </c>
      <c r="Q32" s="1810" t="str">
        <f t="shared" si="11"/>
        <v>车位类型</v>
      </c>
      <c r="R32" s="774" t="s">
        <v>17</v>
      </c>
      <c r="S32" s="775">
        <f t="shared" si="12"/>
        <v>100</v>
      </c>
      <c r="T32" s="774" t="s">
        <v>17</v>
      </c>
      <c r="U32" s="775">
        <f t="shared" si="13"/>
        <v>100</v>
      </c>
      <c r="V32" s="774" t="s">
        <v>17</v>
      </c>
      <c r="W32" s="775">
        <f t="shared" si="14"/>
        <v>100</v>
      </c>
      <c r="X32" s="1813"/>
      <c r="Y32" s="321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2719</v>
      </c>
      <c r="B37" s="2695" t="s">
        <v>2720</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4"/>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6"/>
      <c r="D2" s="1124" t="e">
        <f ca="1">SUMIF(INDIRECT("'"&amp;F2&amp;"'"&amp;"!A:A"),"承租人权益价值",INDIRECT("'"&amp;F2&amp;"'"&amp;"!c:c"))</f>
        <v>#REF!</v>
      </c>
      <c r="E2" s="2587" t="s">
        <v>2327</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43756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2687</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2688</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2709</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2564</v>
      </c>
      <c r="Q32" s="1810">
        <f t="shared" si="11"/>
        <v>111</v>
      </c>
      <c r="R32" s="774" t="s">
        <v>17</v>
      </c>
      <c r="S32" s="775">
        <f t="shared" si="12"/>
        <v>100</v>
      </c>
      <c r="T32" s="774" t="s">
        <v>17</v>
      </c>
      <c r="U32" s="775">
        <f t="shared" si="13"/>
        <v>100</v>
      </c>
      <c r="V32" s="774" t="s">
        <v>17</v>
      </c>
      <c r="W32" s="775">
        <f t="shared" si="14"/>
        <v>100</v>
      </c>
      <c r="X32" s="1813"/>
      <c r="Y32" s="3214" t="s">
        <v>2564</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30"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2547</v>
      </c>
      <c r="B7" s="409"/>
      <c r="C7" s="410">
        <f>'数据-取费表'!B2</f>
        <v>43756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5" si="3">D8/F8</f>
        <v>#DIV/0!</v>
      </c>
      <c r="AB8" s="773" t="e">
        <f t="shared" ref="AB8:AB45" si="4">D8/H8</f>
        <v>#DIV/0!</v>
      </c>
      <c r="AC8" s="773" t="e">
        <f t="shared" ref="AC8:AC45" si="5">D8/J8</f>
        <v>#DIV/0!</v>
      </c>
    </row>
    <row r="9" spans="1:30" s="117" customFormat="1">
      <c r="A9" s="415" t="s">
        <v>2552</v>
      </c>
      <c r="B9" s="71" t="s">
        <v>2553</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131</v>
      </c>
      <c r="G10" s="463"/>
      <c r="H10" s="136">
        <f>ROUND(100/'数据-取费表'!G16,0)</f>
        <v>131</v>
      </c>
      <c r="I10" s="463"/>
      <c r="J10" s="136">
        <f>ROUND(100/'数据-取费表'!G16,0)</f>
        <v>131</v>
      </c>
      <c r="K10" s="672"/>
      <c r="L10" s="1135"/>
      <c r="M10" s="1136"/>
      <c r="N10" s="1136"/>
      <c r="O10" s="1137"/>
      <c r="P10" s="3207"/>
      <c r="Q10" s="1795" t="str">
        <f t="shared" si="6"/>
        <v>土地使用年限（年）</v>
      </c>
      <c r="R10" s="770" t="s">
        <v>17</v>
      </c>
      <c r="S10" s="771">
        <f t="shared" si="0"/>
        <v>131</v>
      </c>
      <c r="T10" s="770" t="s">
        <v>17</v>
      </c>
      <c r="U10" s="771">
        <f t="shared" si="1"/>
        <v>131</v>
      </c>
      <c r="V10" s="770" t="s">
        <v>17</v>
      </c>
      <c r="W10" s="771">
        <f t="shared" si="2"/>
        <v>131</v>
      </c>
      <c r="X10" s="772"/>
      <c r="Y10" s="3022"/>
      <c r="Z10" s="55" t="str">
        <f t="shared" si="7"/>
        <v>土地使用年限（年）</v>
      </c>
      <c r="AA10" s="773">
        <f t="shared" si="3"/>
        <v>0.76335877862595425</v>
      </c>
      <c r="AB10" s="773">
        <f t="shared" si="4"/>
        <v>0.76335877862595425</v>
      </c>
      <c r="AC10" s="773">
        <f t="shared" si="5"/>
        <v>0.76335877862595425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0"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2558</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2559</v>
      </c>
      <c r="Q15" s="1810" t="str">
        <f t="shared" si="6"/>
        <v>居住社区成熟度</v>
      </c>
      <c r="R15" s="774" t="s">
        <v>17</v>
      </c>
      <c r="S15" s="775">
        <f t="shared" si="0"/>
        <v>100</v>
      </c>
      <c r="T15" s="774" t="s">
        <v>17</v>
      </c>
      <c r="U15" s="775">
        <f t="shared" si="1"/>
        <v>100</v>
      </c>
      <c r="V15" s="774" t="s">
        <v>17</v>
      </c>
      <c r="W15" s="775">
        <f t="shared" si="2"/>
        <v>100</v>
      </c>
      <c r="X15" s="1813"/>
      <c r="Y15" s="3209" t="s">
        <v>2559</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2708</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2653</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2654</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2564</v>
      </c>
      <c r="Q36" s="1810">
        <f t="shared" si="8"/>
        <v>111</v>
      </c>
      <c r="R36" s="774" t="s">
        <v>17</v>
      </c>
      <c r="S36" s="775">
        <f t="shared" si="10"/>
        <v>100</v>
      </c>
      <c r="T36" s="774" t="s">
        <v>17</v>
      </c>
      <c r="U36" s="775">
        <f t="shared" si="11"/>
        <v>100</v>
      </c>
      <c r="V36" s="774" t="s">
        <v>17</v>
      </c>
      <c r="W36" s="775">
        <f t="shared" si="12"/>
        <v>100</v>
      </c>
      <c r="X36" s="1813"/>
      <c r="Y36" s="3214"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2751</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2752</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2753</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2754</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4" t="s">
        <v>2564</v>
      </c>
      <c r="Q42" s="1810" t="str">
        <f t="shared" si="14"/>
        <v>工程地质条件</v>
      </c>
      <c r="R42" s="774" t="s">
        <v>17</v>
      </c>
      <c r="S42" s="775">
        <f t="shared" si="10"/>
        <v>100</v>
      </c>
      <c r="T42" s="774" t="s">
        <v>17</v>
      </c>
      <c r="U42" s="775">
        <f t="shared" si="11"/>
        <v>100</v>
      </c>
      <c r="V42" s="774" t="s">
        <v>17</v>
      </c>
      <c r="W42" s="775">
        <f t="shared" si="12"/>
        <v>100</v>
      </c>
      <c r="X42" s="1813"/>
      <c r="Y42" s="321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2719</v>
      </c>
      <c r="B46" s="2704" t="s">
        <v>2755</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5" t="s">
        <v>2759</v>
      </c>
      <c r="D55" s="2706" t="s">
        <v>2760</v>
      </c>
      <c r="E55" s="686" t="s">
        <v>2761</v>
      </c>
      <c r="F55" s="1107" t="s">
        <v>2762</v>
      </c>
      <c r="G55" s="3190" t="s">
        <v>2763</v>
      </c>
      <c r="H55" s="3236"/>
      <c r="I55" s="144" t="s">
        <v>2764</v>
      </c>
      <c r="J55" s="2707" t="str">
        <f>项目基本情况!F35</f>
        <v>良乡太平庄村东南1号楼1至2层</v>
      </c>
      <c r="K55" s="2708" t="s">
        <v>2765</v>
      </c>
      <c r="L55" s="1106"/>
      <c r="M55" s="1144"/>
      <c r="N55" s="1144"/>
      <c r="O55" s="1144"/>
    </row>
    <row r="56" spans="1:15" s="692" customFormat="1">
      <c r="A56" s="688" t="s">
        <v>2766</v>
      </c>
      <c r="B56" s="689" t="e">
        <f>C48</f>
        <v>#DIV/0!</v>
      </c>
      <c r="C56" s="690">
        <v>1</v>
      </c>
      <c r="D56" s="1163">
        <v>1</v>
      </c>
      <c r="E56" s="690">
        <f>'数据-汇总表'!E8+'数据-汇总表'!E9</f>
        <v>885.9</v>
      </c>
      <c r="F56" s="1103" t="e">
        <f t="shared" ref="F56:F65" si="15">ROUND(B56*E56/10000,0)</f>
        <v>#DIV/0!</v>
      </c>
      <c r="G56" s="3189"/>
      <c r="H56" s="3207"/>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9"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9"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0"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1026</v>
      </c>
      <c r="E66" s="696">
        <f>IF(B46="楼面地价",SUM(E56:E65),'数据-汇总表'!D3)</f>
        <v>885.9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1" t="s">
        <v>2781</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2782</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2796</v>
      </c>
      <c r="D6" s="3239"/>
      <c r="E6" s="3240" t="s">
        <v>2796</v>
      </c>
      <c r="F6" s="3241"/>
      <c r="G6" s="3238" t="s">
        <v>2796</v>
      </c>
      <c r="H6" s="3239"/>
      <c r="I6" s="3238" t="s">
        <v>2796</v>
      </c>
      <c r="J6" s="3239"/>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43756</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131</v>
      </c>
      <c r="G10" s="432"/>
      <c r="H10" s="136">
        <f>ROUND(100/'数据-取费表'!G16,0)</f>
        <v>131</v>
      </c>
      <c r="I10" s="432"/>
      <c r="J10" s="136">
        <f>ROUND(100/'数据-取费表'!G16,0)</f>
        <v>131</v>
      </c>
      <c r="K10" s="672"/>
      <c r="L10" s="1135"/>
      <c r="M10" s="1136"/>
      <c r="N10" s="1136"/>
      <c r="O10" s="1137"/>
      <c r="P10" s="3207"/>
      <c r="Q10" s="1795" t="str">
        <f t="shared" si="6"/>
        <v>土地使用年限（年）</v>
      </c>
      <c r="R10" s="770" t="s">
        <v>17</v>
      </c>
      <c r="S10" s="771">
        <f t="shared" si="0"/>
        <v>131</v>
      </c>
      <c r="T10" s="770" t="s">
        <v>17</v>
      </c>
      <c r="U10" s="771">
        <f t="shared" si="1"/>
        <v>131</v>
      </c>
      <c r="V10" s="770" t="s">
        <v>17</v>
      </c>
      <c r="W10" s="771">
        <f t="shared" si="2"/>
        <v>131</v>
      </c>
      <c r="X10" s="772"/>
      <c r="Y10" s="3022"/>
      <c r="Z10" s="55" t="str">
        <f t="shared" si="7"/>
        <v>土地使用年限（年）</v>
      </c>
      <c r="AA10" s="773">
        <f t="shared" si="3"/>
        <v>0.76335877862595425</v>
      </c>
      <c r="AB10" s="773">
        <f t="shared" si="4"/>
        <v>0.76335877862595425</v>
      </c>
      <c r="AC10" s="773">
        <f t="shared" si="5"/>
        <v>0.76335877862595425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85.5">
      <c r="A15" s="440" t="s">
        <v>2558</v>
      </c>
      <c r="B15" s="629" t="s">
        <v>2797</v>
      </c>
      <c r="C15" s="2693" t="str">
        <f>估价对象房地状况!G15</f>
        <v>估价对象周边有汽车修理厂、加油站等工交用地，无开发区，产业集聚程度一般。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128.25">
      <c r="A17" s="428"/>
      <c r="B17" s="631" t="s">
        <v>2708</v>
      </c>
      <c r="C17" s="2607" t="str">
        <f>估价对象房地状况!G16</f>
        <v>估价对象周边有f2路、房18路、房27路、房38路等多条公交线路，距地铁房山线（苏庄站）约900米，综合评价交通便捷度较好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0"/>
      <c r="Q20" s="1810"/>
      <c r="R20" s="774"/>
      <c r="S20" s="775"/>
      <c r="T20" s="774"/>
      <c r="U20" s="775"/>
      <c r="V20" s="774"/>
      <c r="W20" s="775"/>
      <c r="X20" s="1813"/>
      <c r="Y20" s="3210"/>
      <c r="Z20" s="1814"/>
      <c r="AA20" s="1811"/>
      <c r="AB20" s="1811"/>
      <c r="AC20" s="1811"/>
    </row>
    <row r="21" spans="1:29" ht="99.75">
      <c r="A21" s="404"/>
      <c r="B21" s="631" t="s">
        <v>2798</v>
      </c>
      <c r="C21" s="2607" t="str">
        <f>估价对象房地状况!G18</f>
        <v>估价对象周边500米内有2处加油站，有北潞园健身公园、房山区良乡体育中心等，整体环境状况一般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2653</v>
      </c>
      <c r="C23" s="2607"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42.75">
      <c r="A25" s="649"/>
      <c r="B25" s="633" t="s">
        <v>2654</v>
      </c>
      <c r="C25" s="2607" t="str">
        <f>估价对象房地状况!G20</f>
        <v>估价对象所在区域基础设施水平好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2564</v>
      </c>
      <c r="Q32" s="1810">
        <f t="shared" si="8"/>
        <v>111</v>
      </c>
      <c r="R32" s="774" t="s">
        <v>17</v>
      </c>
      <c r="S32" s="775">
        <f t="shared" si="10"/>
        <v>100</v>
      </c>
      <c r="T32" s="774" t="s">
        <v>17</v>
      </c>
      <c r="U32" s="775">
        <f t="shared" si="11"/>
        <v>100</v>
      </c>
      <c r="V32" s="774" t="s">
        <v>17</v>
      </c>
      <c r="W32" s="775">
        <f t="shared" si="12"/>
        <v>100</v>
      </c>
      <c r="X32" s="1813"/>
      <c r="Y32" s="3214" t="s">
        <v>2564</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4" t="s">
        <v>2564</v>
      </c>
      <c r="Q37" s="1810" t="str">
        <f t="shared" si="14"/>
        <v>工程地质条件</v>
      </c>
      <c r="R37" s="774" t="s">
        <v>17</v>
      </c>
      <c r="S37" s="775">
        <f t="shared" si="10"/>
        <v>100</v>
      </c>
      <c r="T37" s="774" t="s">
        <v>17</v>
      </c>
      <c r="U37" s="775">
        <f t="shared" si="11"/>
        <v>100</v>
      </c>
      <c r="V37" s="774" t="s">
        <v>17</v>
      </c>
      <c r="W37" s="775">
        <f t="shared" si="12"/>
        <v>100</v>
      </c>
      <c r="X37" s="1813"/>
      <c r="Y37" s="321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2719</v>
      </c>
      <c r="B41" s="2704" t="s">
        <v>2799</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5" t="s">
        <v>2759</v>
      </c>
      <c r="D50" s="2706" t="s">
        <v>2760</v>
      </c>
      <c r="E50" s="686" t="s">
        <v>2761</v>
      </c>
      <c r="F50" s="687" t="s">
        <v>2762</v>
      </c>
      <c r="G50" s="3190" t="s">
        <v>2763</v>
      </c>
      <c r="H50" s="3236"/>
      <c r="I50" s="1814" t="s">
        <v>2800</v>
      </c>
      <c r="J50" s="1814" t="str">
        <f>项目基本情况!F35</f>
        <v>良乡太平庄村东南1号楼1至2层</v>
      </c>
      <c r="K50" s="2708" t="s">
        <v>2765</v>
      </c>
      <c r="L50" s="1106"/>
      <c r="M50" s="1144"/>
      <c r="N50" s="1144"/>
      <c r="O50" s="1144"/>
    </row>
    <row r="51" spans="1:17" s="692" customFormat="1">
      <c r="A51" s="688" t="s">
        <v>2766</v>
      </c>
      <c r="B51" s="689" t="e">
        <f>C43</f>
        <v>#DIV/0!</v>
      </c>
      <c r="C51" s="690">
        <v>1</v>
      </c>
      <c r="D51" s="1163">
        <v>1</v>
      </c>
      <c r="E51" s="690">
        <f>'数据-汇总表'!E8+'数据-汇总表'!E9</f>
        <v>885.9</v>
      </c>
      <c r="F51" s="691" t="e">
        <f t="shared" ref="F51:F60" si="15">ROUND(B51*E51/10000,0)</f>
        <v>#DIV/0!</v>
      </c>
      <c r="G51" s="3189"/>
      <c r="H51" s="3207"/>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9"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9"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0"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1026</v>
      </c>
      <c r="E61" s="696">
        <f>IF(B41="楼面地价",SUM(E51:E60),'数据-汇总表'!D3)</f>
        <v>2337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1" t="s">
        <v>2781</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2801</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B88" sqref="B88:D88"/>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2803</v>
      </c>
      <c r="B1" s="241"/>
      <c r="C1" s="245" t="s">
        <v>2804</v>
      </c>
      <c r="D1" s="388">
        <f>SUM(D29:D30,D33:D39)</f>
        <v>885.9</v>
      </c>
      <c r="E1" s="2717"/>
      <c r="F1" s="2717"/>
      <c r="G1" s="2717"/>
      <c r="H1" s="2717"/>
      <c r="I1" s="2717"/>
      <c r="J1" s="2717"/>
      <c r="K1" s="1370"/>
      <c r="L1" s="2718" t="s">
        <v>2805</v>
      </c>
      <c r="M1" s="1080">
        <f>SUMPRODUCT((区片价!B5:B9=I2)*(区片价!C3:F3=E2)*(区片价!C5:F9))</f>
        <v>0</v>
      </c>
      <c r="N1" s="1083">
        <f>SUMPRODUCT((因素修正幅度!B5:B9=I2)*(因素修正幅度!C3:F3=E2)*(因素修正幅度!C5:F9))</f>
        <v>0</v>
      </c>
      <c r="O1" s="2719"/>
      <c r="P1" s="2719"/>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280</v>
      </c>
      <c r="C2" s="2721" t="s">
        <v>2812</v>
      </c>
      <c r="D2" s="2722" t="s">
        <v>2813</v>
      </c>
      <c r="E2" s="2723" t="s">
        <v>6</v>
      </c>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Ⅷ-房1</v>
      </c>
      <c r="J2" s="2725"/>
      <c r="K2" s="1370"/>
      <c r="L2" s="2726"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5.1105</v>
      </c>
      <c r="T2" s="1602">
        <f ca="1">ROUND($C$5*$C$18*$C$19*$C$20*S2*$C$24,0)</f>
        <v>6050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3161</v>
      </c>
      <c r="C3" s="2721" t="s">
        <v>2818</v>
      </c>
      <c r="D3" s="2722" t="s">
        <v>2819</v>
      </c>
      <c r="E3" s="2727" t="s">
        <v>3071</v>
      </c>
      <c r="F3" s="2728" t="s">
        <v>2820</v>
      </c>
      <c r="G3" s="916">
        <f>IF(F3="宗地容积率",'数据-汇总表'!I4,IF(F3="估价对象容积率",'数据-汇总表'!I6,'数据-汇总表'!I7))</f>
        <v>0.38</v>
      </c>
      <c r="H3" s="198" t="s">
        <v>2821</v>
      </c>
      <c r="I3" s="944"/>
      <c r="J3" s="2725" t="s">
        <v>2822</v>
      </c>
      <c r="K3" s="1370"/>
      <c r="L3" s="2726"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3.3681999999999999</v>
      </c>
      <c r="T3" s="1602">
        <f t="shared" ref="T3:T16" ca="1" si="0">ROUND($C$5*$C$18*$C$19*$C$20*S3*$C$24,0)</f>
        <v>3987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6"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2.6505000000000001</v>
      </c>
      <c r="T4" s="1602">
        <f t="shared" ca="1" si="0"/>
        <v>3138</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2825</v>
      </c>
      <c r="C5" s="917">
        <f>ROUND(IF(E2="商业",C6*C7+C16,(IF(E2="住宅",C6*C12+C16,C6+C16))),0)</f>
        <v>980</v>
      </c>
      <c r="D5" s="1787">
        <f>ROUND(C6+C16,0)</f>
        <v>980</v>
      </c>
      <c r="E5" s="1787"/>
      <c r="F5" s="2731"/>
      <c r="G5" s="2732"/>
      <c r="H5" s="2732"/>
      <c r="I5" s="2732"/>
      <c r="J5" s="2733"/>
      <c r="K5" s="2734"/>
      <c r="L5" s="2726"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1.9802999999999999</v>
      </c>
      <c r="T5" s="1602">
        <f t="shared" ca="1" si="0"/>
        <v>2344</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2827</v>
      </c>
      <c r="B6" s="2740" t="s">
        <v>2828</v>
      </c>
      <c r="C6" s="918">
        <f>SUMIF(L1:L12,G2,M1:M12)</f>
        <v>940</v>
      </c>
      <c r="D6" s="2741" t="s">
        <v>2829</v>
      </c>
      <c r="E6" s="2742"/>
      <c r="F6" s="2742"/>
      <c r="G6" s="2743"/>
      <c r="H6" s="2743"/>
      <c r="I6" s="2743"/>
      <c r="J6" s="2744"/>
      <c r="K6" s="1842"/>
      <c r="L6" s="2726"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1.4892000000000001</v>
      </c>
      <c r="T6" s="1602">
        <f t="shared" ca="1" si="0"/>
        <v>1763</v>
      </c>
      <c r="U6" s="1603"/>
      <c r="V6" s="1602">
        <f t="shared" ca="1" si="1"/>
        <v>0</v>
      </c>
      <c r="W6" s="1606"/>
      <c r="X6" s="1606"/>
      <c r="Y6" s="1606"/>
      <c r="Z6" s="1606"/>
      <c r="AA6" s="1606"/>
      <c r="AB6" s="1606"/>
      <c r="AC6" s="2735"/>
      <c r="AD6" s="2736"/>
      <c r="AE6" s="2736"/>
      <c r="AF6" s="2736"/>
      <c r="AG6" s="2736"/>
      <c r="AH6" s="2736"/>
      <c r="AI6" s="2736"/>
      <c r="AJ6" s="2737"/>
    </row>
    <row r="7" spans="1:36" ht="24">
      <c r="A7" s="3242" t="str">
        <f>IF(E2="商业",IF(C8="不临58条商业街","",2),"")</f>
        <v/>
      </c>
      <c r="B7" s="2745" t="s">
        <v>2831</v>
      </c>
      <c r="C7" s="919" t="e">
        <f>IF(C8="不临58条商业街",1,ROUND(1+(1.6*E8+1.2*E9+0.8*E10+0.4*E11)*C9,4))</f>
        <v>#DIV/0!</v>
      </c>
      <c r="D7" s="2746" t="s">
        <v>2832</v>
      </c>
      <c r="E7" s="945"/>
      <c r="F7" s="2747"/>
      <c r="G7" s="2748"/>
      <c r="H7" s="2748"/>
      <c r="I7" s="2748"/>
      <c r="J7" s="2749"/>
      <c r="K7" s="1842"/>
      <c r="L7" s="2726"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1.1908000000000001</v>
      </c>
      <c r="T7" s="1602">
        <f t="shared" ca="1" si="0"/>
        <v>1410</v>
      </c>
      <c r="U7" s="1603"/>
      <c r="V7" s="1602">
        <f t="shared" ca="1" si="1"/>
        <v>0</v>
      </c>
      <c r="W7" s="1816" t="s">
        <v>2834</v>
      </c>
      <c r="X7" s="1604" t="str">
        <f>G2</f>
        <v>八级</v>
      </c>
      <c r="Y7" s="1604" t="s">
        <v>2835</v>
      </c>
      <c r="Z7" s="1605">
        <f>G3</f>
        <v>0.38</v>
      </c>
      <c r="AA7" s="1606"/>
      <c r="AB7" s="1606"/>
      <c r="AC7" s="1607"/>
      <c r="AD7" s="1608"/>
      <c r="AE7" s="1608"/>
      <c r="AF7" s="1608"/>
      <c r="AG7" s="1608"/>
      <c r="AH7" s="1608"/>
      <c r="AI7" s="1608"/>
      <c r="AJ7" s="1609"/>
    </row>
    <row r="8" spans="1:36" ht="15">
      <c r="A8" s="3262"/>
      <c r="B8" s="198" t="s">
        <v>2836</v>
      </c>
      <c r="C8" s="2750"/>
      <c r="D8" s="920" t="s">
        <v>139</v>
      </c>
      <c r="E8" s="921" t="e">
        <f>ROUND(C11/E7,4)</f>
        <v>#DIV/0!</v>
      </c>
      <c r="F8" s="2751" t="s">
        <v>2837</v>
      </c>
      <c r="G8" s="2752"/>
      <c r="H8" s="2752"/>
      <c r="I8" s="2752"/>
      <c r="J8" s="2753"/>
      <c r="K8" s="1370"/>
      <c r="L8" s="2726" t="s">
        <v>2838</v>
      </c>
      <c r="M8" s="1081">
        <f>SUMPRODUCT((区片价!B206:B244=I2)*(区片价!C3:F3=E2)*(区片价!C206:F244))</f>
        <v>940</v>
      </c>
      <c r="N8" s="1083">
        <f>SUMPRODUCT((因素修正幅度!B206:B244=I2)*(因素修正幅度!C3:F3=E2)*(因素修正幅度!C206:F244))</f>
        <v>0.13600000000000001</v>
      </c>
      <c r="O8" s="1370"/>
      <c r="P8" s="1370"/>
      <c r="Q8" s="1370"/>
      <c r="R8" s="1602">
        <v>7</v>
      </c>
      <c r="S8" s="1603"/>
      <c r="T8" s="1602">
        <f t="shared" ca="1" si="0"/>
        <v>0</v>
      </c>
      <c r="U8" s="1603"/>
      <c r="V8" s="1602">
        <f t="shared" ca="1" si="1"/>
        <v>0</v>
      </c>
      <c r="W8" s="3255" t="s">
        <v>2839</v>
      </c>
      <c r="X8" s="325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62"/>
      <c r="B9" s="198" t="s">
        <v>2852</v>
      </c>
      <c r="C9" s="922">
        <f>SUMIF(修正!C59:C119,C8,修正!E59:E119)</f>
        <v>0</v>
      </c>
      <c r="D9" s="200" t="s">
        <v>140</v>
      </c>
      <c r="E9" s="200" t="e">
        <f>ROUND(C11/E7,4)</f>
        <v>#DIV/0!</v>
      </c>
      <c r="F9" s="2751" t="s">
        <v>2853</v>
      </c>
      <c r="G9" s="2752"/>
      <c r="H9" s="2752"/>
      <c r="I9" s="2752"/>
      <c r="J9" s="2753"/>
      <c r="K9" s="1370"/>
      <c r="L9" s="2726"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2857</v>
      </c>
      <c r="C10" s="200">
        <f>SUMIF(修正!C59:C119,C8,修正!F59:F119)</f>
        <v>0</v>
      </c>
      <c r="D10" s="200" t="s">
        <v>141</v>
      </c>
      <c r="E10" s="200" t="e">
        <f>ROUND(C11/E7,4)</f>
        <v>#DIV/0!</v>
      </c>
      <c r="F10" s="2751" t="s">
        <v>2858</v>
      </c>
      <c r="G10" s="2752"/>
      <c r="H10" s="2752"/>
      <c r="I10" s="2752"/>
      <c r="J10" s="2753"/>
      <c r="K10" s="1370"/>
      <c r="L10" s="2726"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4" t="s">
        <v>2860</v>
      </c>
      <c r="C11" s="923">
        <f>C10/4</f>
        <v>0</v>
      </c>
      <c r="D11" s="923" t="s">
        <v>142</v>
      </c>
      <c r="E11" s="923" t="e">
        <f>ROUND(C11/E7,4)</f>
        <v>#DIV/0!</v>
      </c>
      <c r="F11" s="2755" t="s">
        <v>2861</v>
      </c>
      <c r="G11" s="2756"/>
      <c r="H11" s="2756"/>
      <c r="I11" s="2756"/>
      <c r="J11" s="2757"/>
      <c r="K11" s="1370"/>
      <c r="L11" s="2726"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2863</v>
      </c>
      <c r="X11" s="1614" t="s">
        <v>2864</v>
      </c>
      <c r="Y11" s="1615">
        <f>$G$3</f>
        <v>0.38</v>
      </c>
      <c r="Z11" s="1615">
        <f t="shared" ref="Z11:AJ11" si="3">$G$3</f>
        <v>0.38</v>
      </c>
      <c r="AA11" s="1615">
        <f t="shared" si="3"/>
        <v>0.38</v>
      </c>
      <c r="AB11" s="1615">
        <f t="shared" si="3"/>
        <v>0.38</v>
      </c>
      <c r="AC11" s="1615">
        <f t="shared" si="3"/>
        <v>0.38</v>
      </c>
      <c r="AD11" s="1615">
        <f t="shared" si="3"/>
        <v>0.38</v>
      </c>
      <c r="AE11" s="1615">
        <f t="shared" si="3"/>
        <v>0.38</v>
      </c>
      <c r="AF11" s="1615">
        <f t="shared" si="3"/>
        <v>0.38</v>
      </c>
      <c r="AG11" s="1615">
        <f t="shared" si="3"/>
        <v>0.38</v>
      </c>
      <c r="AH11" s="1615">
        <f t="shared" si="3"/>
        <v>0.38</v>
      </c>
      <c r="AI11" s="1615">
        <f t="shared" si="3"/>
        <v>0.38</v>
      </c>
      <c r="AJ11" s="1615">
        <f t="shared" si="3"/>
        <v>0.38</v>
      </c>
    </row>
    <row r="12" spans="1:36" ht="25.5" thickBot="1">
      <c r="A12" s="3242" t="s">
        <v>2865</v>
      </c>
      <c r="B12" s="2758" t="s">
        <v>2866</v>
      </c>
      <c r="C12" s="919">
        <f>ROUND(C15*D15*E15*F15*G15*H15*I15*J15,4)</f>
        <v>1</v>
      </c>
      <c r="D12" s="2759" t="s">
        <v>2867</v>
      </c>
      <c r="E12" s="2760"/>
      <c r="F12" s="2760"/>
      <c r="G12" s="2761"/>
      <c r="H12" s="2761"/>
      <c r="I12" s="2761"/>
      <c r="J12" s="2762"/>
      <c r="K12" s="1370"/>
      <c r="L12" s="2763"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4" t="s">
        <v>2870</v>
      </c>
      <c r="C13" s="2765" t="s">
        <v>2871</v>
      </c>
      <c r="D13" s="1808" t="s">
        <v>2872</v>
      </c>
      <c r="E13" s="1808" t="s">
        <v>2873</v>
      </c>
      <c r="F13" s="30" t="s">
        <v>2874</v>
      </c>
      <c r="G13" s="2766" t="s">
        <v>2875</v>
      </c>
      <c r="H13" s="2766" t="s">
        <v>2875</v>
      </c>
      <c r="I13" s="2766" t="s">
        <v>2875</v>
      </c>
      <c r="J13" s="2767" t="s">
        <v>2875</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2.0044736842105264</v>
      </c>
      <c r="Z13" s="1613">
        <f t="shared" ref="Z13:AJ13" si="5">(-0.163*(Z12^2)-0.59*Z12+7617)*(10^(-4))/Z11</f>
        <v>2.0044736842105264</v>
      </c>
      <c r="AA13" s="1613">
        <f t="shared" si="5"/>
        <v>2.0044736842105264</v>
      </c>
      <c r="AB13" s="1613">
        <f t="shared" si="5"/>
        <v>2.0044736842105264</v>
      </c>
      <c r="AC13" s="1613">
        <f t="shared" si="5"/>
        <v>2.0044736842105264</v>
      </c>
      <c r="AD13" s="1613">
        <f t="shared" si="5"/>
        <v>2.0044736842105264</v>
      </c>
      <c r="AE13" s="1613">
        <f t="shared" si="5"/>
        <v>2.0044736842105264</v>
      </c>
      <c r="AF13" s="1613">
        <f t="shared" si="5"/>
        <v>2.0044736842105264</v>
      </c>
      <c r="AG13" s="1613">
        <f t="shared" si="5"/>
        <v>2.0044736842105264</v>
      </c>
      <c r="AH13" s="1613">
        <f t="shared" si="5"/>
        <v>2.0044736842105264</v>
      </c>
      <c r="AI13" s="1613">
        <f t="shared" si="5"/>
        <v>2.0044736842105264</v>
      </c>
      <c r="AJ13" s="1613">
        <f t="shared" si="5"/>
        <v>2.0044736842105264</v>
      </c>
    </row>
    <row r="14" spans="1:36" ht="15">
      <c r="A14" s="3263"/>
      <c r="B14" s="2768"/>
      <c r="C14" s="2769"/>
      <c r="D14" s="2770"/>
      <c r="E14" s="2770"/>
      <c r="F14" s="2771"/>
      <c r="G14" s="2772" t="s">
        <v>2876</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6"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2882</v>
      </c>
      <c r="B16" s="2745" t="s">
        <v>2883</v>
      </c>
      <c r="C16" s="2932">
        <f>ROUND(IF(F17="与级别开发程度一致",0,(G17-E17)/C17),0)</f>
        <v>40</v>
      </c>
      <c r="D16" s="3253" t="s">
        <v>2887</v>
      </c>
      <c r="E16" s="3254"/>
      <c r="F16" s="3253" t="s">
        <v>2884</v>
      </c>
      <c r="G16" s="3254"/>
      <c r="H16" s="2779" t="s">
        <v>3078</v>
      </c>
      <c r="I16" s="2779" t="s">
        <v>3079</v>
      </c>
      <c r="J16" s="2936" t="s">
        <v>3080</v>
      </c>
      <c r="K16" s="2779" t="s">
        <v>3081</v>
      </c>
      <c r="L16" s="2779" t="s">
        <v>3082</v>
      </c>
      <c r="M16" s="2779" t="s">
        <v>3083</v>
      </c>
      <c r="N16" s="2779" t="s">
        <v>3084</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3" t="s">
        <v>2886</v>
      </c>
      <c r="C17" s="2944">
        <f>SUMPRODUCT((修正!A2:A5=E2)*(修正!B1:M1=G2)*(修正!B2:M5))</f>
        <v>1</v>
      </c>
      <c r="D17" s="229" t="str">
        <f>IF(OR(G2="八级",G2="九级",G2="十级",G2="十一级",G2="十二级"),"五通一平","七通一平")</f>
        <v>五通一平</v>
      </c>
      <c r="E17" s="2933">
        <f>SUMPRODUCT((修正!B1:M1=G2)*(修正!B15:M15))</f>
        <v>155</v>
      </c>
      <c r="F17" s="2934" t="s">
        <v>3077</v>
      </c>
      <c r="G17" s="2935">
        <f>SUM(H17:O17)</f>
        <v>195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40</v>
      </c>
      <c r="N17" s="2944">
        <f>SUMPRODUCT((七通一平=N16)*(修正!B1:M1=G2)*(修正!B6:M14))</f>
        <v>10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2889</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2890</v>
      </c>
      <c r="C19" s="924">
        <f>ROUND(IF(H19="按公示增长率计算",SUMPRODUCT((地价!A3:A28=YEAR(G19)&amp;"-"&amp;ROUNDUP(MONTH(G19)/3,0))*(地价!X2:AB2=E2)*(地价!X3:AB28)),IF(H19="地价指数",M20/M19,(1+I19)^O19)),4)</f>
        <v>1.3713</v>
      </c>
      <c r="D19" s="2789" t="s">
        <v>2891</v>
      </c>
      <c r="E19" s="925">
        <v>41640</v>
      </c>
      <c r="F19" s="2789" t="s">
        <v>2892</v>
      </c>
      <c r="G19" s="926">
        <f>'数据-取费表'!B2</f>
        <v>43756</v>
      </c>
      <c r="H19" s="2790" t="s">
        <v>3076</v>
      </c>
      <c r="I19" s="927" t="str">
        <f>IF(H19="季度增幅（自定义）",SUMIF(N21:N24,E2,O21:O24),"")</f>
        <v/>
      </c>
      <c r="J19" s="2787"/>
      <c r="K19" s="1377"/>
      <c r="L19" s="2791" t="s">
        <v>2893</v>
      </c>
      <c r="M19" s="1734">
        <f>ROUND(SUMIF(地价!B2:F2,E2,地价!B28:F28),0)</f>
        <v>230</v>
      </c>
      <c r="N19" s="2792" t="s">
        <v>2894</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2895</v>
      </c>
      <c r="C20" s="929">
        <f ca="1">ROUND(POWER(1+G20,J20-I20)*(POWER(1+G20,I20)-1)/(POWER(1+G20,J20)-1),4)</f>
        <v>0.83660000000000001</v>
      </c>
      <c r="D20" s="2798" t="s">
        <v>2896</v>
      </c>
      <c r="E20" s="1768">
        <f ca="1">存贷款利率!D4/100</f>
        <v>4.3499999999999997E-2</v>
      </c>
      <c r="F20" s="2798" t="s">
        <v>2888</v>
      </c>
      <c r="G20" s="934">
        <f ca="1">SUMIF(M26:P26,E2,M28:P28)</f>
        <v>4.8000000000000001E-2</v>
      </c>
      <c r="H20" s="2798" t="s">
        <v>2897</v>
      </c>
      <c r="I20" s="935">
        <f>SUMIF('数据-取费表'!C6:C15,E2,'数据-取费表'!F6:F15)/COUNTIF('数据-取费表'!C6:C15,E2)</f>
        <v>30.12</v>
      </c>
      <c r="J20" s="936">
        <f>IF(E2="住宅",70,IF(E2="商业",40,50))</f>
        <v>50</v>
      </c>
      <c r="K20" s="1377"/>
      <c r="L20" s="2799" t="s">
        <v>2898</v>
      </c>
      <c r="M20" s="1735">
        <f>ROUND(SUMPRODUCT((地价!A4:A28=YEAR(G19)&amp;"-"&amp;ROUNDUP(MONTH(G19)/3,0))*(地价!B2:F2=E2)*(地价!B4:F28)),0)</f>
        <v>315</v>
      </c>
      <c r="N20" s="2800" t="s">
        <v>2899</v>
      </c>
      <c r="O20" s="2801" t="s">
        <v>2900</v>
      </c>
      <c r="P20" s="2802" t="s">
        <v>2901</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3085</v>
      </c>
      <c r="C21" s="937">
        <f>IF(B21="容积率修正",IF(G3&lt;=10,D22,J22),C23)</f>
        <v>2.6667000000000001</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2.6667000000000001</v>
      </c>
      <c r="E22" s="916">
        <f>ROUNDDOWN(G3,1)</f>
        <v>0.3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1.0528999999999999</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f ca="1">E29+SUM(E33:E39)</f>
        <v>280</v>
      </c>
      <c r="D26" s="2822"/>
      <c r="E26" s="2773"/>
      <c r="F26" s="2823"/>
      <c r="G26" s="2773"/>
      <c r="H26" s="2773"/>
      <c r="I26" s="2773"/>
      <c r="J26" s="2824"/>
      <c r="K26" s="1370"/>
      <c r="L26" s="2777" t="s">
        <v>2813</v>
      </c>
      <c r="M26" s="920" t="s">
        <v>2878</v>
      </c>
      <c r="N26" s="920" t="s">
        <v>2879</v>
      </c>
      <c r="O26" s="920" t="s">
        <v>2880</v>
      </c>
      <c r="P26" s="2778" t="s">
        <v>2881</v>
      </c>
      <c r="R26" s="1376"/>
      <c r="S26" s="1376"/>
      <c r="T26" s="1371"/>
      <c r="U26" s="1371"/>
      <c r="V26" s="1371"/>
      <c r="W26" s="1370"/>
      <c r="X26" s="1370"/>
      <c r="Y26" s="1370"/>
      <c r="Z26" s="1377"/>
      <c r="AA26" s="1378"/>
      <c r="AB26" s="1378"/>
      <c r="AC26" s="1378"/>
      <c r="AD26" s="1378"/>
    </row>
    <row r="27" spans="1:37" ht="15.75" thickBot="1">
      <c r="A27" s="2821"/>
      <c r="B27" s="2825" t="s">
        <v>2915</v>
      </c>
      <c r="C27" s="931">
        <f ca="1">E30+SUM(I33:I39)</f>
        <v>0</v>
      </c>
      <c r="D27" s="2826"/>
      <c r="E27" s="2827"/>
      <c r="F27" s="2828"/>
      <c r="G27" s="2827"/>
      <c r="H27" s="2827"/>
      <c r="I27" s="2827"/>
      <c r="J27" s="2829"/>
      <c r="K27" s="1370"/>
      <c r="L27" s="2781"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f ca="1">ROUND(C5*C18*C19*C20*C21*C24,0)</f>
        <v>3157</v>
      </c>
      <c r="D29" s="2837">
        <f>'数据-汇总表'!F19</f>
        <v>885.9</v>
      </c>
      <c r="E29" s="942">
        <f ca="1">ROUND(C29*D29/10000,0)</f>
        <v>280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f ca="1">ROUND(IF(E2="工业",C29*M39,C29*M38),0)</f>
        <v>474</v>
      </c>
      <c r="D30" s="2843"/>
      <c r="E30" s="942">
        <f ca="1">ROUND(C30*D30/10000,0)</f>
        <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0" t="s">
        <v>2928</v>
      </c>
      <c r="B33" s="2853" t="s">
        <v>2929</v>
      </c>
      <c r="C33" s="206">
        <f ca="1">ROUND(D5*C19*C20*C24*F33,0)</f>
        <v>710</v>
      </c>
      <c r="D33" s="2837"/>
      <c r="E33" s="200">
        <f ca="1">ROUND(C33*D33/10000,0)</f>
        <v>0</v>
      </c>
      <c r="F33" s="200">
        <f>SUMIF(修正!A45:A56,G2,修正!B45:B56)</f>
        <v>0.6</v>
      </c>
      <c r="G33" s="200">
        <f t="shared" ref="G33" ca="1" si="6">ROUND(IF(E2="工业",C33*$M$39,C33*$M$38),0)</f>
        <v>107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5" t="s">
        <v>2930</v>
      </c>
      <c r="C34" s="206">
        <f ca="1">ROUND(D5*C19*C20*C24*F34,0)</f>
        <v>355</v>
      </c>
      <c r="D34" s="2837"/>
      <c r="E34" s="200">
        <f t="shared" ref="E34:E39" ca="1" si="7">ROUND(C34*D34/10000,0)</f>
        <v>0</v>
      </c>
      <c r="F34" s="200">
        <f>SUMIF(修正!A45:A56,G2,修正!C45:C56)</f>
        <v>0.3</v>
      </c>
      <c r="G34" s="200">
        <f ca="1">ROUND(IF(E2="工业",C34*$M$39,C34*$M$38),0)</f>
        <v>53</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5" t="s">
        <v>2931</v>
      </c>
      <c r="C35" s="206">
        <f ca="1">ROUND(D5*C19*C20*C24*F35,0)</f>
        <v>237</v>
      </c>
      <c r="D35" s="2837"/>
      <c r="E35" s="200">
        <f t="shared" ca="1" si="7"/>
        <v>0</v>
      </c>
      <c r="F35" s="200">
        <f>SUMIF(修正!A45:A56,G2,修正!D45:D56)</f>
        <v>0.2</v>
      </c>
      <c r="G35" s="200">
        <f ca="1">ROUND(IF(E2="工业",C35*$M$39,C35*$M$38),0)</f>
        <v>36</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2"/>
      <c r="B36" s="2765" t="s">
        <v>2932</v>
      </c>
      <c r="C36" s="206">
        <f ca="1">ROUND(D5*C19*C20*C24*F36,0)</f>
        <v>237</v>
      </c>
      <c r="D36" s="2837"/>
      <c r="E36" s="200">
        <f t="shared" ca="1" si="7"/>
        <v>0</v>
      </c>
      <c r="F36" s="200">
        <f>SUMIF(修正!A45:A56,G2,修正!E45:E56)</f>
        <v>0.2</v>
      </c>
      <c r="G36" s="200">
        <f ca="1">ROUND(IF(E2="工业",C36*$M$39,C36*$M$38),0)</f>
        <v>36</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f ca="1">ROUND(D5*C19*C20*C24*F37,0)</f>
        <v>237</v>
      </c>
      <c r="D37" s="2837"/>
      <c r="E37" s="200">
        <f t="shared" ca="1" si="7"/>
        <v>0</v>
      </c>
      <c r="F37" s="206">
        <f>SUMIF(修正!A45:A56,G2,修正!F45:F56)</f>
        <v>0.2</v>
      </c>
      <c r="G37" s="200">
        <f ca="1">ROUND(IF(E2="工业",C37*$M$39,C37*$M$38),0)</f>
        <v>36</v>
      </c>
      <c r="H37" s="200">
        <f t="shared" si="8"/>
        <v>0</v>
      </c>
      <c r="I37" s="200">
        <f t="shared" ca="1" si="9"/>
        <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2881</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3048</v>
      </c>
      <c r="C41" s="388">
        <f ca="1">ROUND(POWER(1+E41,H41-G41)*(POWER(1+E41,G41)-1)/(POWER(1+E41,H41)-1),4)</f>
        <v>0</v>
      </c>
      <c r="D41" s="200" t="s">
        <v>2888</v>
      </c>
      <c r="E41" s="2929">
        <f ca="1">G20</f>
        <v>4.8000000000000001E-2</v>
      </c>
      <c r="F41" s="200" t="s">
        <v>2897</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1.0528999999999999</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2596</v>
      </c>
      <c r="K80" s="603" t="s">
        <v>2597</v>
      </c>
      <c r="L80" s="603" t="s">
        <v>2598</v>
      </c>
      <c r="M80" s="603" t="s">
        <v>2599</v>
      </c>
      <c r="N80" s="603" t="s">
        <v>2600</v>
      </c>
      <c r="Z80" s="2720"/>
      <c r="AA80" s="2788"/>
      <c r="AG80" s="1372"/>
      <c r="AK80" s="2788"/>
    </row>
    <row r="81" spans="1:37" ht="51">
      <c r="A81" s="2870" t="s">
        <v>2967</v>
      </c>
      <c r="B81" s="2874" t="str">
        <f>估价对象房地状况!G15</f>
        <v>估价对象周边有汽车修理厂、加油站等工交用地，无开发区，产业集聚程度一般。</v>
      </c>
      <c r="C81" s="2770" t="s">
        <v>3089</v>
      </c>
      <c r="D81" s="1286">
        <f t="shared" ref="D81:D88" si="25">SUMIF($J$80:$N$80,C81,J81:N81)</f>
        <v>0</v>
      </c>
      <c r="E81" s="821">
        <f>ROUND(SUM(D81:D88),4)</f>
        <v>5.2900000000000003E-2</v>
      </c>
      <c r="F81" s="2501">
        <f>IF(E2="工业",SUMIF(L1:L12,G2,N1:N12),"——")</f>
        <v>0.13600000000000001</v>
      </c>
      <c r="G81" s="1284">
        <v>1.7600000000000001E-2</v>
      </c>
      <c r="H81" s="1288">
        <f t="shared" ref="H81:H88" si="26">IFERROR(ROUNDDOWN($F$81*I81/2,4),"——")</f>
        <v>1.7600000000000001E-2</v>
      </c>
      <c r="I81" s="820">
        <v>0.26</v>
      </c>
      <c r="J81" s="1285">
        <f t="shared" ref="J81:J88" si="27">K81+$G81</f>
        <v>3.5200000000000002E-2</v>
      </c>
      <c r="K81" s="1285">
        <f t="shared" ref="K81:K88" si="28">$L81+$G81</f>
        <v>1.7600000000000001E-2</v>
      </c>
      <c r="L81" s="1285">
        <v>0</v>
      </c>
      <c r="M81" s="1285">
        <f t="shared" ref="M81:N88" si="29">L81-$G81</f>
        <v>-1.7600000000000001E-2</v>
      </c>
      <c r="N81" s="1285">
        <f t="shared" si="29"/>
        <v>-3.5200000000000002E-2</v>
      </c>
      <c r="Z81" s="2720"/>
      <c r="AA81" s="2788"/>
      <c r="AG81" s="1372"/>
      <c r="AK81" s="2788"/>
    </row>
    <row r="82" spans="1:37" ht="76.5">
      <c r="A82" s="2870" t="s">
        <v>2949</v>
      </c>
      <c r="B82" s="2874" t="str">
        <f>估价对象房地状况!G16</f>
        <v>估价对象周边有f2路、房18路、房27路、房38路等多条公交线路，距地铁房山线（苏庄站）约900米，综合评价交通便捷度较好</v>
      </c>
      <c r="C82" s="2770" t="s">
        <v>3088</v>
      </c>
      <c r="D82" s="1286">
        <f t="shared" si="25"/>
        <v>2.24E-2</v>
      </c>
      <c r="E82" s="826"/>
      <c r="F82" s="2501"/>
      <c r="G82" s="1284">
        <v>2.24E-2</v>
      </c>
      <c r="H82" s="1288">
        <f t="shared" si="26"/>
        <v>2.24E-2</v>
      </c>
      <c r="I82" s="820">
        <v>0.33</v>
      </c>
      <c r="J82" s="1285">
        <f t="shared" si="27"/>
        <v>4.48E-2</v>
      </c>
      <c r="K82" s="1285">
        <f t="shared" si="28"/>
        <v>2.24E-2</v>
      </c>
      <c r="L82" s="1285">
        <v>0</v>
      </c>
      <c r="M82" s="1285">
        <f t="shared" si="29"/>
        <v>-2.24E-2</v>
      </c>
      <c r="N82" s="1285">
        <f t="shared" si="29"/>
        <v>-4.48E-2</v>
      </c>
      <c r="Z82" s="2720"/>
      <c r="AA82" s="2788"/>
      <c r="AG82" s="1372"/>
      <c r="AK82" s="2788"/>
    </row>
    <row r="83" spans="1:37" ht="24">
      <c r="A83" s="2870" t="s">
        <v>2950</v>
      </c>
      <c r="B83" s="2874">
        <f>估价对象房地状况!G17</f>
        <v>0</v>
      </c>
      <c r="C83" s="2770" t="s">
        <v>3089</v>
      </c>
      <c r="D83" s="1286">
        <f t="shared" si="25"/>
        <v>0</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2964</v>
      </c>
      <c r="B84" s="2874">
        <f>估价对象房地状况!G22</f>
        <v>0</v>
      </c>
      <c r="C84" s="2770" t="s">
        <v>3088</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2956</v>
      </c>
      <c r="B85" s="1725" t="str">
        <f>估价对象房地状况!G19</f>
        <v>估价对象所在区域公共配套设施较齐备</v>
      </c>
      <c r="C85" s="2770" t="s">
        <v>3088</v>
      </c>
      <c r="D85" s="1286">
        <f t="shared" si="25"/>
        <v>4.0000000000000001E-3</v>
      </c>
      <c r="E85" s="826"/>
      <c r="F85" s="2501"/>
      <c r="G85" s="1284">
        <v>4.0000000000000001E-3</v>
      </c>
      <c r="H85" s="1288">
        <f t="shared" si="26"/>
        <v>4.0000000000000001E-3</v>
      </c>
      <c r="I85" s="820">
        <v>0.06</v>
      </c>
      <c r="J85" s="1285">
        <f t="shared" si="27"/>
        <v>8.0000000000000002E-3</v>
      </c>
      <c r="K85" s="1285">
        <f t="shared" si="28"/>
        <v>4.0000000000000001E-3</v>
      </c>
      <c r="L85" s="1285">
        <v>0</v>
      </c>
      <c r="M85" s="1285">
        <f t="shared" si="29"/>
        <v>-4.0000000000000001E-3</v>
      </c>
      <c r="N85" s="1285">
        <f t="shared" si="29"/>
        <v>-8.0000000000000002E-3</v>
      </c>
      <c r="Z85" s="2720"/>
      <c r="AA85" s="2788"/>
      <c r="AG85" s="1372"/>
      <c r="AK85" s="2788"/>
    </row>
    <row r="86" spans="1:37" ht="25.5">
      <c r="A86" s="2870" t="s">
        <v>2957</v>
      </c>
      <c r="B86" s="1725" t="str">
        <f>估价对象房地状况!G20</f>
        <v>估价对象所在区域基础设施水平好</v>
      </c>
      <c r="C86" s="2770" t="s">
        <v>3090</v>
      </c>
      <c r="D86" s="1286">
        <f t="shared" si="25"/>
        <v>2.0400000000000001E-2</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2954</v>
      </c>
      <c r="B87" s="2876" t="s">
        <v>2968</v>
      </c>
      <c r="C87" s="2770" t="s">
        <v>3088</v>
      </c>
      <c r="D87" s="1286">
        <f t="shared" si="25"/>
        <v>3.3999999999999998E-3</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51.75" thickBot="1">
      <c r="A88" s="2878" t="s">
        <v>2969</v>
      </c>
      <c r="B88" s="2883" t="str">
        <f>估价对象房地状况!G18</f>
        <v>估价对象周边500米内有2处加油站，有北潞园健身公园、房山区良乡体育中心等，整体环境状况一般</v>
      </c>
      <c r="C88" s="2770" t="s">
        <v>3089</v>
      </c>
      <c r="D88" s="1286">
        <f t="shared" si="25"/>
        <v>0</v>
      </c>
      <c r="E88" s="827"/>
      <c r="F88" s="2501"/>
      <c r="G88" s="1284">
        <v>4.0000000000000001E-3</v>
      </c>
      <c r="H88" s="1288">
        <f t="shared" si="26"/>
        <v>4.0000000000000001E-3</v>
      </c>
      <c r="I88" s="824">
        <v>0.06</v>
      </c>
      <c r="J88" s="1285">
        <f t="shared" si="27"/>
        <v>8.0000000000000002E-3</v>
      </c>
      <c r="K88" s="1285">
        <f t="shared" si="28"/>
        <v>4.0000000000000001E-3</v>
      </c>
      <c r="L88" s="1285">
        <v>0</v>
      </c>
      <c r="M88" s="1285">
        <f t="shared" si="29"/>
        <v>-4.0000000000000001E-3</v>
      </c>
      <c r="N88" s="1285">
        <f t="shared" si="29"/>
        <v>-8.0000000000000002E-3</v>
      </c>
      <c r="Z88" s="2720"/>
      <c r="AA88" s="2788"/>
      <c r="AG88" s="1372"/>
      <c r="AK88" s="2788"/>
    </row>
    <row r="90" spans="1:37">
      <c r="A90" s="3244" t="s">
        <v>2970</v>
      </c>
      <c r="B90" s="3244"/>
      <c r="C90" s="3244"/>
      <c r="D90" s="3244"/>
      <c r="E90" s="3244"/>
      <c r="F90" s="3244"/>
      <c r="G90" s="3244"/>
      <c r="H90" s="3244"/>
      <c r="I90" s="3244"/>
      <c r="J90" s="3244"/>
      <c r="K90" s="2884"/>
      <c r="L90" s="2884"/>
      <c r="M90" s="2884"/>
      <c r="N90" s="2884"/>
    </row>
    <row r="91" spans="1:37">
      <c r="A91" s="3246" t="s">
        <v>2971</v>
      </c>
      <c r="B91" s="3246" t="s">
        <v>2972</v>
      </c>
      <c r="C91" s="2838" t="s">
        <v>2973</v>
      </c>
      <c r="D91" s="2839"/>
      <c r="E91" s="2839"/>
      <c r="F91" s="2839"/>
      <c r="G91" s="2839"/>
      <c r="H91" s="2839"/>
      <c r="I91" s="2839"/>
      <c r="J91" s="2885"/>
      <c r="K91" s="2886"/>
      <c r="L91" s="2886"/>
      <c r="M91" s="2886"/>
      <c r="N91" s="2886"/>
    </row>
    <row r="92" spans="1:37">
      <c r="A92" s="3246"/>
      <c r="B92" s="324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47"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8"/>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4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7" t="s">
        <v>2975</v>
      </c>
      <c r="B101" s="2891" t="s">
        <v>2976</v>
      </c>
      <c r="C101" s="2892">
        <f>$G$3</f>
        <v>0.38</v>
      </c>
      <c r="D101" s="2892">
        <f t="shared" ref="D101:N101" si="31">$G$3</f>
        <v>0.38</v>
      </c>
      <c r="E101" s="2892">
        <f t="shared" si="31"/>
        <v>0.38</v>
      </c>
      <c r="F101" s="2892">
        <f t="shared" si="31"/>
        <v>0.38</v>
      </c>
      <c r="G101" s="2892">
        <f t="shared" si="31"/>
        <v>0.38</v>
      </c>
      <c r="H101" s="2892">
        <f t="shared" si="31"/>
        <v>0.38</v>
      </c>
      <c r="I101" s="2892">
        <f t="shared" si="31"/>
        <v>0.38</v>
      </c>
      <c r="J101" s="2892">
        <f t="shared" si="31"/>
        <v>0.38</v>
      </c>
      <c r="K101" s="2892">
        <f t="shared" si="31"/>
        <v>0.38</v>
      </c>
      <c r="L101" s="2892">
        <f t="shared" si="31"/>
        <v>0.38</v>
      </c>
      <c r="M101" s="2892">
        <f t="shared" si="31"/>
        <v>0.38</v>
      </c>
      <c r="N101" s="2892">
        <f t="shared" si="31"/>
        <v>0.38</v>
      </c>
    </row>
    <row r="102" spans="1:14">
      <c r="A102" s="3248"/>
      <c r="B102" s="2887">
        <v>1</v>
      </c>
      <c r="C102" s="2888">
        <f>1.9362/C101</f>
        <v>5.0952631578947365</v>
      </c>
      <c r="D102" s="2888">
        <f>1.9362/D101</f>
        <v>5.0952631578947365</v>
      </c>
      <c r="E102" s="2888">
        <f>1.8629/E101</f>
        <v>4.9023684210526319</v>
      </c>
      <c r="F102" s="2888">
        <f>1.8629/F101</f>
        <v>4.9023684210526319</v>
      </c>
      <c r="G102" s="2888">
        <f>1.8629/G101</f>
        <v>4.9023684210526319</v>
      </c>
      <c r="H102" s="2888">
        <f>1.8629/H101</f>
        <v>4.9023684210526319</v>
      </c>
      <c r="I102" s="2888">
        <f>1.8629/I101</f>
        <v>4.9023684210526319</v>
      </c>
      <c r="J102" s="2888">
        <f>1.942/J101</f>
        <v>5.1105263157894738</v>
      </c>
      <c r="K102" s="2888">
        <f>1.942/K101</f>
        <v>5.1105263157894738</v>
      </c>
      <c r="L102" s="2888">
        <f>1.942/L101</f>
        <v>5.1105263157894738</v>
      </c>
      <c r="M102" s="2888">
        <f>1.942/M101</f>
        <v>5.1105263157894738</v>
      </c>
      <c r="N102" s="2888">
        <f>1.942/N101</f>
        <v>5.1105263157894738</v>
      </c>
    </row>
    <row r="103" spans="1:14">
      <c r="A103" s="3248"/>
      <c r="B103" s="2887">
        <v>2</v>
      </c>
      <c r="C103" s="2888">
        <f>1.4198/C101</f>
        <v>3.736315789473684</v>
      </c>
      <c r="D103" s="2888">
        <f>1.4198/D101</f>
        <v>3.736315789473684</v>
      </c>
      <c r="E103" s="2888">
        <f>1.3372/E101</f>
        <v>3.5189473684210526</v>
      </c>
      <c r="F103" s="2888">
        <f>1.3372/F101</f>
        <v>3.5189473684210526</v>
      </c>
      <c r="G103" s="2888">
        <f>1.3372/G101</f>
        <v>3.5189473684210526</v>
      </c>
      <c r="H103" s="2888">
        <f>1.3372/H101</f>
        <v>3.5189473684210526</v>
      </c>
      <c r="I103" s="2888">
        <f>1.3372/I101</f>
        <v>3.5189473684210526</v>
      </c>
      <c r="J103" s="2888">
        <f>1.2799/J101</f>
        <v>3.368157894736842</v>
      </c>
      <c r="K103" s="2888">
        <f>1.2799/K101</f>
        <v>3.368157894736842</v>
      </c>
      <c r="L103" s="2888">
        <f>1.2799/L101</f>
        <v>3.368157894736842</v>
      </c>
      <c r="M103" s="2888">
        <f>1.2799/M101</f>
        <v>3.368157894736842</v>
      </c>
      <c r="N103" s="2888">
        <f>1.2799/N101</f>
        <v>3.368157894736842</v>
      </c>
    </row>
    <row r="104" spans="1:14">
      <c r="A104" s="3248"/>
      <c r="B104" s="2887">
        <v>3</v>
      </c>
      <c r="C104" s="2888">
        <f>1.1594/C101</f>
        <v>3.0510526315789472</v>
      </c>
      <c r="D104" s="2888">
        <f>1.1594/D101</f>
        <v>3.0510526315789472</v>
      </c>
      <c r="E104" s="2888">
        <f>1.0788/E101</f>
        <v>2.8389473684210524</v>
      </c>
      <c r="F104" s="2888">
        <f>1.0788/F101</f>
        <v>2.8389473684210524</v>
      </c>
      <c r="G104" s="2888">
        <f>1.0788/G101</f>
        <v>2.8389473684210524</v>
      </c>
      <c r="H104" s="2888">
        <f>1.0788/H101</f>
        <v>2.8389473684210524</v>
      </c>
      <c r="I104" s="2888">
        <f>1.0788/I101</f>
        <v>2.8389473684210524</v>
      </c>
      <c r="J104" s="2888">
        <f>1.0072/J101</f>
        <v>2.6505263157894738</v>
      </c>
      <c r="K104" s="2888">
        <f>1.0072/K101</f>
        <v>2.6505263157894738</v>
      </c>
      <c r="L104" s="2888">
        <f>1.0072/L101</f>
        <v>2.6505263157894738</v>
      </c>
      <c r="M104" s="2888">
        <f>1.0072/M101</f>
        <v>2.6505263157894738</v>
      </c>
      <c r="N104" s="2888">
        <f>1.0072/N101</f>
        <v>2.6505263157894738</v>
      </c>
    </row>
    <row r="105" spans="1:14">
      <c r="A105" s="3248"/>
      <c r="B105" s="2887">
        <v>4</v>
      </c>
      <c r="C105" s="2888">
        <f>0.9622/C101</f>
        <v>2.5321052631578946</v>
      </c>
      <c r="D105" s="2888">
        <f>0.9622/D101</f>
        <v>2.5321052631578946</v>
      </c>
      <c r="E105" s="2888">
        <f>0.8656/E101</f>
        <v>2.2778947368421054</v>
      </c>
      <c r="F105" s="2888">
        <f>0.8656/F101</f>
        <v>2.2778947368421054</v>
      </c>
      <c r="G105" s="2888">
        <f>0.8656/G101</f>
        <v>2.2778947368421054</v>
      </c>
      <c r="H105" s="2888">
        <f>0.8656/H101</f>
        <v>2.2778947368421054</v>
      </c>
      <c r="I105" s="2888">
        <f>0.8656/I101</f>
        <v>2.2778947368421054</v>
      </c>
      <c r="J105" s="2888">
        <f>0.7525/J101</f>
        <v>1.9802631578947367</v>
      </c>
      <c r="K105" s="2888">
        <f>0.7525/K101</f>
        <v>1.9802631578947367</v>
      </c>
      <c r="L105" s="2888">
        <f>0.7525/L101</f>
        <v>1.9802631578947367</v>
      </c>
      <c r="M105" s="2888">
        <f>0.7525/M101</f>
        <v>1.9802631578947367</v>
      </c>
      <c r="N105" s="2888">
        <f>0.7525/N101</f>
        <v>1.9802631578947367</v>
      </c>
    </row>
    <row r="106" spans="1:14">
      <c r="A106" s="3248"/>
      <c r="B106" s="2887">
        <v>5</v>
      </c>
      <c r="C106" s="2888">
        <f>0.8417/C101</f>
        <v>2.2149999999999999</v>
      </c>
      <c r="D106" s="2888">
        <f>0.8417/D101</f>
        <v>2.2149999999999999</v>
      </c>
      <c r="E106" s="2888">
        <f>0.7371/E101</f>
        <v>1.939736842105263</v>
      </c>
      <c r="F106" s="2888">
        <f>0.7371/F101</f>
        <v>1.939736842105263</v>
      </c>
      <c r="G106" s="2888">
        <f>0.7371/G101</f>
        <v>1.939736842105263</v>
      </c>
      <c r="H106" s="2888">
        <f>0.7371/H101</f>
        <v>1.939736842105263</v>
      </c>
      <c r="I106" s="2888">
        <f>0.7371/I101</f>
        <v>1.939736842105263</v>
      </c>
      <c r="J106" s="2888">
        <f>0.5659/J101</f>
        <v>1.4892105263157893</v>
      </c>
      <c r="K106" s="2888">
        <f>0.5659/K101</f>
        <v>1.4892105263157893</v>
      </c>
      <c r="L106" s="2888">
        <f>0.5659/L101</f>
        <v>1.4892105263157893</v>
      </c>
      <c r="M106" s="2888">
        <f>0.5659/M101</f>
        <v>1.4892105263157893</v>
      </c>
      <c r="N106" s="2888">
        <f>0.5659/N101</f>
        <v>1.4892105263157893</v>
      </c>
    </row>
    <row r="107" spans="1:14">
      <c r="A107" s="3248"/>
      <c r="B107" s="2887">
        <v>6</v>
      </c>
      <c r="C107" s="2888">
        <f>0.7608/C101</f>
        <v>2.0021052631578948</v>
      </c>
      <c r="D107" s="2888">
        <f>0.7608/D101</f>
        <v>2.0021052631578948</v>
      </c>
      <c r="E107" s="2888">
        <f>0.6482/E101</f>
        <v>1.7057894736842105</v>
      </c>
      <c r="F107" s="2888">
        <f>0.6482/F101</f>
        <v>1.7057894736842105</v>
      </c>
      <c r="G107" s="2888">
        <f>0.6482/G101</f>
        <v>1.7057894736842105</v>
      </c>
      <c r="H107" s="2888">
        <f>0.6482/H101</f>
        <v>1.7057894736842105</v>
      </c>
      <c r="I107" s="2888">
        <f>0.6482/I101</f>
        <v>1.7057894736842105</v>
      </c>
      <c r="J107" s="2888">
        <f>0.4525/J101</f>
        <v>1.1907894736842106</v>
      </c>
      <c r="K107" s="2888">
        <f>0.4525/K101</f>
        <v>1.1907894736842106</v>
      </c>
      <c r="L107" s="2888">
        <f>0.4525/L101</f>
        <v>1.1907894736842106</v>
      </c>
      <c r="M107" s="2888">
        <f>0.4525/M101</f>
        <v>1.1907894736842106</v>
      </c>
      <c r="N107" s="2888">
        <f>0.4525/N101</f>
        <v>1.1907894736842106</v>
      </c>
    </row>
    <row r="108" spans="1:14">
      <c r="A108" s="3248"/>
      <c r="B108" s="3076"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49"/>
      <c r="B109" s="3077"/>
      <c r="C109" s="2890">
        <f>(-0.163*(C108^2)-0.59*C108+7617)*(10^(-4))/C101</f>
        <v>2.0044736842105264</v>
      </c>
      <c r="D109" s="2890">
        <f>(-0.163*(D108^2)-0.59*D108+7617)*(10^(-4))/D101</f>
        <v>2.0044736842105264</v>
      </c>
      <c r="E109" s="2890">
        <f>(-0.161*(E108^2)-7.509*E108+6533)*(10^(-4))/E101</f>
        <v>1.7192105263157895</v>
      </c>
      <c r="F109" s="2890">
        <f>(-0.161*(F108^2)-7.509*F108+6533)*(10^(-4))/F101</f>
        <v>1.7192105263157895</v>
      </c>
      <c r="G109" s="2890">
        <f>(-0.161*(G108^2)-7.509*G108+6533)*(10^(-4))/G101</f>
        <v>1.7192105263157895</v>
      </c>
      <c r="H109" s="2890">
        <f>(-0.161*(H108^2)-7.509*H108+6533)*(10^(-4))/H101</f>
        <v>1.7192105263157895</v>
      </c>
      <c r="I109" s="2890">
        <f>(-0.161*(I108^2)-7.509*I108+6533)*(10^(-4))/I101</f>
        <v>1.7192105263157895</v>
      </c>
      <c r="J109" s="2890">
        <f>(-0.214*(J108^2)-21.991*J108+4665)*(10^(-4))/J101</f>
        <v>1.2276315789473684</v>
      </c>
      <c r="K109" s="2890">
        <f>(-0.214*(K108^2)-21.991*K108+4665)*(10^(-4))/K101</f>
        <v>1.2276315789473684</v>
      </c>
      <c r="L109" s="2890">
        <f>(-0.214*(L108^2)-21.991*L108+4665)*(10^(-4))/L101</f>
        <v>1.2276315789473684</v>
      </c>
      <c r="M109" s="2890">
        <f>(-0.214*(M108^2)-21.991*M108+4665)*(10^(-4))/M101</f>
        <v>1.2276315789473684</v>
      </c>
      <c r="N109" s="2890">
        <f>(-0.214*(N108^2)-21.991*N108+4665)*(10^(-4))/N101</f>
        <v>1.2276315789473684</v>
      </c>
    </row>
    <row r="110" spans="1:14">
      <c r="A110" s="3245" t="s">
        <v>2978</v>
      </c>
      <c r="B110" s="3245"/>
      <c r="C110" s="3245"/>
      <c r="D110" s="3245"/>
      <c r="E110" s="3245"/>
      <c r="F110" s="3245"/>
      <c r="G110" s="3245"/>
      <c r="H110" s="3245"/>
      <c r="I110" s="3245"/>
      <c r="J110" s="3245"/>
      <c r="K110" s="2893"/>
      <c r="L110" s="2893"/>
      <c r="M110" s="2893"/>
      <c r="N110" s="2893"/>
    </row>
    <row r="112" spans="1:14" ht="13.5" thickBot="1"/>
    <row r="113" spans="1:13" ht="25.5" thickBot="1">
      <c r="A113" s="903" t="s">
        <v>2979</v>
      </c>
      <c r="B113" s="1287">
        <f>G3</f>
        <v>0.38</v>
      </c>
      <c r="C113" s="904" t="s">
        <v>2980</v>
      </c>
      <c r="D113" s="905">
        <f>SUMPRODUCT((A115:A118=F113)*(B114:M114=H113)*B115:M118)</f>
        <v>0.5615</v>
      </c>
      <c r="E113" s="2724" t="s">
        <v>2813</v>
      </c>
      <c r="F113" s="2895" t="str">
        <f>E2</f>
        <v>工业</v>
      </c>
      <c r="G113" s="2724" t="s">
        <v>2814</v>
      </c>
      <c r="H113" s="2895" t="str">
        <f>G2</f>
        <v>八级</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2878</v>
      </c>
      <c r="B115" s="910">
        <f>ROUND(0.9335-0.0094*B113,4)</f>
        <v>0.92989999999999995</v>
      </c>
      <c r="C115" s="910">
        <f>B115</f>
        <v>0.92989999999999995</v>
      </c>
      <c r="D115" s="910">
        <f>ROUND(0.8331-0.0109*B113,4)</f>
        <v>0.82899999999999996</v>
      </c>
      <c r="E115" s="910">
        <f>D115</f>
        <v>0.82899999999999996</v>
      </c>
      <c r="F115" s="910">
        <f>E115</f>
        <v>0.82899999999999996</v>
      </c>
      <c r="G115" s="910">
        <f>F115</f>
        <v>0.82899999999999996</v>
      </c>
      <c r="H115" s="910">
        <f>G115</f>
        <v>0.82899999999999996</v>
      </c>
      <c r="I115" s="910">
        <f>ROUND(0.689-0.0155*B113,4)</f>
        <v>0.68310000000000004</v>
      </c>
      <c r="J115" s="910">
        <f t="shared" ref="J115:M118" si="33">I115</f>
        <v>0.68310000000000004</v>
      </c>
      <c r="K115" s="910">
        <f t="shared" si="33"/>
        <v>0.68310000000000004</v>
      </c>
      <c r="L115" s="910">
        <f t="shared" si="33"/>
        <v>0.68310000000000004</v>
      </c>
      <c r="M115" s="911">
        <f t="shared" si="33"/>
        <v>0.68310000000000004</v>
      </c>
    </row>
    <row r="116" spans="1:13">
      <c r="A116" s="909" t="s">
        <v>2879</v>
      </c>
      <c r="B116" s="910">
        <f>ROUND(0.949-0.012*B113,4)</f>
        <v>0.94440000000000002</v>
      </c>
      <c r="C116" s="910">
        <f>B116</f>
        <v>0.94440000000000002</v>
      </c>
      <c r="D116" s="910">
        <f>ROUND(0.8567-0.013*B113,4)</f>
        <v>0.8518</v>
      </c>
      <c r="E116" s="910">
        <f t="shared" ref="E116:H117" si="34">D116</f>
        <v>0.8518</v>
      </c>
      <c r="F116" s="910">
        <f t="shared" si="34"/>
        <v>0.8518</v>
      </c>
      <c r="G116" s="910">
        <f t="shared" si="34"/>
        <v>0.8518</v>
      </c>
      <c r="H116" s="910">
        <f t="shared" si="34"/>
        <v>0.8518</v>
      </c>
      <c r="I116" s="910">
        <f>ROUND(0.7694-0.014*B113,4)</f>
        <v>0.7641</v>
      </c>
      <c r="J116" s="910">
        <f t="shared" si="33"/>
        <v>0.7641</v>
      </c>
      <c r="K116" s="910">
        <f t="shared" si="33"/>
        <v>0.7641</v>
      </c>
      <c r="L116" s="910">
        <f t="shared" si="33"/>
        <v>0.7641</v>
      </c>
      <c r="M116" s="911">
        <f t="shared" si="33"/>
        <v>0.7641</v>
      </c>
    </row>
    <row r="117" spans="1:13">
      <c r="A117" s="909" t="s">
        <v>2880</v>
      </c>
      <c r="B117" s="910">
        <f>ROUND(0.8808-0.006*B113,4)</f>
        <v>0.87849999999999995</v>
      </c>
      <c r="C117" s="910">
        <f>B117</f>
        <v>0.87849999999999995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0.73760000000000003</v>
      </c>
      <c r="J117" s="910">
        <f t="shared" si="33"/>
        <v>0.73760000000000003</v>
      </c>
      <c r="K117" s="910">
        <f t="shared" si="33"/>
        <v>0.73760000000000003</v>
      </c>
      <c r="L117" s="910">
        <f t="shared" si="33"/>
        <v>0.73760000000000003</v>
      </c>
      <c r="M117" s="911">
        <f t="shared" si="33"/>
        <v>0.73760000000000003</v>
      </c>
    </row>
    <row r="118" spans="1:13" ht="13.5" thickBot="1">
      <c r="A118" s="714" t="s">
        <v>2881</v>
      </c>
      <c r="B118" s="912">
        <f>ROUND(0.7275-0.01*B113,4)</f>
        <v>0.72370000000000001</v>
      </c>
      <c r="C118" s="912">
        <f>B118</f>
        <v>0.72370000000000001</v>
      </c>
      <c r="D118" s="912">
        <f>ROUND(0.7043-0.012*B113,4)</f>
        <v>0.69969999999999999</v>
      </c>
      <c r="E118" s="912">
        <f>D118</f>
        <v>0.69969999999999999</v>
      </c>
      <c r="F118" s="912">
        <f>E118</f>
        <v>0.69969999999999999</v>
      </c>
      <c r="G118" s="912">
        <f>ROUND(0.6299-0.0122*B113,4)</f>
        <v>0.62529999999999997</v>
      </c>
      <c r="H118" s="912">
        <f>G118</f>
        <v>0.62529999999999997</v>
      </c>
      <c r="I118" s="912">
        <f>ROUND(0.5667-0.0136*B113,4)</f>
        <v>0.5615</v>
      </c>
      <c r="J118" s="912">
        <f t="shared" si="33"/>
        <v>0.5615</v>
      </c>
      <c r="K118" s="912">
        <f t="shared" si="33"/>
        <v>0.5615</v>
      </c>
      <c r="L118" s="912">
        <f t="shared" si="33"/>
        <v>0.5615</v>
      </c>
      <c r="M118" s="913">
        <f t="shared" si="33"/>
        <v>0.5615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4.1280000000000001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f ca="1">SUMIF(B6:B13,"&lt;&gt;#ref!",B6:B13)</f>
        <v>280</v>
      </c>
      <c r="C2" s="2902" t="s">
        <v>2994</v>
      </c>
      <c r="D2" s="2902" t="s">
        <v>2995</v>
      </c>
      <c r="E2" s="2903">
        <f ca="1">SUMIF(E6:E13,"&lt;&gt;#ref!",E6:E13)</f>
        <v>885.9</v>
      </c>
    </row>
    <row r="3" spans="1:5" ht="15.75">
      <c r="A3" s="2902" t="s">
        <v>2996</v>
      </c>
      <c r="B3" s="2903">
        <f ca="1">ROUND(B2*10000/E2,0)</f>
        <v>3161</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f ca="1">SUMIF(INDIRECT("'"&amp;A6&amp;"'"&amp;"!A:A"),"总价",INDIRECT("'"&amp;A6&amp;"'"&amp;"!B:B"))</f>
        <v>280</v>
      </c>
      <c r="C6" s="2902" t="s">
        <v>2994</v>
      </c>
      <c r="D6" s="2904"/>
      <c r="E6" s="2575">
        <f ca="1">SUMIF(INDIRECT("'"&amp;A6&amp;"'"&amp;"!C:C"),"建筑面积",INDIRECT("'"&amp;A6&amp;"'"&amp;"!D:D"))</f>
        <v>885.9</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 sqref="F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3051</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3049</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3052</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6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27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8">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9">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9">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0">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8">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9">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9">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0">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8" t="s">
        <v>3004</v>
      </c>
      <c r="D1" s="3279"/>
      <c r="E1" s="3279"/>
      <c r="F1" s="3279"/>
      <c r="G1" s="3279"/>
      <c r="H1" s="3279"/>
      <c r="I1" s="3279"/>
      <c r="J1" s="3279"/>
      <c r="K1" s="3279"/>
      <c r="L1" s="3279"/>
      <c r="M1" s="3279"/>
      <c r="N1" s="3279"/>
      <c r="O1" s="3279"/>
      <c r="P1" s="3279"/>
      <c r="Q1" s="3279"/>
      <c r="R1" s="3279"/>
      <c r="S1" s="328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估价结果一览表（市场价值不需“结果表-1”）</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536</v>
      </c>
      <c r="E5" s="1958"/>
    </row>
    <row r="6" spans="1:5" ht="15.75">
      <c r="A6" s="1958"/>
      <c r="B6" s="2958"/>
      <c r="C6" s="1961" t="s">
        <v>1619</v>
      </c>
      <c r="D6" s="1040" t="str">
        <f ca="1">NUMBERSTRING(INT(D5*10000),2)&amp;"元整"</f>
        <v>伍佰叁拾陆万元整</v>
      </c>
      <c r="E6" s="1958"/>
    </row>
    <row r="7" spans="1:5" ht="15.75">
      <c r="A7" s="1958"/>
      <c r="B7" s="2963"/>
      <c r="C7" s="1962" t="s">
        <v>1620</v>
      </c>
      <c r="D7" s="1041">
        <f ca="1">结果表!H102</f>
        <v>6050</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3.房地产抵押价值</v>
      </c>
      <c r="C13" s="1966" t="s">
        <v>1618</v>
      </c>
      <c r="D13" s="1043">
        <f ca="1">结果表!H107</f>
        <v>536</v>
      </c>
      <c r="E13" s="1958"/>
    </row>
    <row r="14" spans="1:5" ht="15.75">
      <c r="A14" s="1958"/>
      <c r="B14" s="2958"/>
      <c r="C14" s="1961" t="s">
        <v>1619</v>
      </c>
      <c r="D14" s="1040" t="str">
        <f ca="1">NUMBERSTRING(INT(D13*10000),2)&amp;"元整"</f>
        <v>伍佰叁拾陆万元整</v>
      </c>
      <c r="E14" s="1958"/>
    </row>
    <row r="15" spans="1:5" ht="15">
      <c r="A15" s="1958"/>
      <c r="B15" s="2963"/>
      <c r="C15" s="1962" t="s">
        <v>1629</v>
      </c>
      <c r="D15" s="1052">
        <f ca="1">结果表!H108</f>
        <v>6050</v>
      </c>
      <c r="E15" s="1958"/>
    </row>
    <row r="16" spans="1:5" ht="15">
      <c r="A16" s="1958"/>
      <c r="B16" s="2964" t="str">
        <f>结果表!E109</f>
        <v>——</v>
      </c>
      <c r="C16" s="1966" t="s">
        <v>1630</v>
      </c>
      <c r="D16" s="1967" t="str">
        <f>结果表!H109</f>
        <v>——</v>
      </c>
      <c r="E16" s="1958"/>
    </row>
    <row r="17" spans="1:5" ht="15.75">
      <c r="A17" s="1958"/>
      <c r="B17" s="2965"/>
      <c r="C17" s="1961" t="s">
        <v>1631</v>
      </c>
      <c r="D17" s="1040" t="e">
        <f>NUMBERSTRING(INT(D16*10000),2)&amp;"元整"</f>
        <v>#VALUE!</v>
      </c>
      <c r="E17" s="1958"/>
    </row>
    <row r="18" spans="1:5" ht="15">
      <c r="A18" s="1958"/>
      <c r="B18" s="2966"/>
      <c r="C18" s="1962" t="s">
        <v>1620</v>
      </c>
      <c r="D18" s="1052" t="str">
        <f>结果表!H110</f>
        <v>——</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27339</v>
      </c>
      <c r="C2" s="2" t="s">
        <v>133</v>
      </c>
      <c r="D2" s="243"/>
      <c r="E2" s="243"/>
      <c r="F2" s="243"/>
      <c r="G2" s="243"/>
    </row>
    <row r="3" spans="1:7" s="244" customFormat="1" ht="18" customHeight="1" thickBot="1">
      <c r="A3" s="247" t="s">
        <v>85</v>
      </c>
      <c r="B3" s="248">
        <f ca="1">ROUND(B2*10000/'数据-汇总表'!E3,0)</f>
        <v>308601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v>
      </c>
      <c r="D10" s="1032">
        <f>'数据-汇总表'!E6</f>
        <v>885.9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v>
      </c>
      <c r="D19" s="1036">
        <f>'数据-汇总表'!E3</f>
        <v>885.9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3156</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3156</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182</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v>
      </c>
      <c r="D37" s="261">
        <f>'数据-汇总表'!E3</f>
        <v>885.9</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5</v>
      </c>
      <c r="D42" s="282"/>
      <c r="E42" s="282"/>
      <c r="F42" s="283"/>
      <c r="G42" s="3142" t="s">
        <v>121</v>
      </c>
    </row>
    <row r="43" spans="1:7" ht="13.5" customHeight="1">
      <c r="A43" s="951" t="s">
        <v>792</v>
      </c>
      <c r="B43" s="259" t="s">
        <v>1061</v>
      </c>
      <c r="C43" s="282">
        <f ca="1">ROUND(IF('数据-取费表'!B22&lt;=1,C39*F22*'数据-取费表'!B21/2,C39*(POWER((1+F22),'数据-取费表'!B21/2)-1)),0)</f>
        <v>0</v>
      </c>
      <c r="D43" s="282"/>
      <c r="E43" s="282"/>
      <c r="F43" s="283"/>
      <c r="G43" s="3143"/>
    </row>
    <row r="44" spans="1:7" ht="13.5" customHeight="1">
      <c r="A44" s="951" t="s">
        <v>793</v>
      </c>
      <c r="B44" s="259" t="s">
        <v>1063</v>
      </c>
      <c r="C44" s="282">
        <f ca="1">ROUND(IF('数据-取费表'!B22&lt;=1,C40*F22*'数据-取费表'!B21/2,C40*(POWER((1+F22),'数据-取费表'!B21/2)-1)),4)</f>
        <v>4.0000000000000002E-4</v>
      </c>
      <c r="D44" s="282"/>
      <c r="E44" s="282"/>
      <c r="F44" s="283"/>
      <c r="G44" s="3144"/>
    </row>
    <row r="45" spans="1:7" s="258" customFormat="1" ht="13.5" customHeight="1">
      <c r="A45" s="948" t="s">
        <v>786</v>
      </c>
      <c r="B45" s="288" t="s">
        <v>112</v>
      </c>
      <c r="C45" s="289">
        <f>C46</f>
        <v>32</v>
      </c>
      <c r="D45" s="279">
        <f>C47</f>
        <v>3.0000000000000001E-3</v>
      </c>
      <c r="E45" s="280" t="s">
        <v>129</v>
      </c>
      <c r="F45" s="290"/>
      <c r="G45" s="291" t="s">
        <v>1069</v>
      </c>
    </row>
    <row r="46" spans="1:7" s="258" customFormat="1" ht="13.5" customHeight="1">
      <c r="A46" s="951" t="s">
        <v>794</v>
      </c>
      <c r="B46" s="292" t="s">
        <v>1062</v>
      </c>
      <c r="C46" s="293">
        <f>ROUND((C33+C39)*F27,0)</f>
        <v>32</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272</v>
      </c>
      <c r="D49" s="276"/>
      <c r="E49" s="276"/>
      <c r="F49" s="308"/>
      <c r="G49" s="278" t="s">
        <v>1070</v>
      </c>
    </row>
    <row r="50" spans="1:7" s="302" customFormat="1" ht="24">
      <c r="A50" s="948" t="s">
        <v>789</v>
      </c>
      <c r="B50" s="254" t="s">
        <v>124</v>
      </c>
      <c r="C50" s="276"/>
      <c r="D50" s="276"/>
      <c r="E50" s="276"/>
      <c r="F50" s="308">
        <f>IF('数据-取费表'!B24=0,'数据-取费表'!N16,1)</f>
        <v>0.65</v>
      </c>
      <c r="G50" s="291" t="s">
        <v>125</v>
      </c>
    </row>
    <row r="51" spans="1:7" ht="16.5" customHeight="1">
      <c r="A51" s="948" t="s">
        <v>790</v>
      </c>
      <c r="B51" s="254" t="s">
        <v>132</v>
      </c>
      <c r="C51" s="276">
        <f ca="1">ROUND(C49*F50,0)</f>
        <v>177</v>
      </c>
      <c r="D51" s="276"/>
      <c r="E51" s="276"/>
      <c r="F51" s="308"/>
      <c r="G51" s="278" t="s">
        <v>64</v>
      </c>
    </row>
    <row r="52" spans="1:7" s="252" customFormat="1" ht="16.5" thickBot="1">
      <c r="A52" s="309" t="s">
        <v>65</v>
      </c>
      <c r="B52" s="310"/>
      <c r="C52" s="311">
        <f ca="1">C31+C51</f>
        <v>27339</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43756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 sqref="A20"/>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估价结果一览表</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房地产市场价值</v>
      </c>
      <c r="I2" s="2968"/>
    </row>
    <row r="3" spans="1:9" ht="15">
      <c r="A3" s="2969"/>
      <c r="B3" s="2969"/>
      <c r="C3" s="2969"/>
      <c r="D3" s="1044" t="s">
        <v>1633</v>
      </c>
      <c r="E3" s="1044" t="s">
        <v>1639</v>
      </c>
      <c r="F3" s="1044" t="s">
        <v>1633</v>
      </c>
      <c r="G3" s="1044" t="s">
        <v>1634</v>
      </c>
      <c r="H3" s="1044" t="s">
        <v>1633</v>
      </c>
      <c r="I3" s="1044" t="s">
        <v>1634</v>
      </c>
    </row>
    <row r="4" spans="1:9" ht="30">
      <c r="A4" s="1972" t="str">
        <f>项目基本情况!S2</f>
        <v>北京市出让国有建设用地使用权及在建建筑物房地产</v>
      </c>
      <c r="B4" s="1044">
        <f>项目基本情况!C17</f>
        <v>885.9</v>
      </c>
      <c r="C4" s="1044">
        <f>项目基本情况!C18</f>
        <v>2337</v>
      </c>
      <c r="D4" s="1044" t="e">
        <f ca="1">结果表!D118</f>
        <v>#REF!</v>
      </c>
      <c r="E4" s="1044" t="e">
        <f ca="1">结果表!E118</f>
        <v>#REF!</v>
      </c>
      <c r="F4" s="1044" t="e">
        <f ca="1">结果表!F118</f>
        <v>#REF!</v>
      </c>
      <c r="G4" s="1044" t="e">
        <f ca="1">结果表!G118</f>
        <v>#REF!</v>
      </c>
      <c r="H4" s="1044">
        <f ca="1">结果表!H118</f>
        <v>536</v>
      </c>
      <c r="I4" s="1044">
        <f ca="1">结果表!I118</f>
        <v>6050</v>
      </c>
    </row>
    <row r="5" spans="1:9" ht="30" customHeight="1">
      <c r="A5" s="2969" t="s">
        <v>1635</v>
      </c>
      <c r="B5" s="2969"/>
      <c r="C5" s="2969"/>
      <c r="D5" s="2970" t="e">
        <f ca="1">结果表!D119</f>
        <v>#REF!</v>
      </c>
      <c r="E5" s="2970"/>
      <c r="F5" s="2970" t="e">
        <f ca="1">结果表!F119</f>
        <v>#REF!</v>
      </c>
      <c r="G5" s="2970"/>
      <c r="H5" s="2970" t="str">
        <f ca="1">结果表!H119</f>
        <v>伍佰叁拾陆万元整</v>
      </c>
      <c r="I5" s="2970"/>
    </row>
    <row r="6" spans="1:9" ht="15.75">
      <c r="A6" s="2971" t="str">
        <f>结果表!A120</f>
        <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
      </c>
      <c r="B8" s="2971"/>
      <c r="C8" s="2971"/>
      <c r="D8" s="2971">
        <f ca="1">结果表!D122</f>
        <v>536</v>
      </c>
      <c r="E8" s="2971"/>
      <c r="F8" s="2971"/>
      <c r="G8" s="2971"/>
      <c r="H8" s="2971"/>
      <c r="I8" s="2971"/>
    </row>
    <row r="9" spans="1:9" ht="15">
      <c r="A9" s="2969" t="s">
        <v>1635</v>
      </c>
      <c r="B9" s="2969"/>
      <c r="C9" s="2969"/>
      <c r="D9" s="2970" t="str">
        <f ca="1">结果表!D123</f>
        <v>伍佰叁拾陆万元整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81" t="str">
        <f>IF(项目基本情况!B8="抵押","3.抵押双方在办理抵押登记手续时，应使用本公司出具的正式《房地产评估报告》，特提醒报告使用者注意。","——")</f>
        <v>——</v>
      </c>
      <c r="B13" s="2982"/>
      <c r="C13" s="2982"/>
      <c r="D13" s="2982"/>
    </row>
    <row r="14" spans="1:4" ht="15.75" customHeight="1">
      <c r="A14" s="2981" t="str">
        <f>IF(项目基本情况!B8="抵押","4.本次评估估价师所知悉的法定优先受偿款情况说明如下：","——")</f>
        <v>——</v>
      </c>
      <c r="B14" s="2982"/>
      <c r="C14" s="2982"/>
      <c r="D14" s="2982"/>
    </row>
    <row r="15" spans="1:4" ht="42" customHeight="1">
      <c r="A15" s="2981" t="str">
        <f>IF(项目基本情况!B8="抵押","（1）"&amp;CONCATENATE(项目基本情况!L20,项目基本情况!L21,项目基本情况!L22),"——")</f>
        <v>——</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43809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3044</v>
      </c>
      <c r="B14" s="1022">
        <f ca="1">IF(C14&lt;B2,"已过期",1120040230)</f>
        <v>1120040230</v>
      </c>
      <c r="C14" s="2348">
        <v>43835</v>
      </c>
      <c r="D14" s="2351" t="s">
        <v>3044</v>
      </c>
      <c r="E14" s="1022">
        <f ca="1">IF(F14&lt;B2,"已过期",98030020)</f>
        <v>98030020</v>
      </c>
      <c r="F14" s="1030">
        <v>47118</v>
      </c>
    </row>
    <row r="15" spans="1:6" ht="24" customHeight="1">
      <c r="A15" s="1703" t="s">
        <v>3045</v>
      </c>
      <c r="B15" s="1022">
        <f ca="1">IF(C15&lt;B2,"已过期",1120070085)</f>
        <v>1120070085</v>
      </c>
      <c r="C15" s="2348">
        <v>43814</v>
      </c>
      <c r="D15" s="2352" t="s">
        <v>3045</v>
      </c>
      <c r="E15" s="1022">
        <f ca="1">IF(F15&lt;B2,"已过期",2004110128)</f>
        <v>2004110128</v>
      </c>
      <c r="F15" s="1023">
        <v>47118</v>
      </c>
    </row>
    <row r="16" spans="1:6" ht="24" customHeight="1">
      <c r="A16" s="1702" t="s">
        <v>3046</v>
      </c>
      <c r="B16" s="1022">
        <f ca="1">IF(C16&lt;B2,"已过期",1120140022)</f>
        <v>1120140022</v>
      </c>
      <c r="C16" s="2928">
        <v>44029</v>
      </c>
      <c r="D16" s="2351" t="s">
        <v>3046</v>
      </c>
      <c r="E16" s="1022">
        <f ca="1">IF(F16&lt;B2,"已过期",2008110059)</f>
        <v>2008110059</v>
      </c>
      <c r="F16" s="1030">
        <v>47177</v>
      </c>
    </row>
    <row r="17" spans="1:7" ht="24" customHeight="1">
      <c r="A17" s="1702"/>
      <c r="B17" s="1022"/>
      <c r="C17" s="2348"/>
      <c r="D17" s="2351" t="s">
        <v>3047</v>
      </c>
      <c r="E17" s="1022">
        <f ca="1">IF(F17&lt;B2,"已过期",2014110076)</f>
        <v>2014110076</v>
      </c>
      <c r="F17" s="1030">
        <v>49302</v>
      </c>
    </row>
    <row r="18" spans="1:7" ht="24" customHeight="1">
      <c r="A18" s="1702" t="s">
        <v>3055</v>
      </c>
      <c r="B18" s="1022">
        <v>1120190079</v>
      </c>
      <c r="C18" s="2928">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8">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4" t="s">
        <v>846</v>
      </c>
      <c r="E27" s="1021" t="s">
        <v>847</v>
      </c>
      <c r="F27" s="1021" t="s">
        <v>848</v>
      </c>
    </row>
    <row r="28" spans="1:7" s="1027" customFormat="1" ht="24" customHeight="1">
      <c r="A28" s="1028" t="s">
        <v>849</v>
      </c>
      <c r="B28" s="1029" t="s">
        <v>850</v>
      </c>
      <c r="C28" s="1030">
        <v>44820</v>
      </c>
      <c r="D28" s="2355" t="s">
        <v>851</v>
      </c>
      <c r="E28" s="1028" t="s">
        <v>852</v>
      </c>
      <c r="F28" s="1058">
        <v>44377</v>
      </c>
    </row>
    <row r="29" spans="1:7" s="1027" customFormat="1" ht="24" customHeight="1">
      <c r="A29" s="1028"/>
      <c r="B29" s="1028"/>
      <c r="C29" s="2353"/>
      <c r="D29" s="2355" t="s">
        <v>853</v>
      </c>
      <c r="E29" s="1202" t="s">
        <v>3056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2019-12-10T08:34:40Z</dcterms:modified>
</cp:coreProperties>
</file>