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r:id="rId23"/>
    <sheet name="不动产比较法-住宅"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23" hidden="1">'不动产比较法-住宅'!$A$1:$L$49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 localSheetId="23">'[1]不动产比较法-办公'!$B$119:$M$119</definedName>
    <definedName name="办公层高" localSheetId="21">'[1]不动产比较法-办公'!$B$119:$M$119</definedName>
    <definedName name="办公层高">'比较法-办公'!$B$119:$M$119</definedName>
    <definedName name="办公朝向" localSheetId="23">'[1]不动产比较法-办公'!$B$91:$M$91</definedName>
    <definedName name="办公朝向" localSheetId="21">'[1]不动产比较法-办公'!$B$91:$M$91</definedName>
    <definedName name="办公朝向">'比较法-办公'!$B$91:$M$91</definedName>
    <definedName name="办公道路级别" localSheetId="23">'[1]不动产比较法-办公'!$B$87:$M$87</definedName>
    <definedName name="办公道路级别" localSheetId="21">'[1]不动产比较法-办公'!$B$87:$M$87</definedName>
    <definedName name="办公道路级别">'比较法-办公'!$B$87:$M$87</definedName>
    <definedName name="办公公共部分装修" localSheetId="23">'[1]不动产比较法-办公'!$B$108:$M$108</definedName>
    <definedName name="办公公共部分装修" localSheetId="21">'[1]不动产比较法-办公'!$B$108:$M$108</definedName>
    <definedName name="办公公共部分装修">'比较法-办公'!$B$108:$M$108</definedName>
    <definedName name="办公基础设施水平" localSheetId="23">'[1]不动产比较法-办公'!$B$117:$M$117</definedName>
    <definedName name="办公基础设施水平" localSheetId="21">'[1]不动产比较法-办公'!$B$117:$M$117</definedName>
    <definedName name="办公基础设施水平">'比较法-办公'!$B$117:$M$117</definedName>
    <definedName name="办公集聚程度" localSheetId="23">[1]定义!$M$1:$M$6</definedName>
    <definedName name="办公集聚程度" localSheetId="21">[1]定义!$M$1:$M$6</definedName>
    <definedName name="办公集聚程度">定义!$M$1:$M$6</definedName>
    <definedName name="办公建筑结构" localSheetId="23">'[1]不动产比较法-办公'!$B$106:$M$106</definedName>
    <definedName name="办公建筑结构" localSheetId="21">'[1]不动产比较法-办公'!$B$106:$M$106</definedName>
    <definedName name="办公建筑结构">'比较法-办公'!$B$106:$M$106</definedName>
    <definedName name="办公建筑类型" localSheetId="23">'[1]不动产比较法-办公'!$B$101:$M$101</definedName>
    <definedName name="办公建筑类型" localSheetId="21">'[1]不动产比较法-办公'!$B$101:$M$101</definedName>
    <definedName name="办公建筑类型">'比较法-办公'!$B$101:$M$101</definedName>
    <definedName name="办公交易情况" localSheetId="23">'[1]不动产比较法-办公'!$A$62:$M$62</definedName>
    <definedName name="办公交易情况" localSheetId="21">'[1]不动产比较法-办公'!$A$62:$M$62</definedName>
    <definedName name="办公交易情况">'比较法-办公'!$A$62:$M$62</definedName>
    <definedName name="办公楼层" localSheetId="23">'[1]不动产比较法-办公'!$B$89:$M$89</definedName>
    <definedName name="办公楼层" localSheetId="21">'[1]不动产比较法-办公'!$B$89:$M$89</definedName>
    <definedName name="办公楼层">'比较法-办公'!$B$89:$M$89</definedName>
    <definedName name="办公内部装修" localSheetId="23">'[1]不动产比较法-办公'!$B$123:$M$123</definedName>
    <definedName name="办公内部装修" localSheetId="21">'[1]不动产比较法-办公'!$B$123:$M$123</definedName>
    <definedName name="办公内部装修">'比较法-办公'!$B$123:$M$123</definedName>
    <definedName name="办公物业管理" localSheetId="23">'[1]不动产比较法-办公'!$B$115:$M$115</definedName>
    <definedName name="办公物业管理" localSheetId="21">'[1]不动产比较法-办公'!$B$115:$M$115</definedName>
    <definedName name="办公物业管理">'比较法-办公'!$B$115:$M$115</definedName>
    <definedName name="办公用途" localSheetId="23">'[1]不动产比较法-办公'!$B$64:$M$64</definedName>
    <definedName name="办公用途" localSheetId="21">'[1]不动产比较法-办公'!$B$64:$M$64</definedName>
    <definedName name="办公用途">'比较法-办公'!$B$64:$M$64</definedName>
    <definedName name="仓储公共部分装修" localSheetId="23">'[1]不动产比较法-仓储'!$B$77:$M$77</definedName>
    <definedName name="仓储公共部分装修" localSheetId="21">'[1]不动产比较法-仓储'!$B$77:$M$77</definedName>
    <definedName name="仓储公共部分装修">'比较法-仓储'!$B$77:$M$77</definedName>
    <definedName name="仓储交易情况" localSheetId="23">'[1]不动产比较法-仓储'!$A$49:$M$49</definedName>
    <definedName name="仓储交易情况" localSheetId="21">'[1]不动产比较法-仓储'!$A$49:$M$49</definedName>
    <definedName name="仓储交易情况">'比较法-仓储'!$A$49:$M$49</definedName>
    <definedName name="仓储楼层" localSheetId="23">'[1]不动产比较法-仓储'!$B$69:$M$69</definedName>
    <definedName name="仓储楼层" localSheetId="21">'[1]不动产比较法-仓储'!$B$69:$M$69</definedName>
    <definedName name="仓储楼层">'比较法-仓储'!$B$69:$M$69</definedName>
    <definedName name="仓储物业等级" localSheetId="23">'[1]不动产比较法-仓储'!$B$82:$M$82</definedName>
    <definedName name="仓储物业等级" localSheetId="21">'[1]不动产比较法-仓储'!$B$82:$M$82</definedName>
    <definedName name="仓储物业等级">'比较法-仓储'!$B$82:$M$82</definedName>
    <definedName name="仓储用途" localSheetId="23">'[1]不动产比较法-仓储'!$B$51:$M$51</definedName>
    <definedName name="仓储用途" localSheetId="21">'[1]不动产比较法-仓储'!$B$51:$M$51</definedName>
    <definedName name="仓储用途">'比较法-仓储'!$B$51:$M$51</definedName>
    <definedName name="产业集聚程度" localSheetId="23">[1]定义!$N$1:$N$6</definedName>
    <definedName name="产业集聚程度" localSheetId="21">[1]定义!$N$1:$N$6</definedName>
    <definedName name="产业集聚程度">定义!$N$1:$N$6</definedName>
    <definedName name="车位公共部分装修" localSheetId="23">'[1]不动产比较法-车位'!$B$83:$M$83</definedName>
    <definedName name="车位公共部分装修" localSheetId="21">'[1]不动产比较法-车位'!$B$83:$M$83</definedName>
    <definedName name="车位公共部分装修">'比较法-车位'!$B$83:$M$83</definedName>
    <definedName name="车位交易情况" localSheetId="23">'[1]不动产比较法-车位'!$A$51:$M$51</definedName>
    <definedName name="车位交易情况" localSheetId="21">'[1]不动产比较法-车位'!$A$51:$M$51</definedName>
    <definedName name="车位交易情况">'比较法-车位'!$A$51:$M$51</definedName>
    <definedName name="车位类型" localSheetId="23">'[1]不动产比较法-车位'!$B$93:$M$93</definedName>
    <definedName name="车位类型" localSheetId="21">'[1]不动产比较法-车位'!$B$93:$M$93</definedName>
    <definedName name="车位类型">'比较法-车位'!$B$93:$M$93</definedName>
    <definedName name="车位楼层" localSheetId="23">'[1]不动产比较法-车位'!$B$71:$M$71</definedName>
    <definedName name="车位楼层" localSheetId="21">'[1]不动产比较法-车位'!$B$71:$M$71</definedName>
    <definedName name="车位楼层">'比较法-车位'!$B$71:$M$71</definedName>
    <definedName name="车位配套类型" localSheetId="23">'[1]不动产比较法-车位'!$B$79:$M$79</definedName>
    <definedName name="车位配套类型" localSheetId="21">'[1]不动产比较法-车位'!$B$79:$M$79</definedName>
    <definedName name="车位配套类型">'比较法-车位'!$B$79:$M$79</definedName>
    <definedName name="车位物业等级" localSheetId="23">'[1]不动产比较法-车位'!$B$88:$M$88</definedName>
    <definedName name="车位物业等级" localSheetId="21">'[1]不动产比较法-车位'!$B$88:$M$88</definedName>
    <definedName name="车位物业等级">'比较法-车位'!$B$88:$M$88</definedName>
    <definedName name="车位用途" localSheetId="23">'[1]不动产比较法-车位'!$B$53:$M$53</definedName>
    <definedName name="车位用途" localSheetId="21">'[1]不动产比较法-车位'!$B$53:$M$53</definedName>
    <definedName name="车位用途">'比较法-车位'!$B$53:$M$53</definedName>
    <definedName name="城镇土地纳税等级分级范围" localSheetId="23">'[1]数据-取费表'!$A$53:$A$63</definedName>
    <definedName name="城镇土地纳税等级分级范围" localSheetId="21">'[1]数据-取费表'!$A$53:$A$63</definedName>
    <definedName name="城镇土地纳税等级分级范围">'数据-取费表'!$A$53:$A$63</definedName>
    <definedName name="单价内涵" localSheetId="23">[1]定义!$V$1:$V$3</definedName>
    <definedName name="单价内涵" localSheetId="21">[1]定义!$V$1:$V$3</definedName>
    <definedName name="单价内涵">定义!$V$1:$V$3</definedName>
    <definedName name="地类判定" localSheetId="23">[1]定义!$H$1:$H$9</definedName>
    <definedName name="地类判定" localSheetId="21">[1]定义!$H$1:$H$9</definedName>
    <definedName name="地类判定">定义!$H$1:$H$9</definedName>
    <definedName name="二级">区片价!$I$1:$I$20</definedName>
    <definedName name="二级分类" localSheetId="23">[1]修正!$C$17:$C$39</definedName>
    <definedName name="二级分类" localSheetId="21">[1]修正!$C$17:$C$39</definedName>
    <definedName name="二级分类">修正!$C$17:$C$39</definedName>
    <definedName name="法定最高年限" localSheetId="23">[1]定义!$G$2:$G$4</definedName>
    <definedName name="法定最高年限" localSheetId="21">[1]定义!$G$2:$G$4</definedName>
    <definedName name="法定最高年限">定义!$G$1:$G$4</definedName>
    <definedName name="工业公共部分装修" localSheetId="23">'[1]不动产比较法-工业'!$B$95:$M$95</definedName>
    <definedName name="工业公共部分装修" localSheetId="21">'[1]不动产比较法-工业'!$B$95:$M$95</definedName>
    <definedName name="工业公共部分装修">'比较法-工业'!$B$95:$M$95</definedName>
    <definedName name="工业基础设施水平" localSheetId="23">'[1]不动产比较法-工业'!$B$102:$M$102</definedName>
    <definedName name="工业基础设施水平" localSheetId="21">'[1]不动产比较法-工业'!$B$102:$M$102</definedName>
    <definedName name="工业基础设施水平">'比较法-工业'!$B$102:$M$102</definedName>
    <definedName name="工业建筑结构" localSheetId="23">'[1]不动产比较法-工业'!$B$93:$M$93</definedName>
    <definedName name="工业建筑结构" localSheetId="21">'[1]不动产比较法-工业'!$B$93:$M$93</definedName>
    <definedName name="工业建筑结构">'比较法-工业'!$B$93:$M$93</definedName>
    <definedName name="工业建筑类型" localSheetId="23">'[1]不动产比较法-工业'!$B$88:$M$88</definedName>
    <definedName name="工业建筑类型" localSheetId="21">'[1]不动产比较法-工业'!$B$88:$M$88</definedName>
    <definedName name="工业建筑类型">'比较法-工业'!$B$88:$M$88</definedName>
    <definedName name="工业交易情况" localSheetId="23">'[1]不动产比较法-工业'!$A$55:$M$55</definedName>
    <definedName name="工业交易情况" localSheetId="21">'[1]不动产比较法-工业'!$A$55:$M$55</definedName>
    <definedName name="工业交易情况">'比较法-工业'!$A$55:$M$55</definedName>
    <definedName name="工业内部装修" localSheetId="23">'[1]不动产比较法-工业'!$B$104:$M$104</definedName>
    <definedName name="工业内部装修" localSheetId="21">'[1]不动产比较法-工业'!$B$104:$M$104</definedName>
    <definedName name="工业内部装修">'比较法-工业'!$B$104:$M$104</definedName>
    <definedName name="工业物业管理" localSheetId="23">'[1]不动产比较法-工业'!$B$100:$M$100</definedName>
    <definedName name="工业物业管理" localSheetId="21">'[1]不动产比较法-工业'!$B$100:$M$100</definedName>
    <definedName name="工业物业管理">'比较法-工业'!$B$100:$M$100</definedName>
    <definedName name="工业用途" localSheetId="23">'[1]不动产比较法-工业'!$B$57:$M$57</definedName>
    <definedName name="工业用途" localSheetId="21">'[1]不动产比较法-工业'!$B$57:$M$57</definedName>
    <definedName name="工业用途">'比较法-工业'!$B$57:$M$57</definedName>
    <definedName name="公共配套设施" localSheetId="23">[1]定义!$Q$1:$Q$6</definedName>
    <definedName name="公共配套设施" localSheetId="21">[1]定义!$Q$1:$Q$6</definedName>
    <definedName name="公共配套设施">定义!$Q$1:$Q$6</definedName>
    <definedName name="估价方法" localSheetId="23">[1]定义!$B$1:$B$50</definedName>
    <definedName name="估价方法" localSheetId="21">[1]定义!$B$1:$B$50</definedName>
    <definedName name="估价方法">定义!$B$1:$B$50</definedName>
    <definedName name="环境" localSheetId="23">[1]定义!$S$1:$S$6</definedName>
    <definedName name="环境" localSheetId="21">[1]定义!$S$1:$S$6</definedName>
    <definedName name="环境">定义!$S$1:$S$6</definedName>
    <definedName name="基础设施水平" localSheetId="23">[1]定义!$R$1:$R$6</definedName>
    <definedName name="基础设施水平" localSheetId="21">[1]定义!$R$1:$R$6</definedName>
    <definedName name="基础设施水平">定义!$R$1:$R$6</definedName>
    <definedName name="季度">基准地价修正!$Q$19:$AD$19</definedName>
    <definedName name="价值类型2" localSheetId="23">[1]定义!$B$54:$B$56</definedName>
    <definedName name="价值类型2" localSheetId="21">[1]定义!$B$54:$B$56</definedName>
    <definedName name="价值类型2">定义!$B$54:$B$56</definedName>
    <definedName name="交通便捷度" localSheetId="23">[1]定义!$O$1:$O$6</definedName>
    <definedName name="交通便捷度" localSheetId="21">[1]定义!$O$1:$O$6</definedName>
    <definedName name="交通便捷度">定义!$O$1:$O$6</definedName>
    <definedName name="九级">区片价!$P$1:$P$46</definedName>
    <definedName name="居住社区成熟度" localSheetId="23">[1]定义!$K$1:$K$6</definedName>
    <definedName name="居住社区成熟度" localSheetId="21">[1]定义!$K$1:$K$6</definedName>
    <definedName name="居住社区成熟度">定义!$K$1:$K$6</definedName>
    <definedName name="类别" localSheetId="23">[1]定义!$J$1:$J$3</definedName>
    <definedName name="类别" localSheetId="21">[1]定义!$J$1:$J$3</definedName>
    <definedName name="类别">定义!$J$1:$J$3</definedName>
    <definedName name="临街状况" localSheetId="23">[1]定义!$T$1:$T$5</definedName>
    <definedName name="临街状况" localSheetId="21">[1]定义!$T$1:$T$5</definedName>
    <definedName name="临街状况">定义!$T$1:$T$5</definedName>
    <definedName name="六级">区片价!$M$1:$M$49</definedName>
    <definedName name="内部装修维护情况" localSheetId="23">[1]定义!$U$1:$U$6</definedName>
    <definedName name="内部装修维护情况" localSheetId="21">[1]定义!$U$1:$U$6</definedName>
    <definedName name="内部装修维护情况">定义!$U$1:$U$6</definedName>
    <definedName name="判定" localSheetId="23">[1]定义!$D$1:$D$4</definedName>
    <definedName name="判定" localSheetId="21">[1]定义!$D$1:$D$4</definedName>
    <definedName name="判定">定义!$D$1:$D$4</definedName>
    <definedName name="七级">区片价!$N$1:$N$49</definedName>
    <definedName name="七通一平" localSheetId="23">[1]修正!$A$6:$A$14</definedName>
    <definedName name="七通一平" localSheetId="21">[1]修正!$A$6:$A$14</definedName>
    <definedName name="七通一平">修正!$A$6:$A$14</definedName>
    <definedName name="区域土地利用方向" localSheetId="23">[1]定义!$P$1:$P$6</definedName>
    <definedName name="区域土地利用方向" localSheetId="21">[1]定义!$P$1:$P$6</definedName>
    <definedName name="区域土地利用方向">定义!$P$1:$P$6</definedName>
    <definedName name="三级">区片价!$J$1:$J$21</definedName>
    <definedName name="商业层高" localSheetId="23">'[1]不动产比较法-商业'!$B$116:$M$116</definedName>
    <definedName name="商业层高" localSheetId="21">'[1]不动产比较法-商业'!$B$116:$M$116</definedName>
    <definedName name="商业层高">'比较法-商业'!$B$116:$M$116</definedName>
    <definedName name="商业成新度">'比较法-商业'!$B$109:$M$109</definedName>
    <definedName name="商业繁华度" localSheetId="23">[1]定义!$L$1:$L$6</definedName>
    <definedName name="商业繁华度" localSheetId="21">[1]定义!$L$1:$L$6</definedName>
    <definedName name="商业繁华度">定义!$L$1:$L$6</definedName>
    <definedName name="商业公共部分装修" localSheetId="23">'[1]不动产比较法-商业'!$B$107:$M$107</definedName>
    <definedName name="商业公共部分装修" localSheetId="21">'[1]不动产比较法-商业'!$B$107:$M$107</definedName>
    <definedName name="商业公共部分装修">'比较法-商业'!$B$107:$M$107</definedName>
    <definedName name="商业基础设施水平" localSheetId="23">'[1]不动产比较法-商业'!$B$112:$M$112</definedName>
    <definedName name="商业基础设施水平" localSheetId="21">'[1]不动产比较法-商业'!$B$112:$M$112</definedName>
    <definedName name="商业基础设施水平">'比较法-商业'!$B$112:$M$112</definedName>
    <definedName name="商业建筑结构" localSheetId="23">'[1]不动产比较法-商业'!$B$105:$M$105</definedName>
    <definedName name="商业建筑结构" localSheetId="21">'[1]不动产比较法-商业'!$B$105:$M$105</definedName>
    <definedName name="商业建筑结构">'比较法-商业'!$B$105:$M$105</definedName>
    <definedName name="商业交易情况" localSheetId="23">'[1]不动产比较法-商业'!$A$61:$M$61</definedName>
    <definedName name="商业交易情况" localSheetId="21">'[1]不动产比较法-商业'!$A$61:$M$61</definedName>
    <definedName name="商业交易情况">'比较法-商业'!$A$61:$M$61</definedName>
    <definedName name="商业街名称" localSheetId="23">[1]修正!$C$59:$C$119</definedName>
    <definedName name="商业街名称" localSheetId="21">[1]修正!$C$59:$C$119</definedName>
    <definedName name="商业街名称">修正!$C$59:$C$119</definedName>
    <definedName name="商业进深比" localSheetId="23">'[1]不动产比较法-商业'!$B$120:$M$120</definedName>
    <definedName name="商业进深比" localSheetId="21">'[1]不动产比较法-商业'!$B$120:$M$120</definedName>
    <definedName name="商业进深比">'比较法-商业'!$B$120:$M$120</definedName>
    <definedName name="商业类型" localSheetId="23">'[1]不动产比较法-商业'!$B$100:$M$100</definedName>
    <definedName name="商业类型" localSheetId="21">'[1]不动产比较法-商业'!$B$100:$M$100</definedName>
    <definedName name="商业类型">'比较法-商业'!$B$100:$M$100</definedName>
    <definedName name="商业临街状况" localSheetId="23">'[1]不动产比较法-商业'!$B$86:$M$86</definedName>
    <definedName name="商业临街状况" localSheetId="21">'[1]不动产比较法-商业'!$B$86:$M$86</definedName>
    <definedName name="商业临街状况">'比较法-商业'!$B$86:$M$86</definedName>
    <definedName name="商业楼层" localSheetId="23">'[1]不动产比较法-商业'!$B$92:$M$92</definedName>
    <definedName name="商业楼层" localSheetId="21">'[1]不动产比较法-商业'!$B$92:$M$92</definedName>
    <definedName name="商业楼层">'比较法-商业'!$B$92:$M$92</definedName>
    <definedName name="商业内部装修" localSheetId="23">'[1]不动产比较法-商业'!$B$122:$M$122</definedName>
    <definedName name="商业内部装修" localSheetId="21">'[1]不动产比较法-商业'!$B$122:$M$122</definedName>
    <definedName name="商业内部装修">'比较法-商业'!$B$122:$M$122</definedName>
    <definedName name="商业人流量" localSheetId="23">'[1]不动产比较法-商业'!$B$90:$M$90</definedName>
    <definedName name="商业人流量" localSheetId="21">'[1]不动产比较法-商业'!$B$90:$M$90</definedName>
    <definedName name="商业人流量">'比较法-商业'!$B$90:$M$90</definedName>
    <definedName name="商业业态" localSheetId="23">'[1]不动产比较法-商业'!$B$114:$M$114</definedName>
    <definedName name="商业业态" localSheetId="21">'[1]不动产比较法-商业'!$B$114:$M$114</definedName>
    <definedName name="商业业态">'比较法-商业'!$B$114:$M$114</definedName>
    <definedName name="商业用途" localSheetId="23">'[1]不动产比较法-商业'!$B$63:$M$63</definedName>
    <definedName name="商业用途" localSheetId="21">'[1]不动产比较法-商业'!$B$63:$M$63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 localSheetId="21">'[1]不动产比较法-仓储'!$B$89:$M$89</definedName>
    <definedName name="是否封闭">'比较法-仓储'!$B$89:$M$89</definedName>
    <definedName name="是否直接入户" localSheetId="23">'[1]不动产比较法-车位'!$B$95:$M$95</definedName>
    <definedName name="是否直接入户" localSheetId="21">'[1]不动产比较法-车位'!$B$95:$M$95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3">'[1]比较法-住宅、综合'!$A$75:$M$75</definedName>
    <definedName name="套工交易情况" localSheetId="21">'[1]比较法-住宅、综合'!$A$75:$M$75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3">'[1]比较法-工业'!$B$101:$M$101</definedName>
    <definedName name="套工土地级别" localSheetId="21">'[1]比较法-工业'!$B$101:$M$101</definedName>
    <definedName name="套工土地级别">'土地比较法-工业'!$B$99:$M$99</definedName>
    <definedName name="套工用途" localSheetId="23">'[1]比较法-工业'!$B$72:$M$72</definedName>
    <definedName name="套工用途" localSheetId="21">'[1]比较法-工业'!$B$72:$M$72</definedName>
    <definedName name="套工用途">'土地比较法-工业'!$B$70:$M$70</definedName>
    <definedName name="套工宗地开发程度">'土地比较法-工业'!$B$112:$M$112</definedName>
    <definedName name="套工宗地形状" localSheetId="23">'[1]比较法-工业'!$B$112:$M$112</definedName>
    <definedName name="套工宗地形状" localSheetId="21">'[1]比较法-工业'!$B$112:$M$112</definedName>
    <definedName name="套工宗地形状">'土地比较法-工业'!$B$110:$M$110</definedName>
    <definedName name="套综道路等级" localSheetId="23">'[1]比较法-住宅、综合'!$B$108:$M$108</definedName>
    <definedName name="套综道路等级" localSheetId="21">'[1]比较法-住宅、综合'!$B$108:$M$108</definedName>
    <definedName name="套综道路等级">'土地比较法-住宅、综合'!$B$106:$M$106</definedName>
    <definedName name="套综工程地质条件" localSheetId="23">'[1]比较法-住宅、综合'!$B$127:$M$127</definedName>
    <definedName name="套综工程地质条件" localSheetId="21">'[1]比较法-住宅、综合'!$B$127:$M$127</definedName>
    <definedName name="套综工程地质条件">'土地比较法-住宅、综合'!$B$125:$M$125</definedName>
    <definedName name="套综交易情况" localSheetId="23">'[1]比较法-住宅、综合'!$A$75:$M$75</definedName>
    <definedName name="套综交易情况" localSheetId="21">'[1]比较法-住宅、综合'!$A$75:$M$75</definedName>
    <definedName name="套综交易情况">'土地比较法-住宅、综合'!$A$73:$M$73</definedName>
    <definedName name="套综临街宽度及深度" localSheetId="23">'[1]比较法-住宅、综合'!$B$123:$M$123</definedName>
    <definedName name="套综临街宽度及深度" localSheetId="21">'[1]比较法-住宅、综合'!$B$123:$M$123</definedName>
    <definedName name="套综临街宽度及深度">'土地比较法-住宅、综合'!$B$121:$M$121</definedName>
    <definedName name="套综土地级别" localSheetId="23">'[1]比较法-住宅、综合'!$B$110:$M$110</definedName>
    <definedName name="套综土地级别" localSheetId="21">'[1]比较法-住宅、综合'!$B$110:$M$110</definedName>
    <definedName name="套综土地级别">'土地比较法-住宅、综合'!$B$108:$M$108</definedName>
    <definedName name="套综用途" localSheetId="23">'[1]比较法-住宅、综合'!$B$77:$M$77</definedName>
    <definedName name="套综用途" localSheetId="21">'[1]比较法-住宅、综合'!$B$77:$M$77</definedName>
    <definedName name="套综用途">'土地比较法-住宅、综合'!$B$75:$M$75</definedName>
    <definedName name="套综宗地内开发程度" localSheetId="23">'[1]比较法-住宅、综合'!$B$125:$M$125</definedName>
    <definedName name="套综宗地内开发程度" localSheetId="21">'[1]比较法-住宅、综合'!$B$125:$M$125</definedName>
    <definedName name="套综宗地内开发程度">'土地比较法-住宅、综合'!$B$123:$M$123</definedName>
    <definedName name="套综宗地形状" localSheetId="23">'[1]比较法-住宅、综合'!$B$121:$M$121</definedName>
    <definedName name="套综宗地形状" localSheetId="21">'[1]比较法-住宅、综合'!$B$121:$M$121</definedName>
    <definedName name="套综宗地形状">'土地比较法-住宅、综合'!$B$119:$M$119</definedName>
    <definedName name="土地估价师" localSheetId="23">[1]估价师及机构信息!$D$3:$D$24</definedName>
    <definedName name="土地估价师" localSheetId="21">[1]估价师及机构信息!$D$3:$D$24</definedName>
    <definedName name="土地估价师">估价师及机构信息!$D$3:$D$24</definedName>
    <definedName name="土地级别" localSheetId="23">[1]定义!$C$1:$C$14</definedName>
    <definedName name="土地级别" localSheetId="21">[1]定义!$C$1:$C$14</definedName>
    <definedName name="土地级别">定义!$C$1:$C$14</definedName>
    <definedName name="土地利用方向">定义!$P$1:$P$6</definedName>
    <definedName name="土地年限区间" localSheetId="23">[1]定义!$I$1:$I$8</definedName>
    <definedName name="土地年限区间" localSheetId="21">[1]定义!$I$1:$I$8</definedName>
    <definedName name="土地年限区间">定义!$I$1:$I$8</definedName>
    <definedName name="位置" localSheetId="23">[1]定义!$E$2:$E$4</definedName>
    <definedName name="位置" localSheetId="21">[1]定义!$E$2:$E$4</definedName>
    <definedName name="位置">定义!$E$2:$E$4</definedName>
    <definedName name="五等判定" localSheetId="23">[1]定义!$W$1:$W$6</definedName>
    <definedName name="五等判定" localSheetId="21">[1]定义!$W$1:$W$6</definedName>
    <definedName name="五等判定">定义!$W$1:$W$6</definedName>
    <definedName name="五级">区片价!$L$1:$L$35</definedName>
    <definedName name="项目类型" localSheetId="23">'[1]数据-汇总表'!$C$17:$C$26</definedName>
    <definedName name="项目类型" localSheetId="21">'[1]数据-汇总表'!$C$17:$C$26</definedName>
    <definedName name="项目类型">'数据-汇总表'!$C$17:$C$26</definedName>
    <definedName name="写字楼等级" localSheetId="23">'[1]不动产比较法-办公'!$B$113:$M$113</definedName>
    <definedName name="写字楼等级" localSheetId="21">'[1]不动产比较法-办公'!$B$113:$M$113</definedName>
    <definedName name="写字楼等级">'比较法-办公'!$B$113:$M$113</definedName>
    <definedName name="一级">区片价!$H$1:$H$6</definedName>
    <definedName name="一修多修正项2" localSheetId="23">[1]典型户型修正!$5:$5</definedName>
    <definedName name="一修多修正项2" localSheetId="21">[1]典型户型修正!$5:$5</definedName>
    <definedName name="一修多修正项2">典型户型修正!$5:$5</definedName>
    <definedName name="一修多修正项3" localSheetId="23">[1]典型户型修正!$7:$7</definedName>
    <definedName name="一修多修正项3" localSheetId="21">[1]典型户型修正!$7:$7</definedName>
    <definedName name="一修多修正项3">典型户型修正!$7:$7</definedName>
    <definedName name="一修多修正项4" localSheetId="23">[1]典型户型修正!$9:$9</definedName>
    <definedName name="一修多修正项4" localSheetId="21">[1]典型户型修正!$9:$9</definedName>
    <definedName name="一修多修正项4">典型户型修正!$9:$9</definedName>
    <definedName name="一修多修正项5" localSheetId="23">[1]典型户型修正!$11:$11</definedName>
    <definedName name="一修多修正项5" localSheetId="21">[1]典型户型修正!$11:$11</definedName>
    <definedName name="一修多修正项5">典型户型修正!$11:$11</definedName>
    <definedName name="一修多修正项6" localSheetId="23">[1]典型户型修正!$13:$13</definedName>
    <definedName name="一修多修正项6" localSheetId="21">[1]典型户型修正!$13:$13</definedName>
    <definedName name="一修多修正项6">典型户型修正!$13:$13</definedName>
    <definedName name="一修多修正项7" localSheetId="23">[1]典型户型修正!$15:$15</definedName>
    <definedName name="一修多修正项7" localSheetId="21">[1]典型户型修正!$15:$15</definedName>
    <definedName name="一修多修正项7">典型户型修正!$15:$15</definedName>
    <definedName name="一修多修正项8" localSheetId="23">[1]典型户型修正!$17:$17</definedName>
    <definedName name="一修多修正项8" localSheetId="21">[1]典型户型修正!$17:$17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 localSheetId="21">'[1]不动产比较法-仓储'!$B$84:$M$84</definedName>
    <definedName name="有无电梯">'比较法-仓储'!$B$84:$M$84</definedName>
    <definedName name="主用途" localSheetId="23">[1]定义!$F$1:$F$10</definedName>
    <definedName name="主用途" localSheetId="21">[1]定义!$F$1:$F$10</definedName>
    <definedName name="主用途">定义!$F$1:$F$10</definedName>
    <definedName name="住宅朝向" localSheetId="23">'不动产比较法-住宅'!$B$88:$M$88</definedName>
    <definedName name="住宅朝向" localSheetId="21">'[1]不动产比较法-住宅'!$B$88:$M$88</definedName>
    <definedName name="住宅朝向">'比较法-住宅'!$B$88:$M$88</definedName>
    <definedName name="住宅房型" localSheetId="23">'不动产比较法-住宅'!$B$118:$M$118</definedName>
    <definedName name="住宅房型" localSheetId="21">'[1]不动产比较法-住宅'!$B$118:$M$118</definedName>
    <definedName name="住宅房型">'比较法-住宅'!$B$118:$M$118</definedName>
    <definedName name="住宅公共部分装修" localSheetId="23">'不动产比较法-住宅'!$B$109:$M$109</definedName>
    <definedName name="住宅公共部分装修" localSheetId="21">'[1]不动产比较法-住宅'!$B$109:$M$109</definedName>
    <definedName name="住宅公共部分装修">'比较法-住宅'!$B$109:$M$109</definedName>
    <definedName name="住宅基础设施水平" localSheetId="23">'不动产比较法-住宅'!$B$116:$M$116</definedName>
    <definedName name="住宅基础设施水平" localSheetId="21">'[1]不动产比较法-住宅'!$B$116:$M$116</definedName>
    <definedName name="住宅基础设施水平">'比较法-住宅'!$B$116:$M$116</definedName>
    <definedName name="住宅建筑结构" localSheetId="23">'不动产比较法-住宅'!$B$105:$M$105</definedName>
    <definedName name="住宅建筑结构" localSheetId="21">'[1]不动产比较法-住宅'!$B$105:$M$105</definedName>
    <definedName name="住宅建筑结构">'比较法-住宅'!$B$105:$M$105</definedName>
    <definedName name="住宅建筑类型" localSheetId="23">'不动产比较法-住宅'!$B$100:$M$100</definedName>
    <definedName name="住宅建筑类型" localSheetId="21">'[1]不动产比较法-住宅'!$B$100:$M$100</definedName>
    <definedName name="住宅建筑类型">'比较法-住宅'!$B$100:$M$100</definedName>
    <definedName name="住宅建筑品质" localSheetId="23">'不动产比较法-住宅'!$B$107:$M$107</definedName>
    <definedName name="住宅建筑品质" localSheetId="21">'[1]不动产比较法-住宅'!$B$107:$M$107</definedName>
    <definedName name="住宅建筑品质">'比较法-住宅'!$B$107:$M$107</definedName>
    <definedName name="住宅交易情况" localSheetId="23">'不动产比较法-住宅'!$A$61:$M$61</definedName>
    <definedName name="住宅交易情况" localSheetId="21">'[1]不动产比较法-住宅'!$A$61:$M$61</definedName>
    <definedName name="住宅交易情况">'比较法-住宅'!$A$61:$M$61</definedName>
    <definedName name="住宅楼层" localSheetId="23">'不动产比较法-住宅'!$B$86:$M$86</definedName>
    <definedName name="住宅楼层" localSheetId="21">'[1]不动产比较法-住宅'!$B$86:$M$86</definedName>
    <definedName name="住宅楼层">'比较法-住宅'!$B$86:$M$86</definedName>
    <definedName name="住宅内部装修" localSheetId="23">'不动产比较法-住宅'!$B$122:$M$122</definedName>
    <definedName name="住宅内部装修" localSheetId="21">'[1]不动产比较法-住宅'!$B$122:$M$122</definedName>
    <definedName name="住宅内部装修">'比较法-住宅'!$B$122:$M$122</definedName>
    <definedName name="住宅物业管理" localSheetId="23">'不动产比较法-住宅'!$B$114:$M$114</definedName>
    <definedName name="住宅物业管理" localSheetId="21">'[1]不动产比较法-住宅'!$B$114:$M$114</definedName>
    <definedName name="住宅物业管理">'比较法-住宅'!$B$114:$M$114</definedName>
    <definedName name="住宅用途" localSheetId="23">'不动产比较法-住宅'!$B$63:$M$63</definedName>
    <definedName name="住宅用途" localSheetId="21">'[1]不动产比较法-住宅'!$B$63:$M$63</definedName>
    <definedName name="住宅用途">'比较法-住宅'!$B$63:$M$63</definedName>
    <definedName name="住宅主力户型面积" localSheetId="23">'不动产比较法-住宅'!$B$120:$M$120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1" i="78" l="1"/>
  <c r="I5" i="39"/>
  <c r="G5" i="39"/>
  <c r="E5" i="39"/>
  <c r="O19" i="1"/>
  <c r="O18" i="1"/>
  <c r="C145" i="78" l="1"/>
  <c r="J142" i="78"/>
  <c r="J140" i="78"/>
  <c r="K145" i="78" s="1"/>
  <c r="K139" i="78"/>
  <c r="K143" i="78" s="1"/>
  <c r="B130" i="78"/>
  <c r="B128" i="78"/>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Z45" i="78"/>
  <c r="Q45" i="78"/>
  <c r="J45" i="78"/>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F33" i="78"/>
  <c r="AA33" i="78" s="1"/>
  <c r="C33" i="78"/>
  <c r="H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C21" i="78"/>
  <c r="AC19" i="78"/>
  <c r="W19" i="78"/>
  <c r="Q19" i="78"/>
  <c r="Z19" i="78" s="1"/>
  <c r="J19" i="78"/>
  <c r="H19" i="78"/>
  <c r="AB19" i="78" s="1"/>
  <c r="F19" i="78"/>
  <c r="AA19" i="78" s="1"/>
  <c r="C19" i="78"/>
  <c r="Q17" i="78"/>
  <c r="Z17" i="78" s="1"/>
  <c r="J17" i="78"/>
  <c r="W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8" i="78" s="1"/>
  <c r="D58" i="78" s="1"/>
  <c r="E58" i="78" s="1"/>
  <c r="F58" i="78" s="1"/>
  <c r="G58" i="78" s="1"/>
  <c r="H58" i="78" s="1"/>
  <c r="I58" i="78" s="1"/>
  <c r="J58" i="78" s="1"/>
  <c r="K58" i="78" s="1"/>
  <c r="L58" i="78" s="1"/>
  <c r="M58" i="78" s="1"/>
  <c r="N58" i="78" s="1"/>
  <c r="O58" i="78" s="1"/>
  <c r="D3" i="78"/>
  <c r="G38" i="39"/>
  <c r="I38" i="39"/>
  <c r="E38" i="39"/>
  <c r="I7" i="39"/>
  <c r="G7" i="39"/>
  <c r="E7" i="39"/>
  <c r="G264" i="77"/>
  <c r="F264" i="77"/>
  <c r="G261" i="77"/>
  <c r="F261" i="77"/>
  <c r="E261" i="77"/>
  <c r="G260" i="77"/>
  <c r="G262" i="77" s="1"/>
  <c r="F260" i="77"/>
  <c r="F262" i="77" s="1"/>
  <c r="E260" i="77"/>
  <c r="E262" i="77" s="1"/>
  <c r="L117" i="77"/>
  <c r="L116" i="77"/>
  <c r="L115" i="77"/>
  <c r="L114" i="77"/>
  <c r="L113" i="77"/>
  <c r="L112" i="77"/>
  <c r="L111" i="77"/>
  <c r="L110" i="77"/>
  <c r="L109" i="77"/>
  <c r="L108" i="77"/>
  <c r="L107" i="77"/>
  <c r="L106" i="77"/>
  <c r="L105" i="77"/>
  <c r="L104" i="77"/>
  <c r="L103" i="77"/>
  <c r="L102" i="77"/>
  <c r="L101" i="77"/>
  <c r="L100" i="77"/>
  <c r="L99" i="77"/>
  <c r="L98" i="77"/>
  <c r="L97" i="77"/>
  <c r="L96" i="77"/>
  <c r="L95" i="77"/>
  <c r="L94" i="77"/>
  <c r="L93" i="77"/>
  <c r="L92" i="77"/>
  <c r="L91" i="77"/>
  <c r="L90" i="77"/>
  <c r="L89" i="77"/>
  <c r="L88" i="77"/>
  <c r="L87" i="77"/>
  <c r="L86" i="77"/>
  <c r="L85" i="77"/>
  <c r="L84" i="77"/>
  <c r="L83" i="77"/>
  <c r="L82" i="77"/>
  <c r="L81" i="77"/>
  <c r="L80" i="77"/>
  <c r="L79" i="77"/>
  <c r="L78" i="77"/>
  <c r="L77" i="77"/>
  <c r="L76" i="77"/>
  <c r="L75" i="77"/>
  <c r="L74" i="77"/>
  <c r="L73" i="77"/>
  <c r="L72" i="77"/>
  <c r="L71" i="77"/>
  <c r="L70" i="77"/>
  <c r="L69" i="77"/>
  <c r="L68" i="77"/>
  <c r="L67" i="77"/>
  <c r="L66" i="77"/>
  <c r="L65" i="77"/>
  <c r="L64" i="77"/>
  <c r="L63" i="77"/>
  <c r="L62" i="77"/>
  <c r="L61" i="77"/>
  <c r="L60" i="77"/>
  <c r="L59" i="77"/>
  <c r="L58" i="77"/>
  <c r="L57" i="77"/>
  <c r="L56" i="77"/>
  <c r="L55" i="77"/>
  <c r="L54" i="77"/>
  <c r="L53" i="77"/>
  <c r="L52" i="77"/>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6" i="77"/>
  <c r="L15" i="77"/>
  <c r="L14" i="77"/>
  <c r="L13" i="77"/>
  <c r="L12" i="77"/>
  <c r="L11" i="77"/>
  <c r="L10" i="77"/>
  <c r="L9" i="77"/>
  <c r="L8" i="77"/>
  <c r="L7" i="77"/>
  <c r="L6" i="77"/>
  <c r="L5" i="77"/>
  <c r="L4" i="77"/>
  <c r="L3" i="77"/>
  <c r="L2" i="77"/>
  <c r="F7" i="78" l="1"/>
  <c r="J7" i="78"/>
  <c r="S8" i="78"/>
  <c r="W8" i="78"/>
  <c r="S9" i="78"/>
  <c r="W9" i="78"/>
  <c r="U10" i="78"/>
  <c r="S11" i="78"/>
  <c r="W11" i="78"/>
  <c r="U12" i="78"/>
  <c r="S13" i="78"/>
  <c r="W13" i="78"/>
  <c r="U14" i="78"/>
  <c r="U15" i="78"/>
  <c r="U17" i="78"/>
  <c r="AC17" i="78"/>
  <c r="S19" i="78"/>
  <c r="AB33" i="78"/>
  <c r="U33" i="78"/>
  <c r="H7" i="78"/>
  <c r="U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W21" i="78"/>
  <c r="S23" i="78"/>
  <c r="W23" i="78"/>
  <c r="U25" i="78"/>
  <c r="S26" i="78"/>
  <c r="W26" i="78"/>
  <c r="U27" i="78"/>
  <c r="S28" i="78"/>
  <c r="W28" i="78"/>
  <c r="U29" i="78"/>
  <c r="S30" i="78"/>
  <c r="W30" i="78"/>
  <c r="U31" i="78"/>
  <c r="S32" i="78"/>
  <c r="W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14" i="9"/>
  <c r="G20" i="6"/>
  <c r="F19" i="6"/>
  <c r="D3" i="4"/>
  <c r="A3" i="3"/>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C16" i="43" s="1"/>
  <c r="C5" i="43" s="1"/>
  <c r="J17" i="43"/>
  <c r="C17" i="43"/>
  <c r="G20" i="43"/>
  <c r="J20" i="43"/>
  <c r="I20" i="43"/>
  <c r="C20" i="43"/>
  <c r="C24" i="43"/>
  <c r="F39" i="43"/>
  <c r="F38" i="43"/>
  <c r="F37" i="43"/>
  <c r="D5" i="43"/>
  <c r="C35" i="43" s="1"/>
  <c r="F36" i="43"/>
  <c r="C36" i="43"/>
  <c r="G36" i="43" s="1"/>
  <c r="I36" i="43" s="1"/>
  <c r="F35" i="43"/>
  <c r="F34" i="43"/>
  <c r="M47" i="67"/>
  <c r="J53" i="67"/>
  <c r="M47" i="15"/>
  <c r="C18" i="43"/>
  <c r="AD5" i="3"/>
  <c r="AH5" i="3"/>
  <c r="AL5" i="3"/>
  <c r="AP5" i="3"/>
  <c r="I5" i="3"/>
  <c r="I4" i="6"/>
  <c r="G3" i="43" s="1"/>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s="1"/>
  <c r="AZ5" i="3" s="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s="1"/>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8" i="71"/>
  <c r="AG8" i="71"/>
  <c r="AH8" i="71"/>
  <c r="AE8" i="71"/>
  <c r="AF8" i="71"/>
  <c r="X7" i="71"/>
  <c r="AB7" i="71"/>
  <c r="AA7" i="71"/>
  <c r="Y7" i="71"/>
  <c r="Z7" i="71"/>
  <c r="T8" i="71"/>
  <c r="S8" i="71"/>
  <c r="V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s="1"/>
  <c r="F103" i="39" s="1"/>
  <c r="G103" i="39" s="1"/>
  <c r="F29" i="39"/>
  <c r="AA29"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s="1"/>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B22" i="1"/>
  <c r="B23" i="1"/>
  <c r="B24" i="1"/>
  <c r="B43" i="1"/>
  <c r="D78" i="9"/>
  <c r="E19" i="6"/>
  <c r="E20" i="6"/>
  <c r="E21" i="6"/>
  <c r="K8" i="1"/>
  <c r="M8" i="1" s="1"/>
  <c r="F23" i="15"/>
  <c r="D24" i="15"/>
  <c r="M13" i="1"/>
  <c r="O13" i="1" s="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J23" i="40"/>
  <c r="AC23" i="40"/>
  <c r="F21" i="40"/>
  <c r="AA21" i="40"/>
  <c r="J21" i="40"/>
  <c r="W21" i="40"/>
  <c r="H42" i="39"/>
  <c r="AB42" i="39" s="1"/>
  <c r="J34" i="39"/>
  <c r="AC34" i="39" s="1"/>
  <c r="F109" i="39"/>
  <c r="G109" i="39"/>
  <c r="H109" i="39"/>
  <c r="I109" i="39"/>
  <c r="J109" i="39"/>
  <c r="K109" i="39"/>
  <c r="L109" i="39"/>
  <c r="M109" i="39"/>
  <c r="J31" i="39"/>
  <c r="F101" i="39"/>
  <c r="H27" i="39"/>
  <c r="U27" i="39" s="1"/>
  <c r="J17"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F15" i="39"/>
  <c r="AA15" i="39" s="1"/>
  <c r="H15" i="39"/>
  <c r="U15" i="39" s="1"/>
  <c r="J15" i="39"/>
  <c r="W15" i="39" s="1"/>
  <c r="H41" i="39"/>
  <c r="AB41" i="39" s="1"/>
  <c r="AB34"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s="1"/>
  <c r="G30" i="6" s="1"/>
  <c r="G31" i="6" s="1"/>
  <c r="E8" i="6"/>
  <c r="F27" i="6"/>
  <c r="U36" i="40"/>
  <c r="N4" i="43"/>
  <c r="F81" i="43"/>
  <c r="H83" i="43"/>
  <c r="F48" i="43"/>
  <c r="H52" i="43"/>
  <c r="N7" i="43"/>
  <c r="F70" i="43"/>
  <c r="H73" i="43"/>
  <c r="M6" i="43"/>
  <c r="M11" i="43"/>
  <c r="E17" i="43"/>
  <c r="F6" i="1"/>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C40" i="11"/>
  <c r="H75" i="43"/>
  <c r="H74" i="43"/>
  <c r="H50" i="43"/>
  <c r="H49" i="43"/>
  <c r="H48"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c r="O9" i="1" s="1"/>
  <c r="AE9" i="1"/>
  <c r="D93" i="9"/>
  <c r="E12" i="6"/>
  <c r="E15" i="6"/>
  <c r="E60" i="40"/>
  <c r="K6" i="1"/>
  <c r="AP6" i="1" s="1"/>
  <c r="E13" i="6"/>
  <c r="E58" i="40"/>
  <c r="G29" i="6"/>
  <c r="E29" i="6"/>
  <c r="AC26" i="33"/>
  <c r="W26" i="33"/>
  <c r="W27" i="34"/>
  <c r="AC27" i="34"/>
  <c r="AB34" i="36"/>
  <c r="U34" i="36"/>
  <c r="AB33" i="36"/>
  <c r="U33" i="36"/>
  <c r="AC12" i="39"/>
  <c r="W12" i="39"/>
  <c r="AC39" i="40"/>
  <c r="W39" i="40"/>
  <c r="W12" i="33"/>
  <c r="AC12" i="33"/>
  <c r="AA32" i="36"/>
  <c r="S32" i="36"/>
  <c r="AA39" i="34"/>
  <c r="F28" i="6"/>
  <c r="U30" i="33"/>
  <c r="AC13" i="34"/>
  <c r="AA47" i="34"/>
  <c r="W28" i="37"/>
  <c r="F12" i="33"/>
  <c r="H12" i="39"/>
  <c r="AB12" i="39" s="1"/>
  <c r="F39" i="40"/>
  <c r="S12" i="1"/>
  <c r="R12" i="1"/>
  <c r="B12" i="1"/>
  <c r="E12" i="1"/>
  <c r="S10" i="1"/>
  <c r="AQ10" i="1"/>
  <c r="R10" i="1"/>
  <c r="B10" i="1"/>
  <c r="E10" i="1"/>
  <c r="D1" i="66"/>
  <c r="E10" i="66"/>
  <c r="K12" i="1"/>
  <c r="M12" i="1" s="1"/>
  <c r="O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W39" i="39"/>
  <c r="S43" i="39"/>
  <c r="S37" i="39"/>
  <c r="U35" i="39"/>
  <c r="AB27" i="39"/>
  <c r="U31" i="39"/>
  <c r="J21" i="39"/>
  <c r="W21" i="39" s="1"/>
  <c r="F21" i="39"/>
  <c r="AA21" i="39" s="1"/>
  <c r="H21" i="39"/>
  <c r="AB21" i="39" s="1"/>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J56" i="9"/>
  <c r="J57" i="9"/>
  <c r="A24" i="51"/>
  <c r="B18" i="72"/>
  <c r="U29" i="34"/>
  <c r="E14" i="6"/>
  <c r="E64" i="39"/>
  <c r="E5" i="6"/>
  <c r="D9" i="11" s="1"/>
  <c r="C9" i="11"/>
  <c r="L101" i="43"/>
  <c r="L109" i="43" s="1"/>
  <c r="H101" i="43"/>
  <c r="E32" i="6"/>
  <c r="L19" i="6"/>
  <c r="G1" i="68"/>
  <c r="K1" i="12"/>
  <c r="F30" i="6"/>
  <c r="F31" i="6"/>
  <c r="E28" i="6"/>
  <c r="E30" i="6" s="1"/>
  <c r="E31" i="6" s="1"/>
  <c r="E57" i="40"/>
  <c r="S2" i="43"/>
  <c r="E56" i="40"/>
  <c r="AR12" i="1"/>
  <c r="AQ12" i="1"/>
  <c r="T12" i="1"/>
  <c r="AR10" i="1"/>
  <c r="T10" i="1"/>
  <c r="E19" i="69"/>
  <c r="E19" i="68"/>
  <c r="E19" i="11"/>
  <c r="E1" i="73"/>
  <c r="K1" i="73" s="1"/>
  <c r="G41" i="69"/>
  <c r="G22" i="69"/>
  <c r="G41" i="68"/>
  <c r="G22" i="68"/>
  <c r="G27" i="12"/>
  <c r="G26" i="12"/>
  <c r="G41" i="11"/>
  <c r="G22" i="11"/>
  <c r="G25" i="12"/>
  <c r="E81" i="43"/>
  <c r="B79" i="43"/>
  <c r="AB11" i="43"/>
  <c r="AB13" i="43"/>
  <c r="Z11" i="43"/>
  <c r="Z13" i="43"/>
  <c r="Z7" i="43"/>
  <c r="S5" i="43"/>
  <c r="AI11" i="43"/>
  <c r="AI13" i="43"/>
  <c r="AG11" i="43"/>
  <c r="AG13" i="43"/>
  <c r="AE11" i="43"/>
  <c r="AE13" i="43"/>
  <c r="AC11" i="43"/>
  <c r="AC13" i="43"/>
  <c r="AA11" i="43"/>
  <c r="AA13" i="43"/>
  <c r="Y11" i="43"/>
  <c r="Y13"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62" i="39"/>
  <c r="E56" i="39"/>
  <c r="E51" i="40"/>
  <c r="B6" i="1"/>
  <c r="E6" i="1"/>
  <c r="S8" i="1"/>
  <c r="K11" i="1"/>
  <c r="M11" i="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5" i="62" s="1"/>
  <c r="B73" i="72" s="1"/>
  <c r="B9" i="49"/>
  <c r="B13" i="49"/>
  <c r="E16" i="49"/>
  <c r="B11" i="49"/>
  <c r="E8" i="49"/>
  <c r="E21" i="49"/>
  <c r="E10" i="49"/>
  <c r="E9" i="49"/>
  <c r="E5" i="49"/>
  <c r="B6" i="49"/>
  <c r="B4" i="49"/>
  <c r="C4" i="4"/>
  <c r="B4" i="62" s="1"/>
  <c r="B71" i="72" s="1"/>
  <c r="B8" i="49"/>
  <c r="E4" i="49"/>
  <c r="E11" i="49"/>
  <c r="M6" i="1"/>
  <c r="O6" i="1" s="1"/>
  <c r="P6" i="1" s="1"/>
  <c r="F30" i="68"/>
  <c r="C30" i="68"/>
  <c r="F30" i="11"/>
  <c r="C48" i="11"/>
  <c r="F28" i="67"/>
  <c r="C28" i="67"/>
  <c r="F31" i="12"/>
  <c r="F52" i="9"/>
  <c r="M18" i="67"/>
  <c r="F32" i="67"/>
  <c r="F60" i="67"/>
  <c r="F30" i="69"/>
  <c r="C48" i="69"/>
  <c r="F32" i="15"/>
  <c r="F60" i="15"/>
  <c r="M18" i="15"/>
  <c r="F28" i="15"/>
  <c r="E63" i="39"/>
  <c r="T11" i="1"/>
  <c r="D9" i="69"/>
  <c r="C9" i="69" s="1"/>
  <c r="D19" i="12"/>
  <c r="C19" i="12" s="1"/>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C24" i="12"/>
  <c r="AA39" i="40"/>
  <c r="S39" i="40"/>
  <c r="S12" i="33"/>
  <c r="AA12" i="33"/>
  <c r="D68" i="9"/>
  <c r="F54" i="9"/>
  <c r="U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BL5" i="3"/>
  <c r="J59" i="9"/>
  <c r="J61" i="9"/>
  <c r="K21" i="6"/>
  <c r="M21" i="6"/>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H102" i="43"/>
  <c r="H107" i="43"/>
  <c r="H103" i="43"/>
  <c r="H106" i="43"/>
  <c r="H104" i="43"/>
  <c r="H105" i="43"/>
  <c r="K19" i="6"/>
  <c r="S6" i="1" s="1"/>
  <c r="AQ6" i="1" s="1"/>
  <c r="K25" i="6"/>
  <c r="M25" i="6"/>
  <c r="I25" i="6" s="1"/>
  <c r="S25" i="6" s="1"/>
  <c r="K23" i="6"/>
  <c r="M23" i="6"/>
  <c r="I23" i="6" s="1"/>
  <c r="S23" i="6" s="1"/>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I19" i="6" s="1"/>
  <c r="S19" i="6" s="1"/>
  <c r="L27" i="6"/>
  <c r="G16" i="1"/>
  <c r="H10" i="40"/>
  <c r="U10" i="40" s="1"/>
  <c r="AP7" i="1"/>
  <c r="M7" i="1"/>
  <c r="O7" i="1" s="1"/>
  <c r="Q16" i="1"/>
  <c r="F27" i="69" s="1"/>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E6" i="70"/>
  <c r="A18" i="62"/>
  <c r="B64" i="72"/>
  <c r="E36" i="4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AC6" i="3"/>
  <c r="F28" i="12"/>
  <c r="C29" i="12" s="1"/>
  <c r="D28" i="12" s="1"/>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s="1"/>
  <c r="F10" i="40"/>
  <c r="AA10" i="40"/>
  <c r="H10" i="39"/>
  <c r="AB10" i="39" s="1"/>
  <c r="J10" i="39"/>
  <c r="F1" i="67"/>
  <c r="Q52" i="67"/>
  <c r="AA7" i="36"/>
  <c r="R36" i="36"/>
  <c r="E36" i="36"/>
  <c r="E40" i="36"/>
  <c r="F40" i="36"/>
  <c r="AC11" i="37"/>
  <c r="W11" i="37"/>
  <c r="AB7" i="37"/>
  <c r="T42" i="37"/>
  <c r="G42" i="37"/>
  <c r="G46" i="37"/>
  <c r="H46" i="37"/>
  <c r="W11" i="34"/>
  <c r="AC11" i="34"/>
  <c r="AB7" i="36"/>
  <c r="T36" i="36"/>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W10" i="39"/>
  <c r="AC10" i="39"/>
  <c r="U10" i="39"/>
  <c r="F50" i="11"/>
  <c r="F50" i="69"/>
  <c r="F50" i="68"/>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8" i="69" s="1"/>
  <c r="M63" i="40"/>
  <c r="L65" i="40"/>
  <c r="M70" i="39"/>
  <c r="N63" i="40"/>
  <c r="M65" i="40"/>
  <c r="O70" i="39"/>
  <c r="N70" i="39"/>
  <c r="O63" i="40"/>
  <c r="O65" i="40"/>
  <c r="N65" i="40"/>
  <c r="F7" i="40"/>
  <c r="H7" i="40"/>
  <c r="J7" i="40"/>
  <c r="W7" i="40"/>
  <c r="AC7" i="40"/>
  <c r="V42" i="40"/>
  <c r="I42" i="40"/>
  <c r="I46" i="40" s="1"/>
  <c r="J46" i="40" s="1"/>
  <c r="AB7" i="40"/>
  <c r="T42" i="40"/>
  <c r="G42" i="40" s="1"/>
  <c r="U7" i="40"/>
  <c r="AA7" i="40"/>
  <c r="R42" i="40"/>
  <c r="R43" i="40" s="1"/>
  <c r="S7" i="40"/>
  <c r="E42" i="40"/>
  <c r="E46" i="40" s="1"/>
  <c r="F46" i="40" s="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s="1"/>
  <c r="F7" i="39"/>
  <c r="AA7" i="39" s="1"/>
  <c r="H7" i="39"/>
  <c r="AB7" i="39" s="1"/>
  <c r="W7" i="39"/>
  <c r="H112" i="9"/>
  <c r="D21" i="53"/>
  <c r="B39" i="72"/>
  <c r="H111" i="9"/>
  <c r="D126" i="9"/>
  <c r="D19" i="53"/>
  <c r="D59" i="9"/>
  <c r="M55" i="9"/>
  <c r="B38" i="72"/>
  <c r="D20" i="53"/>
  <c r="B40" i="72"/>
  <c r="I14" i="74"/>
  <c r="B8" i="74"/>
  <c r="D127" i="9"/>
  <c r="D13" i="52"/>
  <c r="D12" i="52"/>
  <c r="AD3" i="71"/>
  <c r="P21" i="43"/>
  <c r="P22" i="43"/>
  <c r="P23" i="43"/>
  <c r="B71" i="39"/>
  <c r="P24" i="43"/>
  <c r="B66" i="40"/>
  <c r="P25" i="43"/>
  <c r="E8" i="76"/>
  <c r="E12" i="76"/>
  <c r="B10" i="76"/>
  <c r="F5" i="73"/>
  <c r="D6" i="73"/>
  <c r="D4" i="73"/>
  <c r="AO10" i="1"/>
  <c r="M24" i="67"/>
  <c r="M22" i="15"/>
  <c r="F26" i="67"/>
  <c r="M28" i="15"/>
  <c r="L48" i="67"/>
  <c r="F36" i="15"/>
  <c r="J15" i="67"/>
  <c r="F8" i="15"/>
  <c r="F26" i="15"/>
  <c r="F16" i="15"/>
  <c r="M28" i="67"/>
  <c r="F9" i="67"/>
  <c r="M23" i="67"/>
  <c r="E9" i="76"/>
  <c r="E13" i="76"/>
  <c r="B11" i="76"/>
  <c r="B7" i="76"/>
  <c r="D5" i="73"/>
  <c r="F4" i="73"/>
  <c r="AO9" i="1"/>
  <c r="AO12" i="1"/>
  <c r="F7" i="15"/>
  <c r="M23" i="15"/>
  <c r="F38" i="15"/>
  <c r="F9" i="15"/>
  <c r="J15" i="15"/>
  <c r="F43" i="67"/>
  <c r="M9" i="15"/>
  <c r="M8" i="15"/>
  <c r="M22" i="67"/>
  <c r="L48" i="15"/>
  <c r="F36" i="67"/>
  <c r="M29" i="67"/>
  <c r="F42" i="67"/>
  <c r="M21" i="67"/>
  <c r="M27" i="67"/>
  <c r="AO8" i="1"/>
  <c r="D2" i="37"/>
  <c r="D35" i="9"/>
  <c r="D2" i="33"/>
  <c r="E10" i="76"/>
  <c r="B12" i="76"/>
  <c r="B9" i="76"/>
  <c r="D3" i="73"/>
  <c r="F3" i="73"/>
  <c r="AO11" i="1"/>
  <c r="C76" i="67"/>
  <c r="M6" i="15"/>
  <c r="M26" i="67"/>
  <c r="F13" i="67"/>
  <c r="F6" i="15"/>
  <c r="F37" i="15"/>
  <c r="L47" i="15"/>
  <c r="F40" i="15"/>
  <c r="L47" i="67"/>
  <c r="F38" i="67"/>
  <c r="F40" i="67"/>
  <c r="M26" i="15"/>
  <c r="M29" i="15"/>
  <c r="E7" i="76"/>
  <c r="E11" i="76"/>
  <c r="B8" i="76"/>
  <c r="B13" i="76"/>
  <c r="F7" i="73"/>
  <c r="F6" i="73"/>
  <c r="D7" i="73"/>
  <c r="AO13" i="1"/>
  <c r="M24" i="15"/>
  <c r="F6" i="67"/>
  <c r="F8" i="67"/>
  <c r="F42" i="15"/>
  <c r="F7" i="67"/>
  <c r="M9" i="67"/>
  <c r="M6" i="67"/>
  <c r="F16" i="67"/>
  <c r="C76" i="15"/>
  <c r="F13" i="15"/>
  <c r="F37" i="67"/>
  <c r="F43" i="15"/>
  <c r="M8" i="67"/>
  <c r="G1" i="73"/>
  <c r="F35" i="67"/>
  <c r="M27" i="15"/>
  <c r="E2" i="69"/>
  <c r="D2" i="21"/>
  <c r="D2" i="35"/>
  <c r="AO6" i="1"/>
  <c r="F20" i="31"/>
  <c r="E2" i="68"/>
  <c r="D2" i="34"/>
  <c r="F41" i="67"/>
  <c r="D2" i="36"/>
  <c r="D34" i="9"/>
  <c r="O10" i="1" l="1"/>
  <c r="P10" i="1" s="1"/>
  <c r="M16" i="1"/>
  <c r="F27" i="11"/>
  <c r="P7" i="1"/>
  <c r="F27" i="68"/>
  <c r="C29" i="68" s="1"/>
  <c r="D27" i="68" s="1"/>
  <c r="AR6" i="1"/>
  <c r="I47" i="40"/>
  <c r="J47" i="40" s="1"/>
  <c r="P9" i="1"/>
  <c r="C43" i="40"/>
  <c r="C42" i="40"/>
  <c r="G47" i="40"/>
  <c r="H47" i="40" s="1"/>
  <c r="G46" i="40"/>
  <c r="H46" i="40" s="1"/>
  <c r="E47" i="40"/>
  <c r="F47" i="40" s="1"/>
  <c r="AA10" i="39"/>
  <c r="H6" i="3"/>
  <c r="E6" i="3" s="1"/>
  <c r="O14" i="1"/>
  <c r="P14" i="1" s="1"/>
  <c r="K20" i="6"/>
  <c r="K27" i="6" s="1"/>
  <c r="AQ13" i="1"/>
  <c r="E3" i="6"/>
  <c r="AY6" i="3"/>
  <c r="C23" i="43"/>
  <c r="C21" i="43" s="1"/>
  <c r="C101" i="43"/>
  <c r="E22" i="43"/>
  <c r="F22" i="43"/>
  <c r="D101" i="43"/>
  <c r="B113" i="43"/>
  <c r="G22" i="43"/>
  <c r="H22" i="43"/>
  <c r="K101" i="43"/>
  <c r="F101" i="43"/>
  <c r="N101" i="43"/>
  <c r="G101" i="43"/>
  <c r="J101" i="43"/>
  <c r="N104" i="46"/>
  <c r="M101" i="43"/>
  <c r="I101" i="43"/>
  <c r="E101" i="43"/>
  <c r="AJ11" i="43"/>
  <c r="AJ13" i="43" s="1"/>
  <c r="AH11" i="43"/>
  <c r="AH13" i="43" s="1"/>
  <c r="AF11" i="43"/>
  <c r="AF13" i="43" s="1"/>
  <c r="AD11" i="43"/>
  <c r="AD13" i="43" s="1"/>
  <c r="P12" i="1"/>
  <c r="P13" i="1"/>
  <c r="O8" i="1"/>
  <c r="O16" i="1" s="1"/>
  <c r="P61" i="15"/>
  <c r="J53" i="15"/>
  <c r="F1" i="15" s="1"/>
  <c r="C13" i="12"/>
  <c r="AB7" i="78"/>
  <c r="T48" i="78" s="1"/>
  <c r="G48" i="78" s="1"/>
  <c r="U7" i="78"/>
  <c r="W7" i="78"/>
  <c r="AC7" i="78"/>
  <c r="V48" i="78" s="1"/>
  <c r="I48" i="78" s="1"/>
  <c r="C33" i="43"/>
  <c r="C34" i="43"/>
  <c r="S7" i="78"/>
  <c r="AA7" i="78"/>
  <c r="R48" i="78" s="1"/>
  <c r="W42" i="39"/>
  <c r="AC41" i="39"/>
  <c r="U40" i="39"/>
  <c r="H32" i="39"/>
  <c r="F107" i="39"/>
  <c r="G107" i="39" s="1"/>
  <c r="H25" i="39"/>
  <c r="F25" i="39"/>
  <c r="F99" i="39"/>
  <c r="G99" i="39" s="1"/>
  <c r="J25" i="39"/>
  <c r="F19" i="39"/>
  <c r="AA19" i="39" s="1"/>
  <c r="F93" i="39"/>
  <c r="G93" i="39" s="1"/>
  <c r="H19" i="39"/>
  <c r="J19" i="39"/>
  <c r="H17" i="39"/>
  <c r="AB17" i="39" s="1"/>
  <c r="F91" i="39"/>
  <c r="G91" i="39" s="1"/>
  <c r="F17" i="39"/>
  <c r="J11" i="39"/>
  <c r="F81" i="39"/>
  <c r="F11" i="39"/>
  <c r="C35" i="69"/>
  <c r="S7" i="39"/>
  <c r="G35" i="43"/>
  <c r="I35" i="43" s="1"/>
  <c r="E35" i="43"/>
  <c r="C39" i="43"/>
  <c r="C37" i="43"/>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K4" i="4"/>
  <c r="B46" i="48" s="1"/>
  <c r="B4" i="72" s="1"/>
  <c r="W27" i="39"/>
  <c r="S19" i="39"/>
  <c r="W29" i="39"/>
  <c r="U29" i="39"/>
  <c r="S31" i="39"/>
  <c r="S29" i="39"/>
  <c r="C47" i="69"/>
  <c r="D45" i="69" s="1"/>
  <c r="U7" i="39"/>
  <c r="C47" i="68"/>
  <c r="D45" i="68" s="1"/>
  <c r="U9" i="39"/>
  <c r="B20" i="31"/>
  <c r="B2" i="36"/>
  <c r="B3" i="36" s="1"/>
  <c r="B6" i="70"/>
  <c r="F69" i="67"/>
  <c r="B2" i="35"/>
  <c r="B3" i="35" s="1"/>
  <c r="B8" i="70"/>
  <c r="C34" i="67"/>
  <c r="F63" i="67"/>
  <c r="C62" i="67" s="1"/>
  <c r="J20" i="67"/>
  <c r="B40" i="1"/>
  <c r="F70" i="67"/>
  <c r="F71" i="15"/>
  <c r="F64" i="67"/>
  <c r="F65" i="67"/>
  <c r="L56" i="15"/>
  <c r="I54" i="15"/>
  <c r="J57" i="15"/>
  <c r="J55" i="15" s="1"/>
  <c r="J58" i="15" s="1"/>
  <c r="Q50" i="15" s="1"/>
  <c r="Q71" i="15"/>
  <c r="F71" i="67"/>
  <c r="M7" i="67"/>
  <c r="J6" i="67" s="1"/>
  <c r="F50" i="67"/>
  <c r="F66" i="15"/>
  <c r="F51" i="67"/>
  <c r="C49" i="67" s="1"/>
  <c r="C6" i="67"/>
  <c r="M7" i="15"/>
  <c r="J6" i="15" s="1"/>
  <c r="F50" i="15"/>
  <c r="B12" i="70"/>
  <c r="B13" i="70"/>
  <c r="B9" i="70"/>
  <c r="I1" i="73"/>
  <c r="B39" i="1" s="1"/>
  <c r="F68" i="67"/>
  <c r="F66" i="67"/>
  <c r="C27" i="15"/>
  <c r="L58" i="67"/>
  <c r="L59" i="67"/>
  <c r="N59" i="67"/>
  <c r="M59" i="67"/>
  <c r="F51" i="15"/>
  <c r="C49" i="15" s="1"/>
  <c r="F68" i="15"/>
  <c r="M59" i="15"/>
  <c r="L59" i="15" s="1"/>
  <c r="N59" i="15"/>
  <c r="L58" i="15"/>
  <c r="F64" i="15"/>
  <c r="F65" i="15"/>
  <c r="J57" i="67"/>
  <c r="J55" i="67" s="1"/>
  <c r="J58" i="67" s="1"/>
  <c r="Q50" i="67" s="1"/>
  <c r="I54" i="67"/>
  <c r="L56" i="67"/>
  <c r="C6" i="15"/>
  <c r="C27" i="67"/>
  <c r="Q71" i="67"/>
  <c r="B10" i="70"/>
  <c r="B11" i="70"/>
  <c r="E20" i="43"/>
  <c r="C14" i="67"/>
  <c r="C16" i="67"/>
  <c r="C16" i="15"/>
  <c r="AE7" i="1"/>
  <c r="C17" i="67"/>
  <c r="N16" i="1" l="1"/>
  <c r="L16" i="1"/>
  <c r="C47" i="11"/>
  <c r="D45" i="11" s="1"/>
  <c r="C29" i="11"/>
  <c r="D27" i="11" s="1"/>
  <c r="I104" i="43"/>
  <c r="I107" i="43"/>
  <c r="I105" i="43"/>
  <c r="I109" i="43"/>
  <c r="I102" i="43"/>
  <c r="I106" i="43"/>
  <c r="I103" i="43"/>
  <c r="G107" i="43"/>
  <c r="G104" i="43"/>
  <c r="G106" i="43"/>
  <c r="G105" i="43"/>
  <c r="G102" i="43"/>
  <c r="G103" i="43"/>
  <c r="G109" i="43"/>
  <c r="F107" i="43"/>
  <c r="F106" i="43"/>
  <c r="F103" i="43"/>
  <c r="F104" i="43"/>
  <c r="F102" i="43"/>
  <c r="F109" i="43"/>
  <c r="F105" i="43"/>
  <c r="E102" i="43"/>
  <c r="E106" i="43"/>
  <c r="E103" i="43"/>
  <c r="E104" i="43"/>
  <c r="E107" i="43"/>
  <c r="E105" i="43"/>
  <c r="E109" i="43"/>
  <c r="M109" i="43"/>
  <c r="M102" i="43"/>
  <c r="M106" i="43"/>
  <c r="M103" i="43"/>
  <c r="M104" i="43"/>
  <c r="M107" i="43"/>
  <c r="M105" i="43"/>
  <c r="J105" i="43"/>
  <c r="J103" i="43"/>
  <c r="J106" i="43"/>
  <c r="J107" i="43"/>
  <c r="J104" i="43"/>
  <c r="J102" i="43"/>
  <c r="J109" i="43"/>
  <c r="N103" i="43"/>
  <c r="N106" i="43"/>
  <c r="N107" i="43"/>
  <c r="N104" i="43"/>
  <c r="N109" i="43"/>
  <c r="N102" i="43"/>
  <c r="N105" i="43"/>
  <c r="K102" i="43"/>
  <c r="K105" i="43"/>
  <c r="K109" i="43"/>
  <c r="K104" i="43"/>
  <c r="K103" i="43"/>
  <c r="K107" i="43"/>
  <c r="K106" i="43"/>
  <c r="D103" i="43"/>
  <c r="D105" i="43"/>
  <c r="D107" i="43"/>
  <c r="D109" i="43"/>
  <c r="D102" i="43"/>
  <c r="D104" i="43"/>
  <c r="D106" i="43"/>
  <c r="D22" i="43"/>
  <c r="M18" i="9"/>
  <c r="B118" i="9" s="1"/>
  <c r="B14" i="74" s="1"/>
  <c r="B1" i="74" s="1"/>
  <c r="D3" i="21"/>
  <c r="B2" i="21" s="1"/>
  <c r="B3" i="21" s="1"/>
  <c r="E6" i="6"/>
  <c r="C17" i="4"/>
  <c r="B4" i="52" s="1"/>
  <c r="B43" i="72" s="1"/>
  <c r="L18" i="9"/>
  <c r="D3" i="37"/>
  <c r="B2" i="37" s="1"/>
  <c r="B3" i="37" s="1"/>
  <c r="D3" i="33"/>
  <c r="B2" i="33" s="1"/>
  <c r="B3" i="33" s="1"/>
  <c r="D19" i="11"/>
  <c r="C19" i="11" s="1"/>
  <c r="D14" i="12"/>
  <c r="D37" i="11"/>
  <c r="D3" i="34"/>
  <c r="B2" i="34" s="1"/>
  <c r="B3" i="34"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C103" i="43"/>
  <c r="C105" i="43"/>
  <c r="C107" i="43"/>
  <c r="C109" i="43"/>
  <c r="C102" i="43"/>
  <c r="C104" i="43"/>
  <c r="C106"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103" i="3"/>
  <c r="AY160" i="3"/>
  <c r="AY183" i="3"/>
  <c r="AY284" i="3"/>
  <c r="AY319" i="3"/>
  <c r="AY497" i="3"/>
  <c r="AY212" i="3"/>
  <c r="AY478" i="3"/>
  <c r="AY573" i="3"/>
  <c r="AY100" i="3"/>
  <c r="AY20" i="3"/>
  <c r="AY173" i="3"/>
  <c r="AY286" i="3"/>
  <c r="AY227" i="3"/>
  <c r="BS6" i="3"/>
  <c r="AY93" i="3"/>
  <c r="AY40" i="3"/>
  <c r="AY150" i="3"/>
  <c r="AY279" i="3"/>
  <c r="AY226"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 i="3"/>
  <c r="AY289" i="3"/>
  <c r="AY261" i="3"/>
  <c r="AY209" i="3"/>
  <c r="AY455" i="3"/>
  <c r="AY116" i="3"/>
  <c r="AY343" i="3"/>
  <c r="AY417" i="3"/>
  <c r="AY539" i="3"/>
  <c r="AY84" i="3"/>
  <c r="AY193" i="3"/>
  <c r="AY134" i="3"/>
  <c r="AY270" i="3"/>
  <c r="AY373" i="3"/>
  <c r="BI6" i="3"/>
  <c r="AY57" i="3"/>
  <c r="AY186" i="3"/>
  <c r="AY130" i="3"/>
  <c r="AY243" i="3"/>
  <c r="AY393"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P16" i="1" s="1"/>
  <c r="C11" i="12" s="1"/>
  <c r="C12" i="12" s="1"/>
  <c r="S7" i="1"/>
  <c r="M20" i="6"/>
  <c r="B57" i="40"/>
  <c r="F57" i="40" s="1"/>
  <c r="B58" i="40"/>
  <c r="F58" i="40" s="1"/>
  <c r="B59" i="40"/>
  <c r="F59" i="40" s="1"/>
  <c r="B52" i="40"/>
  <c r="F52" i="40" s="1"/>
  <c r="B56" i="40"/>
  <c r="F56" i="40" s="1"/>
  <c r="B51" i="40"/>
  <c r="F51" i="40" s="1"/>
  <c r="B54" i="40"/>
  <c r="F54" i="40" s="1"/>
  <c r="B55" i="40"/>
  <c r="F55" i="40" s="1"/>
  <c r="B53" i="40"/>
  <c r="F53" i="40" s="1"/>
  <c r="B60" i="40"/>
  <c r="F60" i="40" s="1"/>
  <c r="Q52" i="15"/>
  <c r="C15" i="12"/>
  <c r="R49" i="78"/>
  <c r="E48" i="78"/>
  <c r="G34" i="43"/>
  <c r="I34" i="43" s="1"/>
  <c r="E34" i="43"/>
  <c r="I53" i="78"/>
  <c r="J53" i="78" s="1"/>
  <c r="I52" i="78"/>
  <c r="J52" i="78" s="1"/>
  <c r="G33" i="43"/>
  <c r="I33" i="43" s="1"/>
  <c r="E33" i="43"/>
  <c r="G53" i="78"/>
  <c r="H53" i="78" s="1"/>
  <c r="G52" i="78"/>
  <c r="H52" i="78" s="1"/>
  <c r="F32" i="39"/>
  <c r="H107" i="39"/>
  <c r="I107" i="39" s="1"/>
  <c r="J107" i="39" s="1"/>
  <c r="K107" i="39" s="1"/>
  <c r="L107" i="39" s="1"/>
  <c r="M107" i="39" s="1"/>
  <c r="J32" i="39"/>
  <c r="AB32" i="39"/>
  <c r="U32" i="39"/>
  <c r="W25" i="39"/>
  <c r="AC25" i="39"/>
  <c r="AA25" i="39"/>
  <c r="S25" i="39"/>
  <c r="AB25" i="39"/>
  <c r="U25" i="39"/>
  <c r="AC19" i="39"/>
  <c r="W19" i="39"/>
  <c r="AB19" i="39"/>
  <c r="U19" i="39"/>
  <c r="U17" i="39"/>
  <c r="AA17" i="39"/>
  <c r="S17" i="39"/>
  <c r="G81" i="39"/>
  <c r="H81" i="39" s="1"/>
  <c r="I81" i="39" s="1"/>
  <c r="J81" i="39" s="1"/>
  <c r="K81" i="39" s="1"/>
  <c r="L81" i="39" s="1"/>
  <c r="M81" i="39" s="1"/>
  <c r="H11" i="39"/>
  <c r="AA11" i="39"/>
  <c r="S11" i="39"/>
  <c r="W11" i="39"/>
  <c r="AC11" i="39"/>
  <c r="G38" i="43"/>
  <c r="I38" i="43" s="1"/>
  <c r="E38" i="43"/>
  <c r="E37" i="43"/>
  <c r="G37" i="43"/>
  <c r="I37" i="43" s="1"/>
  <c r="C30" i="43"/>
  <c r="E30" i="43" s="1"/>
  <c r="E29" i="43"/>
  <c r="C26" i="43" s="1"/>
  <c r="G39" i="43"/>
  <c r="I39" i="43" s="1"/>
  <c r="E39" i="43"/>
  <c r="C18" i="67"/>
  <c r="C15" i="67"/>
  <c r="P17" i="43"/>
  <c r="N17" i="43"/>
  <c r="O17" i="43"/>
  <c r="M17" i="43"/>
  <c r="Q73" i="15"/>
  <c r="Q60" i="15"/>
  <c r="Q61" i="67"/>
  <c r="Q74" i="67"/>
  <c r="M11" i="15"/>
  <c r="J10" i="15" s="1"/>
  <c r="J5" i="15" s="1"/>
  <c r="M11" i="67"/>
  <c r="J10" i="67" s="1"/>
  <c r="J5" i="67" s="1"/>
  <c r="F11" i="15"/>
  <c r="F11" i="67"/>
  <c r="Q74" i="15"/>
  <c r="Q61" i="15"/>
  <c r="Q73" i="67"/>
  <c r="Q60" i="67"/>
  <c r="F25" i="12"/>
  <c r="C26" i="12" s="1"/>
  <c r="D25" i="12" s="1"/>
  <c r="F24" i="67"/>
  <c r="C24" i="67" s="1"/>
  <c r="F22" i="68"/>
  <c r="F24" i="15"/>
  <c r="C24" i="15" s="1"/>
  <c r="F22" i="11"/>
  <c r="F22" i="69"/>
  <c r="C17" i="15"/>
  <c r="F41" i="15"/>
  <c r="F34" i="68" l="1"/>
  <c r="F34" i="11"/>
  <c r="F11" i="12"/>
  <c r="C14" i="12" s="1"/>
  <c r="C16" i="12" s="1"/>
  <c r="I20" i="6"/>
  <c r="M27" i="6"/>
  <c r="M19" i="9"/>
  <c r="C118" i="9" s="1"/>
  <c r="C14" i="74" s="1"/>
  <c r="B2" i="74" s="1"/>
  <c r="D19" i="6"/>
  <c r="D26" i="6"/>
  <c r="C18" i="4"/>
  <c r="D8" i="6"/>
  <c r="D23" i="6"/>
  <c r="D14" i="6"/>
  <c r="D5" i="6"/>
  <c r="D12" i="6"/>
  <c r="D11" i="6"/>
  <c r="D13" i="6"/>
  <c r="D28" i="6"/>
  <c r="E61" i="40"/>
  <c r="F61" i="40" s="1"/>
  <c r="B2" i="40" s="1"/>
  <c r="B3" i="40" s="1"/>
  <c r="H23" i="6"/>
  <c r="H26" i="6"/>
  <c r="H19" i="6"/>
  <c r="H20" i="6"/>
  <c r="D25" i="6"/>
  <c r="D15" i="6"/>
  <c r="D22" i="6"/>
  <c r="D21" i="6"/>
  <c r="D24" i="6"/>
  <c r="D20" i="6"/>
  <c r="R20" i="6" s="1"/>
  <c r="R7" i="1" s="1"/>
  <c r="D6" i="6"/>
  <c r="D9" i="6"/>
  <c r="D10" i="6"/>
  <c r="L19" i="9"/>
  <c r="D29" i="6"/>
  <c r="H25" i="6"/>
  <c r="H22" i="6"/>
  <c r="H21" i="6"/>
  <c r="H24" i="6"/>
  <c r="C115" i="43"/>
  <c r="D113" i="43" s="1"/>
  <c r="C20" i="11"/>
  <c r="C28" i="11" s="1"/>
  <c r="C27" i="11" s="1"/>
  <c r="T7" i="1"/>
  <c r="AR7" i="1"/>
  <c r="S16" i="1"/>
  <c r="AQ7" i="1"/>
  <c r="E7" i="70"/>
  <c r="E2" i="70" s="1"/>
  <c r="D17" i="12"/>
  <c r="C17" i="12" s="1"/>
  <c r="D10" i="68"/>
  <c r="D10" i="11"/>
  <c r="C10" i="11" s="1"/>
  <c r="D20" i="12"/>
  <c r="C20" i="12" s="1"/>
  <c r="C18" i="12" s="1"/>
  <c r="D10" i="69"/>
  <c r="C7" i="74"/>
  <c r="C8" i="74"/>
  <c r="F69" i="15"/>
  <c r="C27" i="43"/>
  <c r="E53" i="78"/>
  <c r="F53" i="78" s="1"/>
  <c r="E52" i="78"/>
  <c r="F52" i="78" s="1"/>
  <c r="C49" i="78"/>
  <c r="C48" i="78"/>
  <c r="R47" i="39"/>
  <c r="E47" i="39" s="1"/>
  <c r="E51" i="39" s="1"/>
  <c r="F51" i="39" s="1"/>
  <c r="W32" i="39"/>
  <c r="AC32" i="39"/>
  <c r="V47" i="39" s="1"/>
  <c r="I47" i="39" s="1"/>
  <c r="S32" i="39"/>
  <c r="AA32" i="39"/>
  <c r="U11" i="39"/>
  <c r="AB11" i="39"/>
  <c r="T47" i="39" s="1"/>
  <c r="G47" i="39" s="1"/>
  <c r="B2" i="43"/>
  <c r="C19" i="67"/>
  <c r="C20" i="67" s="1"/>
  <c r="C23" i="67" s="1"/>
  <c r="J18" i="15"/>
  <c r="J24" i="15"/>
  <c r="J26" i="15"/>
  <c r="J29" i="15" s="1"/>
  <c r="C26" i="69"/>
  <c r="D22" i="69" s="1"/>
  <c r="C44" i="69"/>
  <c r="D41" i="69" s="1"/>
  <c r="J18" i="67"/>
  <c r="J24" i="67"/>
  <c r="J26" i="67"/>
  <c r="J29" i="67" s="1"/>
  <c r="C10" i="67"/>
  <c r="C5" i="67" s="1"/>
  <c r="C53" i="67"/>
  <c r="C48" i="67" s="1"/>
  <c r="C44" i="11"/>
  <c r="D41" i="11" s="1"/>
  <c r="C23" i="11"/>
  <c r="C26" i="11"/>
  <c r="D22" i="11" s="1"/>
  <c r="C24" i="11"/>
  <c r="C26" i="68"/>
  <c r="D22" i="68" s="1"/>
  <c r="C44" i="68"/>
  <c r="D41" i="68" s="1"/>
  <c r="C10" i="15"/>
  <c r="C5" i="15" s="1"/>
  <c r="C53" i="15"/>
  <c r="C48" i="15" s="1"/>
  <c r="M21" i="15"/>
  <c r="F35" i="15"/>
  <c r="C14" i="15"/>
  <c r="E6" i="76"/>
  <c r="B6" i="76"/>
  <c r="B3" i="78" l="1"/>
  <c r="B2" i="78" s="1"/>
  <c r="C6" i="12"/>
  <c r="C8" i="12" s="1"/>
  <c r="C37" i="11"/>
  <c r="C36" i="11"/>
  <c r="C34" i="11"/>
  <c r="C21" i="12"/>
  <c r="C22" i="12" s="1"/>
  <c r="C36" i="68"/>
  <c r="C34" i="68"/>
  <c r="C15" i="15"/>
  <c r="C18" i="15"/>
  <c r="C19" i="15"/>
  <c r="C20" i="15" s="1"/>
  <c r="C34" i="15"/>
  <c r="F63" i="15"/>
  <c r="C62" i="15" s="1"/>
  <c r="J20" i="15"/>
  <c r="T16" i="1"/>
  <c r="C25" i="11"/>
  <c r="D19" i="68"/>
  <c r="C10" i="68"/>
  <c r="R24" i="6"/>
  <c r="R22" i="6"/>
  <c r="R25" i="6"/>
  <c r="H27" i="6"/>
  <c r="D30" i="6"/>
  <c r="R23" i="6"/>
  <c r="A7" i="51"/>
  <c r="B7" i="72" s="1"/>
  <c r="C4" i="52"/>
  <c r="B45" i="72" s="1"/>
  <c r="A10" i="51"/>
  <c r="B9" i="72" s="1"/>
  <c r="R19" i="6"/>
  <c r="D27" i="6"/>
  <c r="D31" i="6" s="1"/>
  <c r="C10" i="69"/>
  <c r="C8" i="69" s="1"/>
  <c r="C5" i="69" s="1"/>
  <c r="D19" i="69"/>
  <c r="R21" i="6"/>
  <c r="D16" i="6"/>
  <c r="R26" i="6"/>
  <c r="D8" i="74"/>
  <c r="D7" i="74"/>
  <c r="S20" i="6"/>
  <c r="S27" i="6" s="1"/>
  <c r="I27" i="6"/>
  <c r="E2" i="76"/>
  <c r="I51" i="39"/>
  <c r="J51" i="39" s="1"/>
  <c r="I52" i="39"/>
  <c r="J52" i="39" s="1"/>
  <c r="R48" i="39"/>
  <c r="G51" i="39"/>
  <c r="H51" i="39" s="1"/>
  <c r="E52" i="39"/>
  <c r="F52" i="39" s="1"/>
  <c r="G52" i="39"/>
  <c r="H52" i="39" s="1"/>
  <c r="B2" i="76"/>
  <c r="B3" i="43"/>
  <c r="C38" i="15"/>
  <c r="C32" i="15"/>
  <c r="C22" i="11"/>
  <c r="C31" i="11" s="1"/>
  <c r="C23" i="15"/>
  <c r="C32" i="67"/>
  <c r="C38" i="67"/>
  <c r="C26" i="67"/>
  <c r="C29" i="67" s="1"/>
  <c r="C66" i="15"/>
  <c r="C60" i="15"/>
  <c r="C66" i="67"/>
  <c r="C60" i="67"/>
  <c r="C26" i="15" l="1"/>
  <c r="C29" i="15" s="1"/>
  <c r="Q49" i="15" s="1"/>
  <c r="C35" i="68"/>
  <c r="C38" i="68"/>
  <c r="C35" i="11"/>
  <c r="C38" i="11"/>
  <c r="R6" i="1"/>
  <c r="R16" i="1" s="1"/>
  <c r="R27" i="6"/>
  <c r="C19" i="69"/>
  <c r="C24" i="69" s="1"/>
  <c r="D37" i="69"/>
  <c r="C37" i="69" s="1"/>
  <c r="C33" i="69" s="1"/>
  <c r="I6" i="6"/>
  <c r="I5" i="6"/>
  <c r="D37" i="68"/>
  <c r="C37" i="68" s="1"/>
  <c r="C19" i="68"/>
  <c r="C23" i="69"/>
  <c r="B3" i="76"/>
  <c r="C47" i="39"/>
  <c r="C48" i="39"/>
  <c r="C13" i="67"/>
  <c r="J19" i="67"/>
  <c r="J17" i="67" s="1"/>
  <c r="C36" i="67"/>
  <c r="C33" i="67"/>
  <c r="C31" i="67" s="1"/>
  <c r="C57" i="67"/>
  <c r="Q49" i="67"/>
  <c r="J14" i="67"/>
  <c r="J59" i="67"/>
  <c r="J60" i="67" s="1"/>
  <c r="C33" i="68" l="1"/>
  <c r="C42" i="68" s="1"/>
  <c r="C33" i="11"/>
  <c r="C39" i="68"/>
  <c r="C43" i="68" s="1"/>
  <c r="J19" i="15"/>
  <c r="J17" i="15" s="1"/>
  <c r="C20" i="69"/>
  <c r="C24" i="68"/>
  <c r="C39" i="69"/>
  <c r="C43" i="69" s="1"/>
  <c r="C42" i="69"/>
  <c r="B57" i="39"/>
  <c r="F57" i="39" s="1"/>
  <c r="B59" i="39"/>
  <c r="F59" i="39" s="1"/>
  <c r="B63" i="39"/>
  <c r="F63" i="39" s="1"/>
  <c r="B65" i="39"/>
  <c r="F65" i="39" s="1"/>
  <c r="B56" i="39"/>
  <c r="F56" i="39" s="1"/>
  <c r="B62" i="39"/>
  <c r="F62" i="39" s="1"/>
  <c r="B58" i="39"/>
  <c r="F58" i="39" s="1"/>
  <c r="B61" i="39"/>
  <c r="F61" i="39" s="1"/>
  <c r="B64" i="39"/>
  <c r="F64" i="39" s="1"/>
  <c r="B60" i="39"/>
  <c r="F60" i="39" s="1"/>
  <c r="C36" i="15"/>
  <c r="J14" i="15"/>
  <c r="J13" i="15" s="1"/>
  <c r="J23" i="15" s="1"/>
  <c r="C57" i="15"/>
  <c r="C64" i="15" s="1"/>
  <c r="J59" i="15"/>
  <c r="J60" i="15" s="1"/>
  <c r="C33" i="15"/>
  <c r="C31" i="15" s="1"/>
  <c r="C13" i="15"/>
  <c r="C75" i="15" s="1"/>
  <c r="Q48" i="67"/>
  <c r="L46" i="67"/>
  <c r="C61" i="15"/>
  <c r="C59" i="15" s="1"/>
  <c r="J13" i="67"/>
  <c r="J23" i="67" s="1"/>
  <c r="J22" i="67"/>
  <c r="C64" i="67"/>
  <c r="C61" i="67"/>
  <c r="C59" i="67" s="1"/>
  <c r="C75" i="67"/>
  <c r="C56" i="67"/>
  <c r="C65" i="67" s="1"/>
  <c r="Q70" i="67"/>
  <c r="C37" i="67"/>
  <c r="C30" i="67" s="1"/>
  <c r="C39" i="67" s="1"/>
  <c r="C41" i="69" l="1"/>
  <c r="C46" i="68"/>
  <c r="C45" i="68" s="1"/>
  <c r="C46" i="69"/>
  <c r="C45" i="69" s="1"/>
  <c r="C49" i="69" s="1"/>
  <c r="C51" i="69" s="1"/>
  <c r="C39" i="11"/>
  <c r="C43" i="11" s="1"/>
  <c r="C42" i="11"/>
  <c r="C46" i="11"/>
  <c r="C45" i="11" s="1"/>
  <c r="J22" i="15"/>
  <c r="J16" i="15" s="1"/>
  <c r="J25" i="15" s="1"/>
  <c r="C41" i="68"/>
  <c r="C49" i="68" s="1"/>
  <c r="C51" i="68" s="1"/>
  <c r="C25" i="69"/>
  <c r="C22" i="69" s="1"/>
  <c r="C28" i="69"/>
  <c r="C27" i="69" s="1"/>
  <c r="F66" i="39"/>
  <c r="C56" i="15"/>
  <c r="C65" i="15" s="1"/>
  <c r="C58" i="15" s="1"/>
  <c r="C67" i="15" s="1"/>
  <c r="C68" i="15" s="1"/>
  <c r="C37" i="15"/>
  <c r="C30" i="15" s="1"/>
  <c r="C39" i="15" s="1"/>
  <c r="C80" i="15" s="1"/>
  <c r="C79" i="15" s="1"/>
  <c r="Q48" i="15"/>
  <c r="Q70" i="15"/>
  <c r="J16" i="67"/>
  <c r="J25" i="67" s="1"/>
  <c r="Q69" i="67"/>
  <c r="Q68" i="67" s="1"/>
  <c r="C40" i="67"/>
  <c r="C80" i="67"/>
  <c r="C79" i="67" s="1"/>
  <c r="C58" i="67"/>
  <c r="C67" i="67" s="1"/>
  <c r="C68" i="67" s="1"/>
  <c r="L51" i="67"/>
  <c r="L51" i="15"/>
  <c r="C31" i="69" l="1"/>
  <c r="C52" i="69" s="1"/>
  <c r="B2" i="69" s="1"/>
  <c r="B3" i="69" s="1"/>
  <c r="Q69" i="15"/>
  <c r="Q68" i="15" s="1"/>
  <c r="C41" i="11"/>
  <c r="C49" i="11" s="1"/>
  <c r="C51" i="11" s="1"/>
  <c r="B2" i="39"/>
  <c r="B3" i="39" s="1"/>
  <c r="C6" i="68"/>
  <c r="C40" i="15"/>
  <c r="Q65" i="15" s="1"/>
  <c r="Q67" i="15"/>
  <c r="L57" i="15"/>
  <c r="L60" i="15" s="1"/>
  <c r="L46" i="15" s="1"/>
  <c r="Q67" i="67"/>
  <c r="L57" i="67"/>
  <c r="L60" i="67" s="1"/>
  <c r="Q65" i="67"/>
  <c r="Q56" i="67"/>
  <c r="Q47" i="67"/>
  <c r="Q53" i="67" s="1"/>
  <c r="D2" i="67"/>
  <c r="C43" i="67"/>
  <c r="C83" i="67"/>
  <c r="C82" i="67" s="1"/>
  <c r="C45" i="67"/>
  <c r="C46" i="67" s="1"/>
  <c r="C71" i="67"/>
  <c r="C71" i="15"/>
  <c r="C43" i="15" l="1"/>
  <c r="D6" i="12" s="1"/>
  <c r="D8" i="12" s="1"/>
  <c r="C4" i="12" s="1"/>
  <c r="C23" i="12" s="1"/>
  <c r="C57" i="69"/>
  <c r="C56" i="69" s="1"/>
  <c r="C52" i="11"/>
  <c r="B2" i="11" s="1"/>
  <c r="B3" i="11" s="1"/>
  <c r="C7" i="68"/>
  <c r="C5" i="68" s="1"/>
  <c r="B2" i="15"/>
  <c r="C46" i="15"/>
  <c r="Q47" i="15"/>
  <c r="Q53" i="15" s="1"/>
  <c r="C83" i="15"/>
  <c r="C82" i="15" s="1"/>
  <c r="Q56" i="15"/>
  <c r="Q66" i="67"/>
  <c r="Q75" i="67" s="1"/>
  <c r="Q57" i="67"/>
  <c r="Q62" i="67" s="1"/>
  <c r="Q66" i="15"/>
  <c r="Q75" i="15" s="1"/>
  <c r="Q57" i="15"/>
  <c r="Q62" i="15" s="1"/>
  <c r="B2" i="67"/>
  <c r="B3" i="67"/>
  <c r="AO7" i="1"/>
  <c r="C31" i="12" l="1"/>
  <c r="C56" i="11"/>
  <c r="C57" i="11" s="1"/>
  <c r="C23" i="68"/>
  <c r="C20" i="68"/>
  <c r="C25" i="68" s="1"/>
  <c r="C30" i="12"/>
  <c r="C28" i="12" s="1"/>
  <c r="C27" i="12"/>
  <c r="C25" i="12" s="1"/>
  <c r="B7" i="70"/>
  <c r="B2" i="70" s="1"/>
  <c r="B3" i="70" s="1"/>
  <c r="B3" i="15"/>
  <c r="C28" i="68" l="1"/>
  <c r="C27" i="68" s="1"/>
  <c r="C22" i="68"/>
  <c r="C32" i="12"/>
  <c r="B2" i="12" s="1"/>
  <c r="D19" i="9"/>
  <c r="C31" i="68" l="1"/>
  <c r="C52" i="68" s="1"/>
  <c r="D102" i="9"/>
  <c r="D21" i="9"/>
  <c r="B3" i="12"/>
  <c r="D20" i="9"/>
  <c r="B2" i="68" l="1"/>
  <c r="C57" i="68"/>
  <c r="C56" i="68" s="1"/>
  <c r="D103" i="9"/>
  <c r="C19" i="9"/>
  <c r="C21" i="9" l="1"/>
  <c r="C102" i="9"/>
  <c r="G19" i="9"/>
  <c r="D22" i="9"/>
  <c r="B3" i="68"/>
  <c r="C20" i="9"/>
  <c r="C103" i="9" l="1"/>
  <c r="G20" i="9"/>
  <c r="G21" i="9"/>
  <c r="C32" i="9"/>
  <c r="H118" i="9" l="1"/>
  <c r="C35" i="9"/>
  <c r="F118" i="9" l="1"/>
  <c r="C34" i="9"/>
  <c r="D118" i="9" s="1"/>
  <c r="H101" i="9"/>
  <c r="C104" i="9"/>
  <c r="H119" i="9"/>
  <c r="H5" i="52" s="1"/>
  <c r="I118" i="9"/>
  <c r="D14" i="74"/>
  <c r="H4" i="52"/>
  <c r="B5" i="74" l="1"/>
  <c r="F14" i="74"/>
  <c r="E14" i="74"/>
  <c r="C105" i="9"/>
  <c r="H102" i="9"/>
  <c r="D7" i="53" s="1"/>
  <c r="B21" i="72" s="1"/>
  <c r="I4" i="52"/>
  <c r="D4" i="52"/>
  <c r="B47" i="72" s="1"/>
  <c r="D119" i="9"/>
  <c r="D5" i="52" s="1"/>
  <c r="B49" i="72" s="1"/>
  <c r="D45" i="9"/>
  <c r="M48" i="9"/>
  <c r="H107" i="9"/>
  <c r="D5" i="53"/>
  <c r="F119" i="9"/>
  <c r="F5" i="52" s="1"/>
  <c r="B53" i="72" s="1"/>
  <c r="G118" i="9"/>
  <c r="G4" i="52" s="1"/>
  <c r="B52" i="72" s="1"/>
  <c r="F4" i="52"/>
  <c r="B51" i="72" s="1"/>
  <c r="D6" i="53" l="1"/>
  <c r="B22" i="72" s="1"/>
  <c r="B20" i="72"/>
  <c r="E118" i="9"/>
  <c r="E4" i="52" s="1"/>
  <c r="B48" i="72" s="1"/>
  <c r="D122" i="9"/>
  <c r="D13" i="53"/>
  <c r="H108" i="9"/>
  <c r="D15" i="53" s="1"/>
  <c r="B31" i="72" s="1"/>
  <c r="C85" i="9"/>
  <c r="C95" i="9" s="1"/>
  <c r="C72" i="9"/>
  <c r="C78" i="9"/>
  <c r="C73" i="9" s="1"/>
  <c r="C93" i="9"/>
  <c r="C86" i="9" s="1"/>
  <c r="D52" i="9"/>
  <c r="C64" i="9"/>
  <c r="C63" i="9" s="1"/>
  <c r="C67" i="9" s="1"/>
  <c r="C68" i="9" s="1"/>
  <c r="D54" i="9" s="1"/>
  <c r="D53" i="9"/>
  <c r="D55" i="9"/>
  <c r="M53" i="9" s="1"/>
  <c r="C5" i="74"/>
  <c r="D5" i="74"/>
  <c r="C96" i="9"/>
  <c r="E96" i="9" s="1"/>
  <c r="E97" i="9" s="1"/>
  <c r="C79" i="9" l="1"/>
  <c r="C80" i="9" s="1"/>
  <c r="E80" i="9" s="1"/>
  <c r="E81" i="9" s="1"/>
  <c r="D123" i="9"/>
  <c r="D9" i="52" s="1"/>
  <c r="G14" i="74"/>
  <c r="B6" i="74" s="1"/>
  <c r="D8" i="52"/>
  <c r="D14" i="53"/>
  <c r="B32" i="72" s="1"/>
  <c r="B30" i="72"/>
  <c r="C81" i="9"/>
  <c r="C97" i="9"/>
  <c r="D58" i="9" s="1"/>
  <c r="D56" i="9" s="1"/>
  <c r="M54" i="9" s="1"/>
  <c r="N57" i="9" s="1"/>
  <c r="C6" i="74" l="1"/>
  <c r="D6" i="74"/>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<sst xmlns="http://schemas.openxmlformats.org/spreadsheetml/2006/main" count="8480" uniqueCount="3583">
  <si>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</si>
  <si>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</si>
  <si>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</si>
  <si>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</si>
  <si>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</si>
  <si>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</si>
  <si>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</si>
  <si>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</si>
  <si>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</si>
  <si>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</si>
  <si>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</si>
  <si>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</si>
  <si>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</si>
  <si>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</si>
  <si>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</si>
  <si>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</si>
  <si>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</si>
  <si>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</si>
  <si>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</si>
  <si>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</si>
  <si>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</si>
  <si>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</si>
  <si>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</si>
  <si>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</si>
  <si>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</si>
  <si>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</si>
  <si>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</si>
  <si>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</si>
  <si>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</si>
  <si>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</si>
  <si>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</si>
  <si>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</si>
  <si>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</si>
  <si>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</si>
  <si>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</si>
  <si>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</si>
  <si>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</si>
  <si>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</si>
  <si>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</si>
  <si>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</si>
  <si>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</si>
  <si>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</si>
  <si>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</si>
  <si>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</si>
  <si>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</si>
  <si>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</si>
  <si>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</si>
  <si>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</si>
  <si>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</si>
  <si>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</si>
  <si>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</si>
  <si>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</si>
  <si>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</si>
  <si>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</si>
  <si>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</si>
  <si>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</si>
  <si>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</si>
  <si>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</si>
  <si>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</si>
  <si>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</si>
  <si>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</si>
  <si>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</si>
  <si>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</si>
  <si>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</si>
  <si>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</si>
  <si>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</si>
  <si>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</si>
  <si>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</si>
  <si>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</si>
  <si>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</si>
  <si>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</si>
  <si>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</si>
  <si>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</si>
  <si>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</si>
  <si>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</si>
  <si>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</si>
  <si>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</si>
  <si>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</si>
  <si>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</si>
  <si>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</si>
  <si>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</si>
  <si>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</si>
  <si>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</si>
  <si>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</si>
  <si>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</si>
  <si>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</si>
  <si>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</si>
  <si>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</si>
  <si>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</si>
  <si>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</si>
  <si>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</si>
  <si>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</si>
  <si>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</si>
  <si>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</si>
  <si>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</si>
  <si>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</si>
  <si>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</si>
  <si>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</si>
  <si>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</si>
  <si>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</si>
  <si>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</si>
  <si>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</si>
  <si>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</si>
  <si>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</si>
  <si>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</si>
  <si>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</si>
  <si>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</si>
  <si>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</si>
  <si>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</si>
  <si>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</si>
  <si>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</si>
  <si>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</si>
  <si>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</si>
  <si>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</si>
  <si>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</si>
  <si>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</si>
  <si>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</si>
  <si>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</si>
  <si>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</si>
  <si>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</si>
  <si>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</si>
  <si>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</si>
  <si>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</si>
  <si>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</si>
  <si>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</si>
  <si>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</si>
  <si>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</si>
  <si>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</si>
  <si>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</si>
  <si>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</si>
  <si>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</si>
  <si>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</si>
  <si>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</si>
  <si>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</si>
  <si>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</si>
  <si>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</si>
  <si>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</si>
  <si>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</si>
  <si>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</si>
  <si>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</si>
  <si>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</si>
  <si>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</si>
  <si>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</si>
  <si>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</si>
  <si>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</si>
  <si>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</si>
  <si>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</si>
  <si>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</si>
  <si>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</si>
  <si>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</si>
  <si>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</si>
  <si>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</si>
  <si>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</si>
  <si>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</si>
  <si>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</si>
  <si>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</si>
  <si>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</si>
  <si>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</si>
  <si>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</si>
  <si>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</si>
  <si>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</si>
  <si>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</si>
  <si>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</si>
  <si>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</si>
  <si>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</si>
  <si>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</si>
  <si>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</si>
  <si>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</si>
  <si>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</si>
  <si>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</si>
  <si>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</si>
  <si>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</si>
  <si>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</si>
  <si>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</si>
  <si>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</si>
  <si>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</si>
  <si>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</si>
  <si>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</si>
  <si>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</si>
  <si>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</si>
  <si>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</si>
  <si>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</si>
  <si>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</si>
  <si>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</si>
  <si>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</si>
  <si>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</si>
  <si>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</si>
  <si>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</si>
  <si>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</si>
  <si>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</si>
  <si>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</si>
  <si>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</si>
  <si>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</si>
  <si>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</si>
  <si>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</si>
  <si>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</si>
  <si>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</si>
  <si>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</si>
  <si>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</si>
  <si>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</si>
  <si>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</si>
  <si>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</si>
  <si>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</si>
  <si>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</si>
  <si>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</si>
  <si>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</si>
  <si>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</si>
  <si>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</si>
  <si>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</si>
  <si>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</si>
  <si>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</si>
  <si>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</si>
  <si>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</si>
  <si>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</si>
  <si>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</si>
  <si>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</si>
  <si>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</si>
  <si>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</si>
  <si>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</si>
  <si>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</si>
  <si>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</si>
  <si>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</si>
  <si>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</si>
  <si>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</si>
  <si>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</si>
  <si>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</si>
  <si>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</si>
  <si>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</si>
  <si>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</si>
  <si>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</si>
  <si>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</si>
  <si>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</si>
  <si>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</si>
  <si>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</si>
  <si>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</si>
  <si>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</si>
  <si>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</si>
  <si>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</si>
  <si>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</si>
  <si>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</si>
  <si>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</si>
  <si>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</si>
  <si>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</si>
  <si>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</si>
  <si>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</si>
  <si>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</si>
  <si>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</si>
  <si>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</si>
  <si>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</si>
  <si>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</si>
  <si>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</si>
  <si>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</si>
  <si>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</si>
  <si>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</si>
  <si>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</si>
  <si>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</si>
  <si>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</si>
  <si>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</si>
  <si>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</si>
  <si>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</si>
  <si>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</si>
  <si>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</si>
  <si>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</si>
  <si>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</si>
  <si>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</si>
  <si>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</si>
  <si>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</si>
  <si>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</si>
  <si>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</si>
  <si>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</si>
  <si>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</si>
  <si>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</si>
  <si>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</si>
  <si>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</si>
  <si>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</si>
  <si>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</si>
  <si>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</si>
  <si>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</si>
  <si>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</si>
  <si>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</si>
  <si>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</si>
  <si>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</si>
  <si>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</si>
  <si>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</si>
  <si>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</si>
  <si>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</si>
  <si>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</si>
  <si>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</si>
  <si>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</si>
  <si>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</si>
  <si>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</si>
  <si>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</si>
  <si>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</si>
  <si>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</si>
  <si>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</si>
  <si>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</si>
  <si>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</si>
  <si>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</si>
  <si>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</si>
  <si>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</si>
  <si>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</si>
  <si>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</si>
  <si>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</si>
  <si>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</si>
  <si>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</si>
  <si>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</si>
  <si>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</si>
  <si>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</si>
  <si>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</si>
  <si>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</si>
  <si>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</si>
  <si>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</si>
  <si>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</si>
  <si>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</si>
  <si>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</si>
  <si>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</si>
  <si>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</si>
  <si>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</si>
  <si>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</si>
  <si>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</si>
  <si>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</si>
  <si>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</si>
  <si>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</si>
  <si>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</si>
  <si>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</si>
  <si>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</si>
  <si>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</si>
  <si>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</si>
  <si>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</si>
  <si>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</si>
  <si>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</si>
  <si>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</si>
  <si>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</si>
  <si>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</si>
  <si>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</si>
  <si>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</si>
  <si>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</si>
  <si>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</si>
  <si>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</si>
  <si>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</si>
  <si>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</si>
  <si>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</si>
  <si>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</si>
  <si>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</si>
  <si>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</si>
  <si>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</si>
  <si>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</si>
  <si>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</si>
  <si>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</si>
  <si>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</si>
  <si>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</si>
  <si>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</si>
  <si>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</si>
  <si>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</si>
  <si>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</si>
  <si>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</si>
  <si>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</si>
  <si>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</si>
  <si>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</si>
  <si>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</si>
  <si>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</si>
  <si>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</si>
  <si>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</si>
  <si>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</si>
  <si>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</si>
  <si>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</si>
  <si>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</si>
  <si>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</si>
  <si>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</si>
  <si>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</si>
  <si>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</si>
  <si>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</si>
  <si>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</si>
  <si>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</si>
  <si>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</si>
  <si>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</si>
  <si>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</si>
  <si>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</si>
  <si>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</si>
  <si>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</si>
  <si>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</si>
  <si>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</si>
  <si>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</si>
  <si>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</si>
  <si>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</si>
  <si>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</si>
  <si>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</si>
  <si>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</si>
  <si>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</si>
  <si>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</si>
  <si>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</si>
  <si>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</si>
  <si>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</si>
  <si>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</si>
  <si>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</si>
  <si>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</si>
  <si>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</si>
  <si>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</si>
  <si>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</si>
  <si>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</si>
  <si>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</si>
  <si>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</si>
  <si>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</si>
  <si>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</si>
  <si>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</si>
  <si>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</si>
  <si>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</si>
  <si>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</si>
  <si>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</si>
  <si>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</si>
  <si>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</si>
  <si>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</si>
  <si>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</si>
  <si>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</si>
  <si>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</si>
  <si>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</si>
  <si>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</si>
  <si>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</si>
  <si>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</si>
  <si>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</si>
  <si>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</si>
  <si>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</si>
  <si>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</si>
  <si>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</si>
  <si>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</si>
  <si>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</si>
  <si>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</si>
  <si>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</si>
  <si>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</si>
  <si>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</si>
  <si>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</si>
  <si>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</si>
  <si>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</si>
  <si>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</si>
  <si>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</si>
  <si>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</si>
  <si>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</si>
  <si>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</si>
  <si>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</si>
  <si>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</si>
  <si>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</si>
  <si>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</si>
  <si>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</si>
  <si>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</si>
  <si>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</si>
  <si>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</si>
  <si>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</si>
  <si>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</si>
  <si>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</si>
  <si>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</si>
  <si>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</si>
  <si>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</si>
  <si>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</si>
  <si>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</si>
  <si>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</si>
  <si>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</si>
  <si>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</si>
  <si>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</si>
  <si>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</si>
  <si>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</si>
  <si>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</si>
  <si>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</si>
  <si>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</si>
  <si>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</si>
  <si>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</si>
  <si>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</si>
  <si>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</si>
  <si>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</si>
  <si>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</si>
  <si>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</si>
  <si>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</si>
  <si>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</si>
  <si>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</si>
  <si>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</si>
  <si>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</si>
  <si>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</si>
  <si>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</si>
  <si>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</si>
  <si>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</si>
  <si>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</si>
  <si>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</si>
  <si>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</si>
  <si>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</si>
  <si>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</si>
  <si>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</si>
  <si>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</si>
  <si>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</si>
  <si>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</si>
  <si>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</si>
  <si>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</si>
  <si>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</si>
  <si>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</si>
  <si>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</si>
  <si>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</si>
  <si>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</si>
  <si>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</si>
  <si>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</si>
  <si>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</si>
  <si>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</si>
  <si>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</si>
  <si>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</si>
  <si>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</si>
  <si>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</si>
  <si>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</si>
  <si>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</si>
  <si>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</si>
  <si>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</si>
  <si>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</si>
  <si>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</si>
  <si>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</si>
  <si>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</si>
  <si>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</si>
  <si>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</si>
  <si>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</si>
  <si>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</si>
  <si>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</si>
  <si>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</si>
  <si>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</si>
  <si>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</si>
  <si>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</si>
  <si>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</si>
  <si>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</si>
  <si>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</si>
  <si>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</si>
  <si>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</si>
  <si>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</si>
  <si>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</si>
  <si>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</si>
  <si>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</si>
  <si>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</si>
  <si>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</si>
  <si>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</si>
  <si>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</si>
  <si>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</si>
  <si>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</si>
  <si>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</si>
  <si>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</si>
  <si>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</si>
  <si>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</si>
  <si>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</si>
  <si>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</si>
  <si>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</si>
  <si>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</si>
  <si>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</si>
  <si>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</si>
  <si>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</si>
  <si>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</si>
  <si>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</si>
  <si>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</si>
  <si>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</si>
  <si>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</si>
  <si>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</si>
  <si>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</si>
  <si>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</si>
  <si>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</si>
  <si>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</si>
  <si>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</si>
  <si>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</si>
  <si>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</si>
  <si>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</si>
  <si>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</si>
  <si>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</si>
  <si>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</si>
  <si>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</si>
  <si>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</si>
  <si>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</si>
  <si>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</si>
  <si>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</si>
  <si>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</si>
  <si>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</si>
  <si>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</si>
  <si>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</si>
  <si>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</si>
  <si>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</si>
  <si>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</si>
  <si>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</si>
  <si>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</si>
  <si>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</si>
  <si>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</si>
  <si>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</si>
  <si>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</si>
  <si>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</si>
  <si>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</si>
  <si>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</si>
  <si>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</si>
  <si>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</si>
  <si>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</si>
  <si>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</si>
  <si>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</si>
  <si>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</si>
  <si>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</si>
  <si>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</si>
  <si>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</si>
  <si>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</si>
  <si>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</si>
  <si>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</si>
  <si>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</si>
  <si>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</si>
  <si>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</si>
  <si>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</si>
  <si>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</si>
  <si>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</si>
  <si>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</si>
  <si>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</si>
  <si>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</si>
  <si>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</si>
  <si>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</si>
  <si>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</si>
  <si>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</si>
  <si>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</si>
  <si>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</si>
  <si>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</si>
  <si>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</si>
  <si>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</si>
  <si>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</si>
  <si>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</si>
  <si>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</si>
  <si>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</si>
  <si>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</si>
  <si>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</si>
  <si>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</si>
  <si>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</si>
  <si>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</si>
  <si>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</si>
  <si>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</si>
  <si>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</si>
  <si>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</si>
  <si>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</si>
  <si>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</si>
  <si>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</si>
  <si>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</si>
  <si>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</si>
  <si>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</si>
  <si>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</si>
  <si>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</si>
  <si>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</si>
  <si>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</si>
  <si>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</si>
  <si>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</si>
  <si>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</si>
  <si>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</si>
  <si>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</si>
  <si>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</si>
  <si>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</si>
  <si>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</si>
  <si>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</si>
  <si>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</si>
  <si>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</si>
  <si>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</si>
  <si>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</si>
  <si>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</si>
  <si>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</si>
  <si>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</si>
  <si>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</si>
  <si>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</si>
  <si>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</si>
  <si>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</si>
  <si>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</si>
  <si>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</si>
  <si>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</si>
  <si>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</si>
  <si>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</si>
  <si>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</si>
  <si>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</si>
  <si>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</si>
  <si>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</si>
  <si>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</si>
  <si>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</si>
  <si>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</si>
  <si>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</si>
  <si>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</si>
  <si>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</si>
  <si>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</si>
  <si>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</si>
  <si>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</si>
  <si>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</si>
  <si>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</si>
  <si>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</si>
  <si>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</si>
  <si>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</si>
  <si>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</si>
  <si>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</si>
  <si>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</si>
  <si>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</si>
  <si>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</si>
  <si>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</si>
  <si>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</si>
  <si>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</si>
  <si>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</si>
  <si>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</si>
  <si>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</si>
  <si>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</si>
  <si>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</si>
  <si>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</si>
  <si>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</si>
  <si>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</si>
  <si>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</si>
  <si>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</si>
  <si>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</si>
  <si>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</si>
  <si>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</si>
  <si>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</si>
  <si>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</si>
  <si>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</si>
  <si>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</si>
  <si>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</si>
  <si>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</si>
  <si>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</si>
  <si>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</si>
  <si>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</si>
  <si>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</si>
  <si>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</si>
  <si>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</si>
  <si>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</si>
  <si>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</si>
  <si>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</si>
  <si>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</si>
  <si>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</si>
  <si>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</si>
  <si>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</si>
  <si>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</si>
  <si>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</si>
  <si>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</si>
  <si>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</si>
  <si>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</si>
  <si>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</si>
  <si>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</si>
  <si>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</si>
  <si>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</si>
  <si>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</si>
  <si>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</si>
  <si>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</si>
  <si>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</si>
  <si>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</si>
  <si>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</si>
  <si>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</si>
  <si>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</si>
  <si>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</si>
  <si>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</si>
  <si>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</si>
  <si>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</si>
  <si>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</si>
  <si>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</si>
  <si>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</si>
  <si>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</si>
  <si>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</si>
  <si>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</si>
  <si>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</si>
  <si>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</si>
  <si>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</si>
  <si>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</si>
  <si>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</si>
  <si>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</si>
  <si>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</si>
  <si>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</si>
  <si>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</si>
  <si>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</si>
  <si>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</si>
  <si>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</si>
  <si>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</si>
  <si>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</si>
  <si>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</si>
  <si>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</si>
  <si>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</si>
  <si>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</si>
  <si>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</si>
  <si>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</si>
  <si>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</si>
  <si>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</si>
  <si>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</si>
  <si>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</si>
  <si>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</si>
  <si>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</si>
  <si>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</si>
  <si>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</si>
  <si>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</si>
  <si>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</si>
  <si>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</si>
  <si>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</si>
  <si>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</si>
  <si>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</si>
  <si>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</si>
  <si>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</si>
  <si>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</si>
  <si>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</si>
  <si>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</si>
  <si>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</si>
  <si>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</si>
  <si>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</si>
  <si>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</si>
  <si>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</si>
  <si>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</si>
  <si>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</si>
  <si>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</si>
  <si>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</si>
  <si>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</si>
  <si>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</si>
  <si>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</si>
  <si>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</si>
  <si>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</si>
  <si>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</si>
  <si>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</si>
  <si>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</si>
  <si>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</si>
  <si>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</si>
  <si>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</si>
  <si>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</si>
  <si>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</si>
  <si>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</si>
  <si>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</si>
  <si>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</si>
  <si>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</si>
  <si>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</si>
  <si>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</si>
  <si>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</si>
  <si>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</si>
  <si>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</si>
  <si>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</si>
  <si>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</si>
  <si>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</si>
  <si>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</si>
  <si>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</si>
  <si>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</si>
  <si>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</si>
  <si>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</si>
  <si>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</si>
  <si>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</si>
  <si>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</si>
  <si>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</si>
  <si>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</si>
  <si>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</si>
  <si>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</si>
  <si>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</si>
  <si>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</si>
  <si>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</si>
  <si>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</si>
  <si>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</si>
  <si>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</si>
  <si>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</si>
  <si>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</si>
  <si>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</si>
  <si>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</si>
  <si>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</si>
  <si>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</si>
  <si>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</si>
  <si>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</si>
  <si>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</si>
  <si>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</si>
  <si>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</si>
  <si>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</si>
  <si>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</si>
  <si>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</si>
  <si>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</si>
  <si>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</si>
  <si>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</si>
  <si>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</si>
  <si>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</si>
  <si>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</si>
  <si>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</si>
  <si>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</si>
  <si>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</si>
  <si>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</si>
  <si>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</si>
  <si>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</si>
  <si>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</si>
  <si>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</si>
  <si>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</si>
  <si>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</si>
  <si>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</si>
  <si>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</si>
  <si>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</si>
  <si>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</si>
  <si>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</si>
  <si>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</si>
  <si>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</si>
  <si>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</si>
  <si>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</si>
  <si>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</si>
  <si>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</si>
  <si>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</si>
  <si>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</si>
  <si>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</si>
  <si>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</si>
  <si>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</si>
  <si>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</si>
  <si>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</si>
  <si>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</si>
  <si>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</si>
  <si>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</si>
  <si>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</si>
  <si>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</si>
  <si>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</si>
  <si>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</si>
  <si>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</si>
  <si>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</si>
  <si>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</si>
  <si>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</si>
  <si>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</si>
  <si>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</si>
  <si>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</si>
  <si>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</si>
  <si>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</si>
  <si>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</si>
  <si>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</si>
  <si>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</si>
  <si>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</si>
  <si>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</si>
  <si>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</si>
  <si>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</si>
  <si>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</si>
  <si>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</si>
  <si>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</si>
  <si>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</si>
  <si>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</si>
  <si>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</si>
  <si>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</si>
  <si>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</si>
  <si>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</si>
  <si>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</si>
  <si>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</si>
  <si>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</si>
  <si>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</si>
  <si>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</si>
  <si>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</si>
  <si>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</si>
  <si>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</si>
  <si>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</si>
  <si>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</si>
  <si>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</si>
  <si>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</si>
  <si>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</si>
  <si>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</si>
  <si>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</si>
  <si>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</si>
  <si>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</si>
  <si>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</si>
  <si>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</si>
  <si>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</si>
  <si>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</si>
  <si>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</si>
  <si>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</si>
  <si>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</si>
  <si>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</si>
  <si>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</si>
  <si>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</si>
  <si>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</si>
  <si>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</si>
  <si>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</si>
  <si>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</si>
  <si>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</si>
  <si>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</si>
  <si>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</si>
  <si>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</si>
  <si>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</si>
  <si>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</si>
  <si>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</si>
  <si>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</si>
  <si>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</si>
  <si>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</si>
  <si>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</si>
  <si>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</si>
  <si>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</si>
  <si>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</si>
  <si>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</si>
  <si>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</si>
  <si>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</si>
  <si>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</si>
  <si>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</si>
  <si>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</si>
  <si>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</si>
  <si>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</si>
  <si>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</si>
  <si>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</si>
  <si>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</si>
  <si>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</si>
  <si>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</si>
  <si>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</si>
  <si>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</si>
  <si>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</si>
  <si>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</si>
  <si>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</si>
  <si>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</si>
  <si>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</si>
  <si>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</si>
  <si>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</si>
  <si>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</si>
  <si>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</si>
  <si>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</si>
  <si>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</si>
  <si>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</si>
  <si>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</si>
  <si>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</si>
  <si>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</si>
  <si>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</si>
  <si>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</si>
  <si>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</si>
  <si>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</si>
  <si>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</si>
  <si>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</si>
  <si>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</si>
  <si>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</si>
  <si>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</si>
  <si>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</si>
  <si>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</si>
  <si>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</si>
  <si>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</si>
  <si>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</si>
  <si>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</si>
  <si>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</si>
  <si>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</si>
  <si>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</si>
  <si>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</si>
  <si>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</si>
  <si>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</si>
  <si>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</si>
  <si>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</si>
  <si>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</si>
  <si>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</si>
  <si>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</si>
  <si>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</si>
  <si>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</si>
  <si>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</si>
  <si>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</si>
  <si>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</si>
  <si>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</si>
  <si>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</si>
  <si>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</si>
  <si>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</si>
  <si>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</si>
  <si>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</si>
  <si>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</si>
  <si>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</si>
  <si>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</si>
  <si>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</si>
  <si>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</si>
  <si>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</si>
  <si>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</si>
  <si>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</si>
  <si>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</si>
  <si>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</si>
  <si>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</si>
  <si>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</si>
  <si>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</si>
  <si>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</si>
  <si>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</si>
  <si>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</si>
  <si>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</si>
  <si>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</si>
  <si>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</si>
  <si>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</si>
  <si>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</si>
  <si>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</si>
  <si>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</si>
  <si>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</si>
  <si>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</si>
  <si>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</si>
  <si>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</si>
  <si>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</si>
  <si>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</si>
  <si>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</si>
  <si>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</si>
  <si>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</si>
  <si>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</si>
  <si>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</si>
  <si>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</si>
  <si>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</si>
  <si>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</si>
  <si>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</si>
  <si>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</si>
  <si>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</si>
  <si>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</si>
  <si>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</si>
  <si>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</si>
  <si>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</si>
  <si>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</si>
  <si>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</si>
  <si>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</si>
  <si>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</si>
  <si>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</si>
  <si>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</si>
  <si>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</si>
  <si>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</si>
  <si>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</si>
  <si>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</si>
  <si>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</si>
  <si>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</si>
  <si>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</si>
  <si>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</si>
  <si>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</si>
  <si>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</si>
  <si>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</si>
  <si>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</si>
  <si>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</si>
  <si>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</si>
  <si>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</si>
  <si>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</si>
  <si>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</si>
  <si>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</si>
  <si>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</si>
  <si>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</si>
  <si>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</si>
  <si>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</si>
  <si>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</si>
  <si>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</si>
  <si>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</si>
  <si>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</si>
  <si>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</si>
  <si>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</si>
  <si>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</si>
  <si>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</si>
  <si>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</si>
  <si>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</si>
  <si>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</si>
  <si>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</si>
  <si>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</si>
  <si>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</si>
  <si>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</si>
  <si>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</si>
  <si>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</si>
  <si>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</si>
  <si>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</si>
  <si>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</si>
  <si>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</si>
  <si>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</si>
  <si>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</si>
  <si>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</si>
  <si>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</si>
  <si>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</si>
  <si>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</si>
  <si>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</si>
  <si>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</si>
  <si>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</si>
  <si>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</si>
  <si>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</si>
  <si>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</si>
  <si>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</si>
  <si>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</si>
  <si>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</si>
  <si>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</si>
  <si>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</si>
  <si>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</si>
  <si>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</si>
  <si>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</si>
  <si>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</si>
  <si>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</si>
  <si>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</si>
  <si>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</si>
  <si>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</si>
  <si>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</si>
  <si>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</si>
  <si>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</si>
  <si>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</si>
  <si>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</si>
  <si>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</si>
  <si>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</si>
  <si>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</si>
  <si>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</si>
  <si>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</si>
  <si>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</si>
  <si>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</si>
  <si>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</si>
  <si>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</si>
  <si>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</si>
  <si>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</si>
  <si>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</si>
  <si>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</si>
  <si>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</si>
  <si>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</si>
  <si>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</si>
  <si>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</si>
  <si>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</si>
  <si>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</si>
  <si>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</si>
  <si>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</si>
  <si>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</si>
  <si>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</si>
  <si>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</si>
  <si>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</si>
  <si>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</si>
  <si>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</si>
  <si>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</si>
  <si>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</si>
  <si>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</si>
  <si>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</si>
  <si>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</si>
  <si>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</si>
  <si>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</si>
  <si>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</si>
  <si>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</si>
  <si>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</si>
  <si>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</si>
  <si>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</si>
  <si>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</si>
  <si>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</si>
  <si>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</si>
  <si>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</si>
  <si>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</si>
  <si>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</si>
  <si>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</si>
  <si>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</si>
  <si>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</si>
  <si>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</si>
  <si>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</si>
  <si>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</si>
  <si>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</si>
  <si>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</si>
  <si>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</si>
  <si>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</si>
  <si>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</si>
  <si>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</si>
  <si>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</si>
  <si>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</si>
  <si>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</si>
  <si>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</si>
  <si>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</si>
  <si>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</si>
  <si>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</si>
  <si>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</si>
  <si>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</si>
  <si>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</si>
  <si>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</si>
  <si>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</si>
  <si>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</si>
  <si>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</si>
  <si>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</si>
  <si>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</si>
  <si>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</si>
  <si>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</si>
  <si>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</si>
  <si>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</si>
  <si>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</si>
  <si>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</si>
  <si>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</si>
  <si>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</si>
  <si>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</si>
  <si>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</si>
  <si>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</si>
  <si>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</si>
  <si>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</si>
  <si>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</si>
  <si>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</si>
  <si>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</si>
  <si>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</si>
  <si>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</si>
  <si>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</si>
  <si>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</si>
  <si>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</si>
  <si>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</si>
  <si>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</si>
  <si>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</si>
  <si>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</si>
  <si>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</si>
  <si>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</si>
  <si>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</si>
  <si>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</si>
  <si>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</si>
  <si>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</si>
  <si>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</si>
  <si>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</si>
  <si>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</si>
  <si>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</si>
  <si>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</si>
  <si>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</si>
  <si>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</si>
  <si>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</si>
  <si>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</si>
  <si>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</si>
  <si>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</si>
  <si>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</si>
  <si>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</si>
  <si>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</si>
  <si>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</si>
  <si>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</si>
  <si>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</si>
  <si>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</si>
  <si>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</si>
  <si>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</si>
  <si>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</si>
  <si>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</si>
  <si>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</si>
  <si>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</si>
  <si>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</si>
  <si>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</si>
  <si>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</si>
  <si>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</si>
  <si>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</si>
  <si>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</si>
  <si>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</si>
  <si>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</si>
  <si>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</si>
  <si>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</si>
  <si>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</si>
  <si>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</si>
  <si>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</si>
  <si>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</si>
  <si>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</si>
  <si>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</si>
  <si>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</si>
  <si>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</si>
  <si>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</si>
  <si>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</si>
  <si>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</si>
  <si>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</si>
  <si>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</si>
  <si>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</si>
  <si>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</si>
  <si>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</si>
  <si>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</si>
  <si>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</si>
  <si>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</si>
  <si>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</si>
  <si>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</si>
  <si>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</si>
  <si>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</si>
  <si>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</si>
  <si>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</si>
  <si>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</si>
  <si>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</si>
  <si>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</si>
  <si>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</si>
  <si>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</si>
  <si>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</si>
  <si>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</si>
  <si>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</si>
  <si>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</si>
  <si>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</si>
  <si>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</si>
  <si>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</si>
  <si>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</si>
  <si>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</si>
  <si>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</si>
  <si>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</si>
  <si>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</si>
  <si>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</si>
  <si>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</si>
  <si>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</si>
  <si>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</si>
  <si>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</si>
  <si>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</si>
  <si>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</si>
  <si>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</si>
  <si>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</si>
  <si>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</si>
  <si>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</si>
  <si>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</si>
  <si>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</si>
  <si>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</si>
  <si>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</si>
  <si>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</si>
  <si>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</si>
  <si>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</si>
  <si>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</si>
  <si>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</si>
  <si>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</si>
  <si>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</si>
  <si>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</si>
  <si>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</si>
  <si>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</si>
  <si>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</si>
  <si>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</si>
  <si>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</si>
  <si>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</si>
  <si>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</si>
  <si>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</si>
  <si>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</si>
  <si>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</si>
  <si>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</si>
  <si>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</si>
  <si>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</si>
  <si>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</si>
  <si>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</si>
  <si>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</si>
  <si>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</si>
  <si>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</si>
  <si>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</si>
  <si>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</si>
  <si>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</si>
  <si>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</si>
  <si>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</si>
  <si>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</si>
  <si>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</si>
  <si>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</si>
  <si>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</si>
  <si>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</si>
  <si>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</si>
  <si>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</si>
  <si>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</si>
  <si>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</si>
  <si>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</si>
  <si>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</si>
  <si>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</si>
  <si>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</si>
  <si>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</si>
  <si>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</si>
  <si>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</si>
  <si>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</si>
  <si>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</si>
  <si>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</si>
  <si>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</si>
  <si>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</si>
  <si>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</si>
  <si>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</si>
  <si>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</si>
  <si>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</si>
  <si>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</si>
  <si>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</si>
  <si>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</si>
  <si>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</si>
  <si>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</si>
  <si>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</si>
  <si>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</si>
  <si>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</si>
  <si>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</si>
  <si>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</si>
  <si>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</si>
  <si>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</si>
  <si>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</si>
  <si>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</si>
  <si>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</si>
  <si>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</si>
  <si>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</si>
  <si>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</si>
  <si>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</si>
  <si>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</si>
  <si>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</si>
  <si>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</si>
  <si>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</si>
  <si>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</si>
  <si>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</si>
  <si>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</si>
  <si>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</si>
  <si>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</si>
  <si>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</si>
  <si>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</si>
  <si>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</si>
  <si>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</si>
  <si>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</si>
  <si>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</si>
  <si>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</si>
  <si>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</si>
  <si>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</si>
  <si>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</si>
  <si>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</si>
  <si>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</si>
  <si>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</si>
  <si>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</si>
  <si>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</si>
  <si>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</si>
  <si>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</si>
  <si>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</si>
  <si>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</si>
  <si>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</si>
  <si>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</si>
  <si>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</si>
  <si>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</si>
  <si>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</si>
  <si>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</si>
  <si>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</si>
  <si>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</si>
  <si>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</si>
  <si>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</si>
  <si>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</si>
  <si>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</si>
  <si>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</si>
  <si>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</si>
  <si>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</si>
  <si>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</si>
  <si>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</si>
  <si>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</si>
  <si>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</si>
  <si>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</si>
  <si>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</si>
  <si>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</si>
  <si>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</si>
  <si>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</si>
  <si>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</si>
  <si>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</si>
  <si>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</si>
  <si>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</si>
  <si>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</si>
  <si>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</si>
  <si>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</si>
  <si>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</si>
  <si>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</si>
  <si>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</si>
  <si>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</si>
  <si>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</si>
  <si>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</si>
  <si>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</si>
  <si>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</si>
  <si>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</si>
  <si>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</si>
  <si>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</si>
  <si>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</si>
  <si>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</si>
  <si>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</si>
  <si>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</si>
  <si>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</si>
  <si>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</si>
  <si>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</si>
  <si>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</si>
  <si>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</si>
  <si>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</si>
  <si>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</si>
  <si>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</si>
  <si>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</si>
  <si>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</si>
  <si>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</si>
  <si>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</si>
  <si>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</si>
  <si>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</si>
  <si>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</si>
  <si>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</si>
  <si>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</si>
  <si>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</si>
  <si>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</si>
  <si>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</si>
  <si>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</si>
  <si>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</si>
  <si>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</si>
  <si>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</si>
  <si>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</si>
  <si>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</si>
  <si>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</si>
  <si>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</si>
  <si>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</si>
  <si>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</si>
  <si>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</si>
  <si>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</si>
  <si>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</si>
  <si>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</si>
  <si>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</si>
  <si>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</si>
  <si>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</si>
  <si>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</si>
  <si>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</si>
  <si>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</si>
  <si>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</si>
  <si>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</si>
  <si>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</si>
  <si>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</si>
  <si>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</si>
  <si>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</si>
  <si>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</si>
  <si>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</si>
  <si>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</si>
  <si>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</si>
  <si>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</si>
  <si>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</si>
  <si>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</si>
  <si>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</si>
  <si>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</si>
  <si>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</si>
  <si>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</si>
  <si>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</si>
  <si>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</si>
  <si>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</si>
  <si>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</si>
  <si>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</si>
  <si>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</si>
  <si>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</si>
  <si>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</si>
  <si>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</si>
  <si>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</si>
  <si>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</si>
  <si>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</si>
  <si>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</si>
  <si>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</si>
  <si>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</si>
  <si>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</si>
  <si>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</si>
  <si>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</si>
  <si>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</si>
  <si>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</si>
  <si>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</si>
  <si>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</si>
  <si>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</si>
  <si>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</si>
  <si>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</si>
  <si>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</si>
  <si>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</si>
  <si>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</si>
  <si>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</si>
  <si>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</si>
  <si>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</si>
  <si>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</si>
  <si>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</si>
  <si>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</si>
  <si>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</si>
  <si>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</si>
  <si>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</si>
  <si>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</si>
  <si>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</si>
  <si>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</si>
  <si>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</si>
  <si>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</si>
  <si>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</si>
  <si>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</si>
  <si>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</si>
  <si>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</si>
  <si>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</si>
  <si>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</si>
  <si>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</si>
  <si>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</si>
  <si>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</si>
  <si>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</si>
  <si>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</si>
  <si>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</si>
  <si>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</si>
  <si>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</si>
  <si>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</si>
  <si>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</si>
  <si>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</si>
  <si>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</si>
  <si>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</si>
  <si>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</si>
  <si>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</si>
  <si>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</si>
  <si>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</si>
  <si>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</si>
  <si>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</si>
  <si>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</si>
  <si>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</si>
  <si>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</si>
  <si>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</si>
  <si>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</si>
  <si>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</si>
  <si>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</si>
  <si>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</si>
  <si>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</si>
  <si>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</si>
  <si>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</si>
  <si>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</si>
  <si>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</si>
  <si>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</si>
  <si>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</si>
  <si>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</si>
  <si>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</si>
  <si>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</si>
  <si>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</si>
  <si>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</si>
  <si>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</si>
  <si>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</si>
  <si>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</si>
  <si>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</si>
  <si>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</si>
  <si>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</si>
  <si>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</si>
  <si>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</si>
  <si>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</si>
  <si>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</si>
  <si>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</si>
  <si>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</si>
  <si>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</si>
  <si>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</si>
  <si>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</si>
  <si>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</si>
  <si>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</si>
  <si>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</si>
  <si>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</si>
  <si>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</si>
  <si>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</si>
  <si>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</si>
  <si>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</si>
  <si>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</si>
  <si>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</si>
  <si>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</si>
  <si>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</si>
  <si>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</si>
  <si>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</si>
  <si>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</si>
  <si>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</si>
  <si>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</si>
  <si>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</si>
  <si>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</si>
  <si>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</si>
  <si>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</si>
  <si>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</si>
  <si>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</si>
  <si>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</si>
  <si>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</si>
  <si>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</si>
  <si>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</si>
  <si>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</si>
  <si>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</si>
  <si>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</si>
  <si>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</si>
  <si>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</si>
  <si>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</si>
  <si>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</si>
  <si>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</si>
  <si>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</si>
  <si>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</si>
  <si>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</si>
  <si>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</si>
  <si>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</si>
  <si>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</si>
  <si>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</si>
  <si>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</si>
  <si>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</si>
  <si>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</si>
  <si>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</si>
  <si>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</si>
  <si>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</si>
  <si>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</si>
  <si>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</si>
  <si>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</si>
  <si>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</si>
  <si>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</si>
  <si>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</si>
  <si>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</si>
  <si>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</si>
  <si>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</si>
  <si>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</si>
  <si>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</si>
  <si>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</si>
  <si>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</si>
  <si>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</si>
  <si>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</si>
  <si>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</si>
  <si>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</si>
  <si>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</si>
  <si>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</si>
  <si>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</si>
  <si>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</si>
  <si>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</si>
  <si>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</si>
  <si>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</si>
  <si>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</si>
  <si>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</si>
  <si>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</si>
  <si>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</si>
  <si>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</si>
  <si>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</si>
  <si>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</si>
  <si>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</si>
  <si>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</si>
  <si>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</si>
  <si>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</si>
  <si>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</si>
  <si>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</si>
  <si>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</si>
  <si>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</si>
  <si>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</si>
  <si>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</si>
  <si>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</si>
  <si>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</si>
  <si>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</si>
  <si>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</si>
  <si>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</si>
  <si>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</si>
  <si>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</si>
  <si>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</si>
  <si>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</si>
  <si>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</si>
  <si>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</si>
  <si>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</si>
  <si>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</si>
  <si>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</si>
  <si>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</si>
  <si>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</si>
  <si>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</si>
  <si>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</si>
  <si>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</si>
  <si>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</si>
  <si>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</si>
  <si>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</si>
  <si>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</si>
  <si>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</si>
  <si>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</si>
  <si>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</si>
  <si>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</si>
  <si>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</si>
  <si>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</si>
  <si>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</si>
  <si>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</si>
  <si>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</si>
  <si>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</si>
  <si>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</si>
  <si>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</si>
  <si>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</si>
  <si>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</si>
  <si>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</si>
  <si>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</si>
  <si>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</si>
  <si>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</si>
  <si>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</si>
  <si>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</si>
  <si>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</si>
  <si>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</si>
  <si>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</si>
  <si>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</si>
  <si>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</si>
  <si>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</si>
  <si>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</si>
  <si>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</si>
  <si>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</si>
  <si>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</si>
  <si>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</si>
  <si>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</si>
  <si>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</si>
  <si>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</si>
  <si>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</si>
  <si>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</si>
  <si>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</si>
  <si>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</si>
  <si>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</si>
  <si>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</si>
  <si>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</si>
  <si>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</si>
  <si>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</si>
  <si>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</si>
  <si>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</si>
  <si>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</si>
  <si>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</si>
  <si>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</si>
  <si>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</si>
  <si>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</si>
  <si>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</si>
  <si>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</si>
  <si>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</si>
  <si>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</si>
  <si>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</si>
  <si>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</si>
  <si>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</si>
  <si>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</si>
  <si>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</si>
  <si>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</si>
  <si>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</si>
  <si>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</si>
  <si>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</si>
  <si>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</si>
  <si>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</si>
  <si>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</si>
  <si>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</si>
  <si>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</si>
  <si>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</si>
  <si>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</si>
  <si>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</si>
  <si>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</si>
  <si>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</si>
  <si>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</si>
  <si>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</si>
  <si>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</si>
  <si>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</si>
  <si>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</si>
  <si>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</si>
  <si>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</si>
  <si>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</si>
  <si>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</si>
  <si>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</si>
  <si>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</si>
  <si>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</si>
  <si>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</si>
  <si>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</si>
  <si>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</si>
  <si>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</si>
  <si>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</si>
  <si>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</si>
  <si>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</si>
  <si>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</si>
  <si>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</si>
  <si>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</si>
  <si>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</si>
  <si>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</si>
  <si>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</si>
  <si>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</si>
  <si>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</si>
  <si>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</si>
  <si>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</si>
  <si>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</si>
  <si>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</si>
  <si>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</si>
  <si>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</si>
  <si>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</si>
  <si>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</si>
  <si>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</si>
  <si>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</si>
  <si>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</si>
  <si>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</si>
  <si>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</si>
  <si>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</si>
  <si>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</si>
  <si>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</si>
  <si>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</si>
  <si>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</si>
  <si>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</si>
  <si>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</si>
  <si>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</si>
  <si>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</si>
  <si>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</si>
  <si>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</si>
  <si>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</si>
  <si>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</si>
  <si>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</si>
  <si>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</si>
  <si>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</si>
  <si>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</si>
  <si>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</si>
  <si>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</si>
  <si>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</si>
  <si>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</si>
  <si>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</si>
  <si>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</si>
  <si>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</si>
  <si>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</si>
  <si>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</si>
  <si>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</si>
  <si>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</si>
  <si>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</si>
  <si>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</si>
  <si>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</si>
  <si>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</si>
  <si>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</si>
  <si>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</si>
  <si>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</si>
  <si>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</si>
  <si>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</si>
  <si>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</si>
  <si>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</si>
  <si>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</si>
  <si>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</si>
  <si>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</si>
  <si>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</si>
  <si>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</si>
  <si>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</si>
  <si>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</si>
  <si>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</si>
  <si>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</si>
  <si>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</si>
  <si>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</si>
  <si>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</si>
  <si>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</si>
  <si>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</si>
  <si>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</si>
  <si>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</si>
  <si>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</si>
  <si>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</si>
  <si>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</si>
  <si>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</si>
  <si>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</si>
  <si>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</si>
  <si>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</si>
  <si>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</si>
  <si>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</si>
  <si>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</si>
  <si>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</si>
  <si>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</si>
  <si>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</si>
  <si>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</si>
  <si>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</si>
  <si>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</si>
  <si>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</si>
  <si>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</si>
  <si>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</si>
  <si>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</si>
  <si>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</si>
  <si>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</si>
  <si>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</si>
  <si>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</si>
  <si>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</si>
  <si>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</si>
  <si>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</si>
  <si>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</si>
  <si>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</si>
  <si>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</si>
  <si>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</si>
  <si>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</si>
  <si>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</si>
  <si>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</si>
  <si>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</si>
  <si>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</si>
  <si>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</si>
  <si>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</si>
  <si>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</si>
  <si>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</si>
  <si>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</si>
  <si>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</si>
  <si>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</si>
  <si>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</si>
  <si>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</si>
  <si>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</si>
  <si>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</si>
  <si>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</si>
  <si>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</si>
  <si>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</si>
  <si>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</si>
  <si>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</si>
  <si>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</si>
  <si>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</si>
  <si>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</si>
  <si>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</si>
  <si>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</si>
  <si>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</si>
  <si>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</si>
  <si>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</si>
  <si>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</si>
  <si>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</si>
  <si>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</si>
  <si>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</si>
  <si>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</si>
  <si>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</si>
  <si>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</si>
  <si>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</si>
  <si>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</si>
  <si>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</si>
  <si>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</si>
  <si>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</si>
  <si>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</si>
  <si>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</si>
  <si>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</si>
  <si>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</si>
  <si>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</si>
  <si>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</si>
  <si>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</si>
  <si>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</si>
  <si>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</si>
  <si>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</si>
  <si>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</si>
  <si>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</si>
  <si>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</si>
  <si>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</si>
  <si>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</si>
  <si>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</si>
  <si>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</si>
  <si>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</si>
  <si>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</si>
  <si>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</si>
  <si>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</si>
  <si>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</si>
  <si>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</si>
  <si>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</si>
  <si>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</si>
  <si>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</si>
  <si>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</si>
  <si>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</si>
  <si>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</si>
  <si>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</si>
  <si>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</si>
  <si>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</si>
  <si>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</si>
  <si>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</si>
  <si>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</si>
  <si>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</si>
  <si>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</si>
  <si>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</si>
  <si>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</si>
  <si>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</si>
  <si>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</si>
  <si>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</si>
  <si>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</si>
  <si>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</si>
  <si>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</si>
  <si>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</si>
  <si>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</si>
  <si>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</si>
  <si>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</si>
  <si>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</si>
  <si>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</si>
  <si>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</si>
  <si>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</si>
  <si>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</si>
  <si>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</si>
  <si>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</si>
  <si>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</si>
  <si>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</si>
  <si>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</si>
  <si>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</si>
  <si>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</si>
  <si>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</si>
  <si>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</si>
  <si>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</si>
  <si>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</si>
  <si>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</si>
  <si>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</si>
  <si>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</si>
  <si>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</si>
  <si>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</si>
  <si>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</si>
  <si>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</si>
  <si>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</si>
  <si>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</si>
  <si>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</si>
  <si>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</si>
  <si>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</si>
  <si>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</si>
  <si>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</si>
  <si>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</si>
  <si>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</si>
  <si>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</si>
  <si>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</si>
  <si>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</si>
  <si>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</si>
  <si>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</si>
  <si>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</si>
  <si>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</si>
  <si>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</si>
  <si>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</si>
  <si>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</si>
  <si>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</si>
  <si>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</si>
  <si>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</si>
  <si>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</si>
  <si>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</si>
  <si>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</si>
  <si>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</si>
  <si>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</si>
  <si>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</si>
  <si>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</si>
  <si>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</si>
  <si>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</si>
  <si>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</si>
  <si>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</si>
  <si>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</si>
  <si>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</si>
  <si>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</si>
  <si>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</si>
  <si>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</si>
  <si>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</si>
  <si>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</si>
  <si>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</si>
  <si>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</si>
  <si>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</si>
  <si>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</si>
  <si>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</si>
  <si>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</si>
  <si>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</si>
  <si>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</si>
  <si>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</si>
  <si>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</si>
  <si>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</si>
  <si>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</si>
  <si>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</si>
  <si>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</si>
  <si>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</si>
  <si>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</si>
  <si>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</si>
  <si>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</si>
  <si>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</si>
  <si>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</si>
  <si>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</si>
  <si>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</si>
  <si>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</si>
  <si>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</si>
  <si>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</si>
  <si>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</si>
  <si>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</si>
  <si>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</si>
  <si>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</si>
  <si>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</si>
  <si>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</si>
  <si>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</si>
  <si>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</si>
  <si>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</si>
  <si>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</si>
  <si>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</si>
  <si>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</si>
  <si>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</si>
  <si>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</si>
  <si>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</si>
  <si>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</si>
  <si>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</si>
  <si>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</si>
  <si>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</si>
  <si>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</si>
  <si>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</si>
  <si>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</si>
  <si>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</si>
  <si>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</si>
  <si>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</si>
  <si>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</si>
  <si>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</si>
  <si>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</si>
  <si>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</si>
  <si>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</si>
  <si>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</si>
  <si>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</si>
  <si>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</si>
  <si>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</si>
  <si>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</si>
  <si>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</si>
  <si>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</si>
  <si>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</si>
  <si>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</si>
  <si>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</si>
  <si>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</si>
  <si>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</si>
  <si>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</si>
  <si>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</si>
  <si>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</si>
  <si>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</si>
  <si>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</si>
  <si>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</si>
  <si>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</si>
  <si>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</si>
  <si>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</si>
  <si>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</si>
  <si>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</si>
  <si>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</si>
  <si>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</si>
  <si>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</si>
  <si>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</si>
  <si>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</si>
  <si>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</si>
  <si>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</si>
  <si>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</si>
  <si>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</si>
  <si>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</si>
  <si>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</si>
  <si>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</si>
  <si>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</si>
  <si>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</si>
  <si>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</si>
  <si>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</si>
  <si>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</si>
  <si>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</si>
  <si>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</si>
  <si>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</si>
  <si>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</si>
  <si>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</si>
  <si>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</si>
  <si>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</si>
  <si>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</si>
  <si>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</si>
  <si>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</si>
  <si>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</si>
  <si>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</si>
  <si>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</si>
  <si>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</si>
  <si>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</si>
  <si>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</si>
  <si>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</si>
  <si>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</si>
  <si>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</si>
  <si>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</si>
  <si>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</si>
  <si>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</si>
  <si>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</si>
  <si>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</si>
  <si>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</si>
  <si>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</si>
  <si>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</si>
  <si>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</si>
  <si>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</si>
  <si>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</si>
  <si>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</si>
  <si>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</si>
  <si>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</si>
  <si>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</si>
  <si>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</si>
  <si>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</si>
  <si>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</si>
  <si>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</si>
  <si>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</si>
  <si>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</si>
  <si>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</si>
  <si>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</si>
  <si>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</si>
  <si>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</si>
  <si>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</si>
  <si>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</si>
  <si>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</si>
  <si>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</si>
  <si>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</si>
  <si>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</si>
  <si>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</si>
  <si>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</si>
  <si>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</si>
  <si>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</si>
  <si>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</si>
  <si>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</si>
  <si>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</si>
  <si>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</si>
  <si>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</si>
  <si>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</si>
  <si>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</si>
  <si>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</si>
  <si>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</si>
  <si>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</si>
  <si>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</si>
  <si>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</si>
  <si>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</si>
  <si>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</si>
  <si>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</si>
  <si>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</si>
  <si>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</si>
  <si>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</si>
  <si>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</si>
  <si>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</si>
  <si>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</si>
  <si>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</si>
  <si>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</si>
  <si>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</si>
  <si>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</si>
  <si>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</si>
  <si>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</si>
  <si>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</si>
  <si>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</si>
  <si>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</si>
  <si>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</si>
  <si>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</si>
  <si>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</si>
  <si>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</si>
  <si>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</si>
  <si>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</si>
  <si>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</si>
  <si>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</si>
  <si>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</si>
  <si>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</si>
  <si>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</si>
  <si>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</si>
  <si>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</si>
  <si>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</si>
  <si>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</si>
  <si>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</si>
  <si>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</si>
  <si>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</si>
  <si>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</si>
  <si>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</si>
  <si>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</si>
  <si>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</si>
  <si>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</si>
  <si>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</si>
  <si>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</si>
  <si>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</si>
  <si>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</si>
  <si>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</si>
  <si>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</si>
  <si>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</si>
  <si>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</si>
  <si>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</si>
  <si>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</si>
  <si>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</si>
  <si>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</si>
  <si>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</si>
  <si>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</si>
  <si>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</si>
  <si>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</si>
  <si>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</si>
  <si>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</si>
  <si>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</si>
  <si>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</si>
  <si>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</si>
  <si>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</si>
  <si>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</si>
  <si>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</si>
  <si>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</si>
  <si>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</si>
  <si>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</si>
  <si>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</si>
  <si>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</si>
  <si>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</si>
  <si>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</si>
  <si>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</si>
  <si>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</si>
  <si>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</si>
  <si>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</si>
  <si>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</si>
  <si>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</si>
  <si>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</si>
  <si>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</si>
  <si>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</si>
  <si>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</si>
  <si>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</si>
  <si>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</si>
  <si>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</si>
  <si>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</si>
  <si>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</si>
  <si>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</si>
  <si>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</si>
  <si>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</si>
  <si>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</si>
  <si>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</si>
  <si>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</si>
  <si>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</si>
  <si>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</si>
  <si>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</si>
  <si>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</si>
  <si>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</si>
  <si>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</si>
  <si>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</si>
  <si>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</si>
  <si>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</si>
  <si>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</si>
  <si>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</si>
  <si>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</si>
  <si>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</si>
  <si>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</si>
  <si>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</si>
  <si>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</si>
  <si>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</si>
  <si>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</si>
  <si>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</si>
  <si>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</si>
  <si>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</si>
  <si>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</si>
  <si>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</si>
  <si>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</si>
  <si>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</si>
  <si>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</si>
  <si>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</si>
  <si>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</si>
  <si>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</si>
  <si>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</si>
  <si>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</si>
  <si>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</si>
  <si>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</si>
  <si>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</si>
  <si>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</si>
  <si>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</si>
  <si>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</si>
  <si>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</si>
  <si>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</si>
  <si>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</si>
  <si>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</si>
  <si>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</si>
  <si>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</si>
  <si>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</si>
  <si>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</si>
  <si>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</si>
  <si>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</si>
  <si>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</si>
  <si>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</si>
  <si>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</si>
  <si>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</si>
  <si>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</si>
  <si>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</si>
  <si>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</si>
  <si>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</si>
  <si>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</si>
  <si>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</si>
  <si>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</si>
  <si>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</si>
  <si>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</si>
  <si>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</si>
  <si>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</si>
  <si>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</si>
  <si>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</si>
  <si>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</si>
  <si>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</si>
  <si>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</si>
  <si>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</si>
  <si>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</si>
  <si>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</si>
  <si>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</si>
  <si>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</si>
  <si>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</si>
  <si>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</si>
  <si>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</si>
  <si>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</si>
  <si>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</si>
  <si>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</si>
  <si>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</si>
  <si>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</si>
  <si>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</si>
  <si>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</si>
  <si>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</si>
  <si>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</si>
  <si>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</si>
  <si>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</si>
  <si>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</si>
  <si>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</si>
  <si>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</si>
  <si>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</si>
  <si>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</si>
  <si>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</si>
  <si>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</si>
  <si>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</si>
  <si>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</si>
  <si>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</si>
  <si>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</si>
  <si>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</si>
  <si>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</si>
  <si>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</si>
  <si>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</si>
  <si>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</si>
  <si>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</si>
  <si>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</si>
  <si>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</si>
  <si>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</si>
  <si>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</si>
  <si>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</si>
  <si>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</si>
  <si>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</si>
  <si>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</si>
  <si>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</si>
  <si>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</si>
  <si>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</si>
  <si>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</si>
  <si>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</si>
  <si>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</si>
  <si>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</si>
  <si>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</si>
  <si>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</si>
  <si>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</si>
  <si>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</si>
  <si>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</si>
  <si>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</si>
  <si>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</si>
  <si>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</si>
  <si>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</si>
  <si>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</si>
  <si>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</si>
  <si>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</si>
  <si>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</si>
  <si>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</si>
  <si>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</si>
  <si>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</si>
  <si>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</si>
  <si>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</si>
  <si>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</si>
  <si>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</si>
  <si>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</si>
  <si>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</si>
  <si>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</si>
  <si>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</si>
  <si>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</si>
  <si>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</si>
  <si>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</si>
  <si>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</si>
  <si>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</si>
  <si>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</si>
  <si>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</si>
  <si>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</si>
  <si>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</si>
  <si>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</si>
  <si>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</si>
  <si>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</si>
  <si>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</si>
  <si>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</si>
  <si>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</si>
  <si>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</si>
  <si>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</si>
  <si>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</si>
  <si>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</si>
  <si>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</si>
  <si>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</si>
  <si>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</si>
  <si>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</si>
  <si>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</si>
  <si>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</si>
  <si>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</si>
  <si>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</si>
  <si>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</si>
  <si>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</si>
  <si>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</si>
  <si>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</si>
  <si>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</si>
  <si>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</si>
  <si>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</si>
  <si>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</si>
  <si>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</si>
  <si>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</si>
  <si>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</si>
  <si>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</si>
  <si>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</si>
  <si>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</si>
  <si>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</si>
  <si>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</si>
  <si>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</si>
  <si>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</si>
  <si>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</si>
  <si>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</si>
  <si>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</si>
  <si>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</si>
  <si>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</si>
  <si>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</si>
  <si>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</si>
  <si>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</si>
  <si>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</si>
  <si>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</si>
  <si>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</si>
  <si>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</si>
  <si>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</si>
  <si>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</si>
  <si>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</si>
  <si>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</si>
  <si>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</si>
  <si>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</si>
  <si>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</si>
  <si>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</si>
  <si>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</si>
  <si>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</si>
  <si>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</si>
  <si>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</si>
  <si>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</si>
  <si>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</si>
  <si>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</si>
  <si>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</si>
  <si>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</si>
  <si>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</si>
  <si>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</si>
  <si>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</si>
  <si>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</si>
  <si>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</si>
  <si>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</si>
  <si>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</si>
  <si>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</si>
  <si>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</si>
  <si>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</si>
  <si>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</si>
  <si>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</si>
  <si>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</si>
  <si>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</si>
  <si>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</si>
  <si>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</si>
  <si>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</si>
  <si>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</si>
  <si>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</si>
  <si>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</si>
  <si>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</si>
  <si>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</si>
  <si>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</si>
  <si>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</si>
  <si>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</si>
  <si>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</si>
  <si>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</si>
  <si>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</si>
  <si>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</si>
  <si>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</si>
  <si>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</si>
  <si>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</si>
  <si>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</si>
  <si>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</si>
  <si>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</si>
  <si>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</si>
  <si>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</si>
  <si>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</si>
  <si>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</si>
  <si>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</si>
  <si>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</si>
  <si>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</si>
  <si>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</si>
  <si>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</si>
  <si>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</si>
  <si>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</si>
  <si>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</si>
  <si>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</si>
  <si>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</si>
  <si>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</si>
  <si>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</si>
  <si>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</si>
  <si>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</si>
  <si>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</si>
  <si>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</si>
  <si>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</si>
  <si>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</si>
  <si>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</si>
  <si>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</si>
  <si>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</si>
  <si>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</si>
  <si>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</si>
  <si>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</si>
  <si>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</si>
  <si>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</si>
  <si>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</si>
  <si>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</si>
  <si>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</si>
  <si>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</si>
  <si>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</si>
  <si>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</si>
  <si>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</si>
  <si>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</si>
  <si>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</si>
  <si>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</si>
  <si>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</si>
  <si>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</si>
  <si>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</si>
  <si>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</si>
  <si>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</si>
  <si>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</si>
  <si>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</si>
  <si>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</si>
  <si>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</si>
  <si>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</si>
  <si>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</si>
  <si>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</si>
  <si>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</si>
  <si>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</si>
  <si>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</si>
  <si>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</si>
  <si>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</si>
  <si>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</si>
  <si>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</si>
  <si>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</si>
  <si>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</si>
  <si>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</si>
  <si>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</si>
  <si>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</si>
  <si>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</si>
  <si>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</si>
  <si>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</si>
  <si>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</si>
  <si>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</si>
  <si>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</si>
  <si>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</si>
  <si>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</si>
  <si>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</si>
  <si>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</si>
  <si>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</si>
  <si>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</si>
  <si>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</si>
  <si>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</si>
  <si>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</si>
  <si>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</si>
  <si>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</si>
  <si>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</si>
  <si>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</si>
  <si>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</si>
  <si>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</si>
  <si>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</si>
  <si>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</si>
  <si>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</si>
  <si>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</si>
  <si>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</si>
  <si>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</si>
  <si>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</si>
  <si>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</si>
  <si>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</si>
  <si>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</si>
  <si>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</si>
  <si>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</si>
  <si>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</si>
  <si>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</si>
  <si>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</si>
  <si>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</si>
  <si>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</si>
  <si>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</si>
  <si>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</si>
  <si>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</si>
  <si>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</si>
  <si>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</si>
  <si>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</si>
  <si>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</si>
  <si>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</si>
  <si>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</si>
  <si>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</si>
  <si>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</si>
  <si>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</si>
  <si>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</si>
  <si>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</si>
  <si>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</si>
  <si>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</si>
  <si>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</si>
  <si>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</si>
  <si>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</si>
  <si>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</si>
  <si>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</si>
  <si>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</si>
  <si>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</si>
  <si>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</si>
  <si>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</si>
  <si>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</si>
  <si>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</si>
  <si>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</si>
  <si>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</si>
  <si>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</si>
  <si>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</si>
  <si>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</si>
  <si>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</si>
  <si>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</si>
  <si>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</si>
  <si>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</si>
  <si>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</si>
  <si>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</si>
  <si>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</si>
  <si>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</si>
  <si>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</si>
  <si>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</si>
  <si>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</si>
  <si>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</si>
  <si>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</si>
  <si>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</si>
  <si>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</si>
  <si>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</si>
  <si>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</si>
  <si>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</si>
  <si>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</si>
  <si>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</si>
  <si>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</si>
  <si>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</si>
  <si>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</si>
  <si>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</si>
  <si>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</si>
  <si>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</si>
  <si>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</si>
  <si>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</si>
  <si>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</si>
  <si>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</si>
  <si>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</si>
  <si>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</si>
  <si>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</si>
  <si>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</si>
  <si>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</si>
  <si>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</si>
  <si>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</si>
  <si>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</si>
  <si>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</si>
  <si>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</si>
  <si>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</si>
  <si>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</si>
  <si>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</si>
  <si>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</si>
  <si>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</si>
  <si>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</si>
  <si>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</si>
  <si>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</si>
  <si>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</si>
  <si>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</si>
  <si>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</si>
  <si>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</si>
  <si>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</si>
  <si>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</si>
  <si>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</si>
  <si>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</si>
  <si>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</si>
  <si>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</si>
  <si>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</si>
  <si>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</si>
  <si>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</si>
  <si>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</si>
  <si>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</si>
  <si>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</si>
  <si>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</si>
  <si>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</si>
  <si>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</si>
  <si>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</si>
  <si>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</si>
  <si>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</si>
  <si>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</si>
  <si>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</si>
  <si>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</si>
  <si>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</si>
  <si>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</si>
  <si>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</si>
  <si>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</si>
  <si>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</si>
  <si>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</si>
  <si>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</si>
  <si>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</si>
  <si>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</si>
  <si>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</si>
  <si>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</si>
  <si>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</si>
  <si>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</si>
  <si>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</si>
  <si>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</si>
  <si>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</si>
  <si>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</si>
  <si>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</si>
  <si>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</si>
  <si>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</si>
  <si>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</si>
  <si>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</si>
  <si>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</si>
  <si>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</si>
  <si>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</si>
  <si>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</si>
  <si>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</si>
  <si>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</si>
  <si>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</si>
  <si>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</si>
  <si>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</si>
  <si>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</si>
  <si>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</si>
  <si>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</si>
  <si>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</si>
  <si>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</si>
  <si>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</si>
  <si>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</si>
  <si>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</si>
  <si>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</si>
  <si>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</si>
  <si>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</si>
  <si>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</si>
  <si>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</si>
  <si>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</si>
  <si>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</si>
  <si>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</si>
  <si>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</si>
  <si>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</si>
  <si>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</si>
  <si>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</si>
  <si>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</si>
  <si>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</si>
  <si>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</si>
  <si>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</si>
  <si>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</si>
  <si>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</si>
  <si>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</si>
  <si>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</si>
  <si>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</si>
  <si>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</si>
  <si>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</si>
  <si>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</si>
  <si>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</si>
  <si>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</si>
  <si>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</si>
  <si>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</si>
  <si>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</si>
  <si>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</si>
  <si>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</si>
  <si>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</si>
  <si>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</si>
  <si>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</si>
  <si>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</si>
  <si>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</si>
  <si>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</si>
  <si>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</si>
  <si>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</si>
  <si>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</si>
  <si>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</si>
  <si>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</si>
  <si>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</si>
  <si>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</si>
  <si>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</si>
  <si>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</si>
  <si>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</si>
  <si>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</si>
  <si>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</si>
  <si>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</si>
  <si>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</si>
  <si>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</si>
  <si>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</si>
  <si>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</si>
  <si>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</si>
  <si>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</si>
  <si>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</si>
  <si>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</si>
  <si>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</si>
  <si>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</si>
  <si>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</si>
  <si>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</si>
  <si>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</si>
  <si>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</si>
  <si>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</si>
  <si>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</si>
  <si>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</si>
  <si>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</si>
  <si>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</si>
  <si>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</si>
  <si>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</si>
  <si>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</si>
  <si>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</si>
  <si>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</si>
  <si>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</si>
  <si>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</si>
  <si>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</si>
  <si>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</si>
  <si>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</si>
  <si>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</si>
  <si>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</si>
  <si>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</si>
  <si>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</si>
  <si>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</si>
  <si>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</si>
  <si>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</si>
  <si>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</si>
  <si>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</si>
  <si>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</si>
  <si>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</si>
  <si>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</si>
  <si>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</si>
  <si>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</si>
  <si>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</si>
  <si>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</si>
  <si>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</si>
  <si>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</si>
  <si>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</si>
  <si>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</si>
  <si>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</si>
  <si>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</si>
  <si>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</si>
  <si>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</si>
  <si>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</si>
  <si>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</si>
  <si>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</si>
  <si>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</si>
  <si>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</si>
  <si>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</si>
  <si>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</si>
  <si>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</si>
  <si>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</si>
  <si>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</si>
  <si>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</si>
  <si>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</si>
  <si>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</si>
  <si>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</si>
  <si>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</si>
  <si>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</si>
  <si>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</si>
  <si>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</si>
  <si>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</si>
  <si>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</si>
  <si>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</si>
  <si>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</si>
  <si>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</si>
  <si>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</si>
  <si>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</si>
  <si>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</si>
  <si>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</si>
  <si>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</si>
  <si>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</si>
  <si>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</si>
  <si>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</si>
  <si>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</si>
  <si>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</si>
  <si>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</si>
  <si>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</si>
  <si>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</si>
  <si>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</si>
  <si>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</si>
  <si>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</si>
  <si>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</si>
  <si>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</si>
  <si>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</si>
  <si>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</si>
  <si>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</si>
  <si>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</si>
  <si>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</si>
  <si>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</si>
  <si>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</si>
  <si>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</si>
  <si>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</si>
  <si>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</si>
  <si>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</si>
  <si>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</si>
  <si>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</si>
  <si>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</si>
  <si>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</si>
  <si>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</si>
  <si>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</si>
  <si>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</si>
  <si>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</si>
  <si>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</si>
  <si>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</si>
  <si>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</si>
  <si>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</si>
  <si>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</si>
  <si>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</si>
  <si>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</si>
  <si>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</si>
  <si>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</si>
  <si>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</si>
  <si>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</si>
  <si>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</si>
  <si>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</si>
  <si>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</si>
  <si>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</si>
  <si>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</si>
  <si>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</si>
  <si>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</si>
  <si>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</si>
  <si>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660-2#住宅楼</t>
  </si>
  <si>
    <t>660-4#住宅楼</t>
  </si>
  <si>
    <t>是</t>
  </si>
  <si>
    <t>地上</t>
  </si>
  <si>
    <t>住宅</t>
  </si>
  <si>
    <t>地下</t>
  </si>
  <si>
    <t>仓储</t>
  </si>
  <si>
    <t>抵押</t>
  </si>
  <si>
    <t>房地产抵押价值</t>
  </si>
  <si>
    <t>北京市</t>
  </si>
  <si>
    <t>企业</t>
  </si>
  <si>
    <t>出让</t>
  </si>
  <si>
    <t>居住项目</t>
  </si>
  <si>
    <t>无</t>
  </si>
  <si>
    <t>否</t>
  </si>
  <si>
    <t>在建</t>
  </si>
  <si>
    <t>住宅</t>
    <phoneticPr fontId="7" type="noConversion"/>
  </si>
  <si>
    <t>仓储</t>
    <phoneticPr fontId="7" type="noConversion"/>
  </si>
  <si>
    <t>项目局部</t>
  </si>
  <si>
    <t>成本法</t>
  </si>
  <si>
    <t>假设开发法</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</si>
  <si>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</si>
  <si>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</si>
  <si>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</si>
  <si>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</si>
  <si>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</si>
  <si>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</si>
  <si>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</si>
  <si>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</si>
  <si>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</si>
  <si>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</si>
  <si>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</si>
  <si>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</si>
  <si>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</si>
  <si>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</si>
  <si>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</si>
  <si>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</si>
  <si>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</si>
  <si>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</si>
  <si>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</si>
  <si>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</si>
  <si>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</si>
  <si>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</si>
  <si>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</si>
  <si>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</si>
  <si>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</si>
  <si>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</si>
  <si>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</si>
  <si>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</si>
  <si>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</si>
  <si>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</si>
  <si>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</si>
  <si>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</si>
  <si>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</si>
  <si>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</si>
  <si>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</si>
  <si>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</si>
  <si>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</si>
  <si>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</si>
  <si>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</si>
  <si>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</si>
  <si>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成交地面价(元/㎡)</t>
    <phoneticPr fontId="143" type="noConversion"/>
  </si>
  <si>
    <t>溢价率</t>
  </si>
  <si>
    <t>受让单位</t>
  </si>
  <si>
    <t>北京市丰台区卢沟桥乡小瓦窑村XWY-12等地块绿隔产业、住宅混合公建及基础教育用地</t>
  </si>
  <si>
    <t>综合用地(含住宅)</t>
  </si>
  <si>
    <t>挂牌</t>
  </si>
  <si>
    <t>2018-06-22</t>
  </si>
  <si>
    <t>北京润置商业运营管理有限公司和北京海赋丰业房地产开发有限公司联合体</t>
  </si>
  <si>
    <t>北京市丰台区卢沟桥乡小瓦窑村XWY-01地块R2二类居住用地</t>
  </si>
  <si>
    <t>住宅用地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</si>
  <si>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</si>
  <si>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</si>
  <si>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</si>
  <si>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</si>
  <si>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</si>
  <si>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</si>
  <si>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</si>
  <si>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</si>
  <si>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</si>
  <si>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</si>
  <si>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</si>
  <si>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</si>
  <si>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</si>
  <si>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</si>
  <si>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</si>
  <si>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</si>
  <si>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</si>
  <si>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</si>
  <si>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</si>
  <si>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</si>
  <si>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</si>
  <si>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</si>
  <si>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</si>
  <si>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</si>
  <si>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</si>
  <si>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招标</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</si>
  <si>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</si>
  <si>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</si>
  <si>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</si>
  <si>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</si>
  <si>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</si>
  <si>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</si>
  <si>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</si>
  <si>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</si>
  <si>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</si>
  <si>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</si>
  <si>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</si>
  <si>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</si>
  <si>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</si>
  <si>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</si>
  <si>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</si>
  <si>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</si>
  <si>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</si>
  <si>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</si>
  <si>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北京市朝阳区崔各庄乡马泉营村29-L02等地块R2二类居住用地、A33基础教育用地、A8社区综合服务设施用地</t>
  </si>
  <si>
    <t>2018-09-13</t>
  </si>
  <si>
    <t>北京中海地产有限公司</t>
  </si>
  <si>
    <t>北京市大兴区魏善庄镇DX07-0102-6013地块R2二类居住用地、DX07-0102-6016地块A33基础教育用地</t>
  </si>
  <si>
    <t>2018-08-23</t>
  </si>
  <si>
    <t>北京喜茂置业有限公司</t>
  </si>
  <si>
    <t>北京市大兴区魏善庄镇DX07-0102-6015地块R2二类居住用地</t>
  </si>
  <si>
    <t>北京市顺义区后沙峪镇马头庄村SY00-0019-6007地块R2二类居住用地</t>
  </si>
  <si>
    <t>2018-07-04</t>
  </si>
  <si>
    <t>北京建工地产有限责任公司</t>
  </si>
  <si>
    <t>北京市顺义区后沙峪镇21-18-001e地块R2二类居住用地、21-18-002地块A33基础教育用地</t>
  </si>
  <si>
    <t>中铁置业集团北京有限公司</t>
  </si>
  <si>
    <t>北京市通州区台湖镇YZ00-0405-0078、0079、0081地块R2二类居住用地</t>
  </si>
  <si>
    <t>2018-02-06</t>
  </si>
  <si>
    <t>北京住总置业有限公司和北京住总房地产开发有限责任公司联合体</t>
  </si>
  <si>
    <t>北京市门头沟区永定镇曹各庄桥户营村MC00-0016-063地块F1住宅混合公建用地、MC00-0016-064地块</t>
  </si>
  <si>
    <t>北京市门头沟区永定镇岢罗坨、秋坡、石佛村MC00-0500-0009、0010、0013地块R2二类居住用地</t>
  </si>
  <si>
    <t>2018-02-02</t>
  </si>
  <si>
    <t>中国电建地产集团有限公司、山西建设投资集团有限公司、北京金地驰创投资咨询有限公司和隆泰实业(北京)有限公司联合体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</si>
  <si>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</si>
  <si>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</si>
  <si>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</si>
  <si>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北京市大兴区黄村镇三合庄0202-0206、0202-0208地块F1住宅混合公建用地</t>
  </si>
  <si>
    <t>招商局地产(北京)有限公司和北京永世同创信息咨询有限公司联合体</t>
  </si>
  <si>
    <t>北京市朝阳区豆各庄乡水牛坊村1306-635地块R2二类居住用地、1306-636地块A8社区综合服务用地</t>
  </si>
  <si>
    <t>2018-01-25</t>
  </si>
  <si>
    <t>中铁房地产集团北方有限公司</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</si>
  <si>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</si>
  <si>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</si>
  <si>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</si>
  <si>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</si>
  <si>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2018-01-17</t>
  </si>
  <si>
    <t>北京市朝阳孙河乡北甸西村2902-14地块R2二类居住用地</t>
  </si>
  <si>
    <t>北京乐优富拓投资有限公司和北京燕都水郡房地产开发有限公司联合体</t>
  </si>
  <si>
    <t>北京市昌平区北七家镇(未来科学城南区)C-16、CP07-0600-0023-2、0024、0025、0041-2、0042、0043地块R2二类居住用地、F3其他类多功能用地</t>
  </si>
  <si>
    <t>2018-01-12</t>
  </si>
  <si>
    <t>北京未来科学城昌泰置业有限公司</t>
  </si>
  <si>
    <t>北京市海淀区“海淀北部地区整体开发”翠湖科技园HD00-0303-6022地块R2二类居住用地</t>
  </si>
  <si>
    <t>北京市朝阳区孙河乡北甸西村、北甸东村、西甸村2902-46地块R2二类居住用地</t>
  </si>
  <si>
    <t>北京中瑞凯华投资管理有限公司和北京德俊置业有限公司联合体</t>
  </si>
  <si>
    <t>北京市海淀区苏州街站一体化棚户区改造项目前期工作及拟改造土地使用权</t>
  </si>
  <si>
    <t>2017-12-29</t>
  </si>
  <si>
    <t>北京城投地下空间开发建设有限公司</t>
  </si>
  <si>
    <t>北京市昌平区北七家镇CP07-0203-0007等地块R2二类居住用地、A33基础教育用地</t>
  </si>
  <si>
    <t>2017-12-21</t>
  </si>
  <si>
    <t>北京北辰地产集团有限公司和北京金隅地产开发集团有限公司联合体</t>
  </si>
  <si>
    <t>北京市顺义区牛栏山镇SY00-0017-6001等地块B1商业用地、R2二类居住用地、F1住宅混合公建用地</t>
  </si>
  <si>
    <t>2017-12-14</t>
  </si>
  <si>
    <t>北京亚通房地产开发有限责任公司(石榴)</t>
  </si>
  <si>
    <t>北京市朝阳区豆各庄乡马家湾村1306-606地块R2二类居住用地</t>
  </si>
  <si>
    <t>中铁房地产集团北方有限公司(中铁建)</t>
  </si>
  <si>
    <t>北京市海淀区“海淀北部地区整体开发”西北旺镇亮甲店村HD00-0404-0010、6015、6016、6003、6004地块A2文化设施用地、R2二类居住用地、F1住宅混合公建用地</t>
  </si>
  <si>
    <t>2017-11-16</t>
  </si>
  <si>
    <t>北京紫光科城科技发展有限公司</t>
  </si>
  <si>
    <t>北京市石景山区五里坨建设组团二1601-053地块等F3其他类多功能用地、R2二类居住用地、A334基础教育用地</t>
  </si>
  <si>
    <t>2017-11-14</t>
  </si>
  <si>
    <t>北京万湖企业管理有限公司、北京盛新置业有限公司和廊坊市卓越锦华房地产开发有限公司联合体</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</si>
  <si>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</si>
  <si>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</si>
  <si>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</si>
  <si>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北京市昌平区北七家镇(未来科技城南区)C-52地块R2二类居住用地</t>
  </si>
  <si>
    <t>北京市石景山区五里坨建设组团一(1601-029)等地块R2二类居住用地、F1住宅混合公建用地、F3其他类多功能用地、B4综合性商业金融服务业用地、A334基础教育用地</t>
  </si>
  <si>
    <t>杭州胜拓投资有限公司</t>
  </si>
  <si>
    <t>北京市朝阳区东坝乡驹子房村1109-663地块R2二类居住用地</t>
  </si>
  <si>
    <t>2017-11-03</t>
  </si>
  <si>
    <t>天恒+旭辉+首开+房地</t>
  </si>
  <si>
    <t>北京市海淀区&amp;quot;海淀北部地区整体开发”西北旺镇亮甲店村HD00-0404-6005、6006地块R2二类居住用地</t>
  </si>
  <si>
    <t>中铁置业集团北京有限公司和北京建工地产有限责任公司联合体</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</si>
  <si>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</si>
  <si>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</si>
  <si>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</si>
  <si>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北京市大兴区黄村镇DX00-0301-0029等地块R2二类居住用地、F3其他类多功能用地、A33基础教育用地</t>
  </si>
  <si>
    <t>北京金地远景企业管理咨询有限公司</t>
  </si>
  <si>
    <t>北京经济技术开发区河西区X90R2、X90A1地块R2二类居住用地、A33基础教育用地</t>
  </si>
  <si>
    <t>2017-10-25</t>
  </si>
  <si>
    <t>北京金隅大成开发有限公司</t>
  </si>
  <si>
    <t>北京市昌平区北七家镇东三旗村011地块R2二类居住用地</t>
  </si>
  <si>
    <t>北京首都开发股份有限公司、保利(北京)房地产开发有限公司和北京金地明城投资咨询有限公司联合体</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</si>
  <si>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</si>
  <si>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</si>
  <si>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</si>
  <si>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</si>
  <si>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</si>
  <si>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北京市海淀区四道口地区I地块F1住宅混合公建用地</t>
  </si>
  <si>
    <t>北京天恒正同资产管理有限公司</t>
  </si>
  <si>
    <t>北京市通州区西集镇西集村TZ07-0103-0019、0029地块R2二类居住用地、TZ07-0103-0020地块B1商业用地</t>
  </si>
  <si>
    <t>北京德俊置业有限公司、北京房地置业发展有限公司、北京新奥集团有限公司和北京首都开发股份有限公司联合体</t>
  </si>
  <si>
    <t>北京市通州区通州新城0204街区TZ00-0024-0006、0007地块R2二类居住用地</t>
  </si>
  <si>
    <t>北京首都开发股份有限公司和北京新奥集团有限公司联合体</t>
  </si>
  <si>
    <t>北京市石景山区东下庄1605-630地块R2二类居住用地</t>
  </si>
  <si>
    <t>2017-09-13</t>
  </si>
  <si>
    <t>北京建工地产有限责任公司和北京天恒正同资产管理有限公司联合体</t>
  </si>
  <si>
    <t>北京市朝阳区孙河乡北甸西村、西甸村2902-29地块R2二类居住用地、2902-17地块A8社区综合服务设施用地、2902-15地块A334托幼用地</t>
  </si>
  <si>
    <t>2017-09-07</t>
  </si>
  <si>
    <t>张家口鸿运房地产开发有限公司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</si>
  <si>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</si>
  <si>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</si>
  <si>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</si>
  <si>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</si>
  <si>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</si>
  <si>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</si>
  <si>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</si>
  <si>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北京经济技术开发区路东区G2街区G2R1等地块R2二类居住用地、F1住宅混合公建用地、A33基础教育用地*&amp;quot;</t>
  </si>
  <si>
    <t>大兴区黄村镇DX00-0102-0901地块F1住宅混合公建用地</t>
  </si>
  <si>
    <t>2017-08-04</t>
  </si>
  <si>
    <t>远洋地产有限公司</t>
  </si>
  <si>
    <t>东城区永外大街0503-602北、606东、606西地块R2二类居住用地、B4综合性商业金融服务业用地</t>
  </si>
  <si>
    <t>2017-08-01</t>
  </si>
  <si>
    <t>北京润置商业运营管理有限公司、招商局地产(北京)有限公司和北京碧桂园广盈置业发展有限公司联合体</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</si>
  <si>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</si>
  <si>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</si>
  <si>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</si>
  <si>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</si>
  <si>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</si>
  <si>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</si>
  <si>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昌平区北七家镇003、CP07-0204-0001、010、013地块B4综合性商业金融服务业用地、A61机构养老设施用地、R2二类居住用地、A33基础教育用地</t>
  </si>
  <si>
    <t>北京润置商业运营管理有限公司</t>
  </si>
  <si>
    <t>大兴区黄村镇DX00-0102-0802地块F1住宅混合公建用地</t>
  </si>
  <si>
    <t>2017-07-25</t>
  </si>
  <si>
    <t>保利(北京)房地产开发有限公司</t>
  </si>
  <si>
    <t>昌平区北七家镇009地块R2二类居住用地</t>
  </si>
  <si>
    <t>北京未来科技城昌远置业有限公司</t>
  </si>
  <si>
    <t>大兴区瀛海镇C4组团YZ00-0803-0602地块F2公建混合住宅用地</t>
  </si>
  <si>
    <t>北京中海地产有限公司、保利(北京)房地产开发有限公司联合体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</si>
  <si>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</si>
  <si>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</si>
  <si>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</si>
  <si>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</si>
  <si>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</si>
  <si>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</si>
  <si>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朝阳区孙河乡西甸村2902-86地块</t>
  </si>
  <si>
    <t>2017-05-03</t>
  </si>
  <si>
    <t>中粮地产(北京)有限公司、北京天恒正同资产管理有限公司和北京辉广企业管理有限公司联合体</t>
  </si>
  <si>
    <t>顺义区仁和镇第5街区05-03-04-3地块</t>
  </si>
  <si>
    <t>顺义区天竺镇第22街区SY00-0022-6015、6016地块</t>
  </si>
  <si>
    <t>北京金隅大成开发有限公司和北京空港科技园区股份有限公司联合体</t>
  </si>
  <si>
    <t>门头沟区永定镇MC00-0015-0043地块</t>
  </si>
  <si>
    <t>居住2.5,教育0.7</t>
  </si>
  <si>
    <t>2017-04-25</t>
  </si>
  <si>
    <t>大兴区瀛海镇区C4组团YZ00-0803-0603地块</t>
  </si>
  <si>
    <t>北京国瑞兴业房地产控股有限公司</t>
  </si>
  <si>
    <t>朝阳区管庄乡塔营村1208-605地块</t>
  </si>
  <si>
    <t>北京世纪鸿城置业有限公司</t>
  </si>
  <si>
    <t>石景山区玉泉西一路x-18160地块</t>
  </si>
  <si>
    <t>2017-04-24</t>
  </si>
  <si>
    <t>中铁二十二局集团房地产开发有限公司和北京实兴腾飞置业发展公司联合体</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</si>
  <si>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</si>
  <si>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</si>
  <si>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</si>
  <si>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</si>
  <si>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通州区台湖镇北神树村B-30地块</t>
  </si>
  <si>
    <t>2017-03-28</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</si>
  <si>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</si>
  <si>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</si>
  <si>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</si>
  <si>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朝阳区东风乡豆各庄村0311-610等地块(东风乡农民安置房项目)</t>
  </si>
  <si>
    <t>2016-12-28</t>
  </si>
  <si>
    <t>北京星火房地产开发有限责任公司</t>
  </si>
  <si>
    <t>大兴区黄村镇兴华大街DX00-0202-0305地块R2二类居住用地、DX00-0202-0308地块</t>
  </si>
  <si>
    <t>2016-12-01</t>
  </si>
  <si>
    <t>海淀区“海淀北部地区整体开发”永丰产业基地(新)HD00-0401-0062、0166、0158地块</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</si>
  <si>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</si>
  <si>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</si>
  <si>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</si>
  <si>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</si>
  <si>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</si>
  <si>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</si>
  <si>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</si>
  <si>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</si>
  <si>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北京经济技术开发区II-6街区X84R3地块</t>
  </si>
  <si>
    <t>2016-10-09</t>
  </si>
  <si>
    <t>顺义区后沙峪镇SY00-0022-0614地块</t>
  </si>
  <si>
    <t>2016-06-02</t>
  </si>
  <si>
    <t>福建宏辉房地产开发有限公司</t>
  </si>
  <si>
    <t>东城区望坛棚户区改造项目前期工作及拟改造土地使用权</t>
  </si>
  <si>
    <t>地上:1.72、地下:1.18</t>
  </si>
  <si>
    <t>2016-05-19</t>
  </si>
  <si>
    <t>昌平区南邵镇(昌平新城东区六期(东))0302-57地块</t>
  </si>
  <si>
    <t>2016-05-05</t>
  </si>
  <si>
    <t>北京招商局铭嘉房地产开发有限公司</t>
  </si>
  <si>
    <t>昌平区南邵镇(昌平新城东区六期(东))0302-70地块</t>
  </si>
  <si>
    <t>门头沟区龙泉镇MC00-0003-0026等地块B1商业用地、F1住宅混合公建用地及A33基础教育用地(原门头沟区城子大街国有资源整合改造升级地块)</t>
  </si>
  <si>
    <t>2016-02-26</t>
  </si>
  <si>
    <t>北京泰达和信投资管理有限公司</t>
  </si>
  <si>
    <t>大兴区黄村镇四街、五街、六街村项目DX00-0208-6001等地块</t>
  </si>
  <si>
    <t>2016-02-23</t>
  </si>
  <si>
    <t>北京绿地京城置业有限公司和北京绿地京华置业有限公司联合体</t>
  </si>
  <si>
    <t>朝阳区将台乡驼房营村1016-34、36、40、41地块</t>
  </si>
  <si>
    <t>2016-02-03</t>
  </si>
  <si>
    <t>致昌(北京)企业管理有限公司、杭州臻美投资有限公司和中交地产有限公司联合体</t>
  </si>
  <si>
    <t>石景山区北辛安棚户区改造A区项目前期工作及拟改造土地使用权</t>
  </si>
  <si>
    <t>≤3.38</t>
  </si>
  <si>
    <t>2015-12-30</t>
  </si>
  <si>
    <t>中海地产集团有限公司</t>
  </si>
  <si>
    <t>顺义区仁和镇05-02-15-1地块</t>
  </si>
  <si>
    <t>2015-12-28</t>
  </si>
  <si>
    <t>北京首开中晟置业有限责任公司</t>
  </si>
  <si>
    <t>大兴区旧宫镇YZ00-0801-0039、6001地块</t>
  </si>
  <si>
    <t>2015-12-23</t>
  </si>
  <si>
    <t>昌平区百善三角地项目CP00-0600-0041地块、CP00-0600-0042地块</t>
  </si>
  <si>
    <t>2015-12-15</t>
  </si>
  <si>
    <t>通州区TZ07-0103-0012等地块、TZ07-0103-0027等地块、TZ07-0103-L001地块</t>
  </si>
  <si>
    <t>2015-12-03</t>
  </si>
  <si>
    <t>北京房地天锐鑫洋房地产开发有限公司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</si>
  <si>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</si>
  <si>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</si>
  <si>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</si>
  <si>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</si>
  <si>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</si>
  <si>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</si>
  <si>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</si>
  <si>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</si>
  <si>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门头沟区永定镇MC00-0017-6018、6020地块</t>
  </si>
  <si>
    <t>2015-11-18</t>
  </si>
  <si>
    <t>杭州致全投资有限公司、中交地产有限公司和深圳市平嘉投资管理有限公司联合体</t>
  </si>
  <si>
    <t>门头沟区永定镇MC00-0020-0009、0012地块</t>
  </si>
  <si>
    <t>顺义区仁和镇SY00-0005-6007、6005地块</t>
  </si>
  <si>
    <t>2015-11-16</t>
  </si>
  <si>
    <t>北京城建兴顺房地产开发有限公司</t>
  </si>
  <si>
    <t>顺义区仁和镇SY00-0005-6001等地块</t>
  </si>
  <si>
    <t>通州区台湖镇B-07地块</t>
  </si>
  <si>
    <t>2015-11-13</t>
  </si>
  <si>
    <t>北京泓博泰成房地产开发有限公司</t>
  </si>
  <si>
    <t>朝阳区常营乡1201-602、603地块</t>
  </si>
  <si>
    <t>2015-11-12</t>
  </si>
  <si>
    <t>北京世博宏业房地产开发有限公司和北京首都开发股份有限公司联合体</t>
  </si>
  <si>
    <t>昌平区南邵镇(中关村科技园区昌平园东区二期)0303-07地块</t>
  </si>
  <si>
    <t>2015-10-23</t>
  </si>
  <si>
    <t>北京龙湖中佰置业有限公司、深圳市平嘉投资管理有限公司和北京昌基置业有限公司联合体</t>
  </si>
  <si>
    <t>顺义区后沙峪镇后沙峪村SY-0019-076、SY-0019-079地块</t>
  </si>
  <si>
    <t>昌平区南邵镇(中关村科技园区昌平园东区二期)0303-54地块</t>
  </si>
  <si>
    <t>福建中维房地产开发有限公司</t>
  </si>
  <si>
    <t>门头沟区永定镇MC00-0017-6021、6022地块(门头沟S1线区域组团03地块北部一期用地)</t>
  </si>
  <si>
    <t>2015-09-29</t>
  </si>
  <si>
    <t>北京金地创世咨询有限公司和中国电建地产集团有限公司联合体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</si>
  <si>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</si>
  <si>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</si>
  <si>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</si>
  <si>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</si>
  <si>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</si>
  <si>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</si>
  <si>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</si>
  <si>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</si>
  <si>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</si>
  <si>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D</t>
    <phoneticPr fontId="143" type="noConversion"/>
  </si>
  <si>
    <t>E</t>
    <phoneticPr fontId="143" type="noConversion"/>
  </si>
  <si>
    <t>F</t>
    <phoneticPr fontId="143" type="noConversion"/>
  </si>
  <si>
    <t>保障房面积</t>
    <phoneticPr fontId="143" type="noConversion"/>
  </si>
  <si>
    <t>商品住宅面积</t>
    <phoneticPr fontId="143" type="noConversion"/>
  </si>
  <si>
    <t>总规划建筑面积</t>
    <phoneticPr fontId="143" type="noConversion"/>
  </si>
  <si>
    <t>楼面单价</t>
    <phoneticPr fontId="143" type="noConversion"/>
  </si>
  <si>
    <t>扣除保障房楼面单价</t>
    <phoneticPr fontId="143" type="noConversion"/>
  </si>
  <si>
    <t>估价对象地块</t>
    <phoneticPr fontId="143" type="noConversion"/>
  </si>
  <si>
    <t>正常</t>
  </si>
  <si>
    <t>综合（含住宅）</t>
  </si>
  <si>
    <t>较不规则</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</si>
  <si>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</si>
  <si>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</si>
  <si>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</si>
  <si>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</si>
  <si>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</si>
  <si>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</si>
  <si>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</si>
  <si>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</si>
  <si>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</si>
  <si>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</si>
  <si>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</si>
  <si>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</si>
  <si>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</si>
  <si>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</si>
  <si>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</si>
  <si>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</si>
  <si>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</si>
  <si>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</si>
  <si>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</si>
  <si>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</si>
  <si>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</si>
  <si>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泰禾金府大院</t>
    <phoneticPr fontId="3" type="noConversion"/>
  </si>
  <si>
    <t>元熙华府</t>
    <phoneticPr fontId="3" type="noConversion"/>
  </si>
  <si>
    <t>首开住总熙悦安郡</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</si>
  <si>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</si>
  <si>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</si>
  <si>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</si>
  <si>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</si>
  <si>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</si>
  <si>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</si>
  <si>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</si>
  <si>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</si>
  <si>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</si>
  <si>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</si>
  <si>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</si>
  <si>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</si>
  <si>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</si>
  <si>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</si>
  <si>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</si>
  <si>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</si>
  <si>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</si>
  <si>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</si>
  <si>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</si>
  <si>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</si>
  <si>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</si>
  <si>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</si>
  <si>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</si>
  <si>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</si>
  <si>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</si>
  <si>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</si>
  <si>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</si>
  <si>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</si>
  <si>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</si>
  <si>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</si>
  <si>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</si>
  <si>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</si>
  <si>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</si>
  <si>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</si>
  <si>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</si>
  <si>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</si>
  <si>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</si>
  <si>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</si>
  <si>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</si>
  <si>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</si>
  <si>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</si>
  <si>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</si>
  <si>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</si>
  <si>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</si>
  <si>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</si>
  <si>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</si>
  <si>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</si>
  <si>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</si>
  <si>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</si>
  <si>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</si>
  <si>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</si>
  <si>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</si>
  <si>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</si>
  <si>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</si>
  <si>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</si>
  <si>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</si>
  <si>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</si>
  <si>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</si>
  <si>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</si>
  <si>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</si>
  <si>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</si>
  <si>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</si>
  <si>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</si>
  <si>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</si>
  <si>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</si>
  <si>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</si>
  <si>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</si>
  <si>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</si>
  <si>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</si>
  <si>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</si>
  <si>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</si>
  <si>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</si>
  <si>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</si>
  <si>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</si>
  <si>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</si>
  <si>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</si>
  <si>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</si>
  <si>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</si>
  <si>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</si>
  <si>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</si>
  <si>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</si>
  <si>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</si>
  <si>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</si>
  <si>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</si>
  <si>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</si>
  <si>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</si>
  <si>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</si>
  <si>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</si>
  <si>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</si>
  <si>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</si>
  <si>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</si>
  <si>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</si>
  <si>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</si>
  <si>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</si>
  <si>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</si>
  <si>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</si>
  <si>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</si>
  <si>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</si>
  <si>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</si>
  <si>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</si>
  <si>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</si>
  <si>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</si>
  <si>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</si>
  <si>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</si>
  <si>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</si>
  <si>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</si>
  <si>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</si>
  <si>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</si>
  <si>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</si>
  <si>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</si>
  <si>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</si>
  <si>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</si>
  <si>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</si>
  <si>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</si>
  <si>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</si>
  <si>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</si>
  <si>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</si>
  <si>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</si>
  <si>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</si>
  <si>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</si>
  <si>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</si>
  <si>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</si>
  <si>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</si>
  <si>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</si>
  <si>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</si>
  <si>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</si>
  <si>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</si>
  <si>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收益法</t>
  </si>
  <si>
    <t>在建（套用方法）</t>
  </si>
  <si>
    <t>自定义</t>
  </si>
  <si>
    <t>按租金收入计税</t>
  </si>
  <si>
    <t>非生产用房</t>
  </si>
  <si>
    <r>
      <t>2</t>
    </r>
    <r>
      <rPr>
        <sz val="10"/>
        <color indexed="8"/>
        <rFont val="宋体"/>
        <family val="3"/>
        <charset val="134"/>
      </rPr>
      <t>号楼施工至</t>
    </r>
    <r>
      <rPr>
        <sz val="10"/>
        <color indexed="8"/>
        <rFont val="Arial"/>
        <family val="2"/>
      </rPr>
      <t>12</t>
    </r>
    <r>
      <rPr>
        <sz val="10"/>
        <color indexed="8"/>
        <rFont val="宋体"/>
        <family val="3"/>
        <charset val="134"/>
      </rPr>
      <t>层，共</t>
    </r>
    <r>
      <rPr>
        <sz val="10"/>
        <color indexed="8"/>
        <rFont val="Arial"/>
        <family val="2"/>
      </rPr>
      <t>21</t>
    </r>
    <r>
      <rPr>
        <sz val="10"/>
        <color indexed="8"/>
        <rFont val="宋体"/>
        <family val="3"/>
        <charset val="134"/>
      </rPr>
      <t>层</t>
    </r>
    <phoneticPr fontId="3" type="noConversion"/>
  </si>
  <si>
    <r>
      <t>4</t>
    </r>
    <r>
      <rPr>
        <sz val="10"/>
        <color indexed="8"/>
        <rFont val="宋体"/>
        <family val="3"/>
        <charset val="134"/>
      </rPr>
      <t>号楼施工至</t>
    </r>
    <r>
      <rPr>
        <sz val="10"/>
        <color indexed="8"/>
        <rFont val="Arial"/>
        <family val="2"/>
      </rPr>
      <t>4</t>
    </r>
    <r>
      <rPr>
        <sz val="10"/>
        <color indexed="8"/>
        <rFont val="宋体"/>
        <family val="3"/>
        <charset val="134"/>
      </rPr>
      <t>层，共</t>
    </r>
    <r>
      <rPr>
        <sz val="10"/>
        <color indexed="8"/>
        <rFont val="Arial"/>
        <family val="2"/>
      </rPr>
      <t>6</t>
    </r>
    <r>
      <rPr>
        <sz val="10"/>
        <color indexed="8"/>
        <rFont val="宋体"/>
        <family val="3"/>
        <charset val="134"/>
      </rPr>
      <t>层</t>
    </r>
    <phoneticPr fontId="3" type="noConversion"/>
  </si>
  <si>
    <t>毛坯交房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</si>
</sst>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ont="1" applyAlignment="1"/>
    <xf numFmtId="0" fontId="99" fillId="0" borderId="0" xfId="10" applyFill="1" applyAlignment="1"/>
    <xf numFmtId="0" fontId="99" fillId="17" borderId="0" xfId="10" applyFill="1" applyAlignment="1"/>
    <xf numFmtId="0" fontId="99" fillId="5" borderId="0" xfId="10" applyFill="1" applyAlignment="1"/>
    <xf numFmtId="0" fontId="101" fillId="0" borderId="0" xfId="10" applyFont="1" applyAlignment="1"/>
    <xf numFmtId="0" fontId="99" fillId="0" borderId="0" xfId="10">
      <alignment vertical="center"/>
    </xf>
    <xf numFmtId="0" fontId="99" fillId="9" borderId="0" xfId="10" applyFill="1" applyAlignment="1"/>
    <xf numFmtId="0" fontId="99" fillId="0" borderId="1" xfId="10" applyFont="1" applyBorder="1" applyAlignment="1">
      <alignment horizontal="center" vertical="center"/>
    </xf>
    <xf numFmtId="0" fontId="99" fillId="0" borderId="0" xfId="10" applyFont="1">
      <alignment vertical="center"/>
    </xf>
    <xf numFmtId="0" fontId="99" fillId="0" borderId="1" xfId="10" applyFont="1" applyBorder="1" applyAlignment="1">
      <alignment horizontal="right" vertical="center"/>
    </xf>
    <xf numFmtId="0" fontId="99" fillId="0" borderId="1" xfId="10" applyBorder="1" applyAlignment="1">
      <alignment horizontal="center" vertical="center"/>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118</xdr:row>
      <xdr:rowOff>1</xdr:rowOff>
    </xdr:from>
    <xdr:to>
      <xdr:col>8</xdr:col>
      <xdr:colOff>0</xdr:colOff>
      <xdr:row>154</xdr:row>
      <xdr:rowOff>151187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231101"/>
          <a:ext cx="8896350" cy="6323386"/>
        </a:xfrm>
        <a:prstGeom prst="rect">
          <a:avLst/>
        </a:prstGeom>
      </xdr:spPr>
    </xdr:pic>
    <xdr:clientData/>
  </xdr:twoCellAnchor>
  <xdr:twoCellAnchor editAs="oneCell">
    <xdr:from>
      <xdr:col>0</xdr:col>
      <xdr:colOff>0</xdr:colOff>
      <xdr:row>155</xdr:row>
      <xdr:rowOff>161925</xdr:rowOff>
    </xdr:from>
    <xdr:to>
      <xdr:col>7</xdr:col>
      <xdr:colOff>748523</xdr:colOff>
      <xdr:row>192</xdr:row>
      <xdr:rowOff>84690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736675"/>
          <a:ext cx="8816198" cy="6266415"/>
        </a:xfrm>
        <a:prstGeom prst="rect">
          <a:avLst/>
        </a:prstGeom>
      </xdr:spPr>
    </xdr:pic>
    <xdr:clientData/>
  </xdr:twoCellAnchor>
  <xdr:twoCellAnchor editAs="oneCell">
    <xdr:from>
      <xdr:col>0</xdr:col>
      <xdr:colOff>0</xdr:colOff>
      <xdr:row>193</xdr:row>
      <xdr:rowOff>171162</xdr:rowOff>
    </xdr:from>
    <xdr:to>
      <xdr:col>7</xdr:col>
      <xdr:colOff>695325</xdr:colOff>
      <xdr:row>230</xdr:row>
      <xdr:rowOff>56115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261012"/>
          <a:ext cx="8763000" cy="6228603"/>
        </a:xfrm>
        <a:prstGeom prst="rect">
          <a:avLst/>
        </a:prstGeom>
      </xdr:spPr>
    </xdr:pic>
    <xdr:clientData/>
  </xdr:twoCellAnchor>
  <xdr:twoCellAnchor editAs="oneCell">
    <xdr:from>
      <xdr:col>0</xdr:col>
      <xdr:colOff>0</xdr:colOff>
      <xdr:row>234</xdr:row>
      <xdr:rowOff>76200</xdr:rowOff>
    </xdr:from>
    <xdr:to>
      <xdr:col>3</xdr:col>
      <xdr:colOff>4046</xdr:colOff>
      <xdr:row>254</xdr:row>
      <xdr:rowOff>151589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0195500"/>
          <a:ext cx="5328521" cy="3504389"/>
        </a:xfrm>
        <a:prstGeom prst="rect">
          <a:avLst/>
        </a:prstGeom>
      </xdr:spPr>
    </xdr:pic>
    <xdr:clientData/>
  </xdr:twoCellAnchor>
  <xdr:twoCellAnchor editAs="oneCell">
    <xdr:from>
      <xdr:col>2</xdr:col>
      <xdr:colOff>180604</xdr:colOff>
      <xdr:row>233</xdr:row>
      <xdr:rowOff>123825</xdr:rowOff>
    </xdr:from>
    <xdr:to>
      <xdr:col>9</xdr:col>
      <xdr:colOff>208329</xdr:colOff>
      <xdr:row>254</xdr:row>
      <xdr:rowOff>170625</xdr:rowOff>
    </xdr:to>
    <xdr:pic>
      <xdr:nvPicPr>
        <xdr:cNvPr id="6" name="图片 5"/>
        <xdr:cNvPicPr>
          <a:picLocks noChangeAspect="1"/>
        </xdr:cNvPicPr>
      </xdr:nvPicPr>
      <xdr:blipFill>
        <a:blip xmlns:r="http://schemas.openxmlformats.org/officeDocument/2006/relationships" r:embed="rId5"/>
        <a:stretch>
          <a:fillRect/>
        </a:stretch>
      </xdr:blipFill>
      <xdr:spPr>
        <a:xfrm>
          <a:off x="4390654" y="40071675"/>
          <a:ext cx="5399825" cy="3647250"/>
        </a:xfrm>
        <a:prstGeom prst="rect">
          <a:avLst/>
        </a:prstGeom>
      </xdr:spPr>
    </xdr:pic>
    <xdr:clientData/>
  </xdr:twoCellAnchor>
  <xdr:twoCellAnchor editAs="oneCell">
    <xdr:from>
      <xdr:col>8</xdr:col>
      <xdr:colOff>61748</xdr:colOff>
      <xdr:row>234</xdr:row>
      <xdr:rowOff>3606</xdr:rowOff>
    </xdr:from>
    <xdr:to>
      <xdr:col>15</xdr:col>
      <xdr:colOff>627415</xdr:colOff>
      <xdr:row>254</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8958098" y="40122906"/>
          <a:ext cx="5366267" cy="3520644"/>
        </a:xfrm>
        <a:prstGeom prst="rect">
          <a:avLst/>
        </a:prstGeom>
      </xdr:spPr>
    </xdr:pic>
    <xdr:clientData/>
  </xdr:twoCellAnchor>
  <xdr:twoCellAnchor editAs="oneCell">
    <xdr:from>
      <xdr:col>0</xdr:col>
      <xdr:colOff>0</xdr:colOff>
      <xdr:row>264</xdr:row>
      <xdr:rowOff>0</xdr:rowOff>
    </xdr:from>
    <xdr:to>
      <xdr:col>9</xdr:col>
      <xdr:colOff>236898</xdr:colOff>
      <xdr:row>300</xdr:row>
      <xdr:rowOff>94467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5262800"/>
          <a:ext cx="9819048" cy="6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271;&#20140;&#37775;&#24196;-&#35777;&#29031;&#31561;/P01&#22303;&#22320;/&#32456;&#29256;/&#37329;&#33538;&#24220;66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E24">
            <v>0</v>
          </cell>
        </row>
        <row r="25">
          <cell r="E25">
            <v>0</v>
          </cell>
        </row>
        <row r="26">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C75" t="str">
            <v>正常</v>
          </cell>
        </row>
        <row r="77">
          <cell r="B77" t="str">
            <v>用途</v>
          </cell>
          <cell r="C77" t="str">
            <v>住宅</v>
          </cell>
          <cell r="D77" t="str">
            <v>综合（含住宅）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较适宜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较好</v>
          </cell>
        </row>
      </sheetData>
      <sheetData sheetId="18"/>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独栋别墅</v>
          </cell>
          <cell r="D100" t="str">
            <v>叠拼别墅</v>
          </cell>
          <cell r="E100" t="str">
            <v>普通住宅</v>
          </cell>
        </row>
        <row r="105">
          <cell r="B105" t="str">
            <v>建筑结构</v>
          </cell>
          <cell r="C105" t="str">
            <v>钢混</v>
          </cell>
        </row>
        <row r="107">
          <cell r="B107" t="str">
            <v>建筑品质</v>
          </cell>
          <cell r="C107" t="str">
            <v>高档</v>
          </cell>
          <cell r="D107" t="str">
            <v>普通</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35"/>
      <sheetData sheetId="36">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估价对象为北京市出让国有建设用地使用权及在建建筑物房地产，为所有。根据《国有土地使用证》[]，估价对象（分摊）出让国有建设用地使用权面积为4098.78平方米，建筑面积为21855.97平方米。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居住项目，该项目尚在开发建设中。根据《国有土地使用证》[]，估价对象（分摊）出让国有建设用地使用权面积为4098.78平方米，规划建筑面积为21855.97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2018年9月30日（评估专业人员实地查勘之日）</v>
      </c>
    </row>
    <row r="13" spans="1:2" s="1596" customFormat="1">
      <c r="A13" s="1594" t="s">
        <v>1227</v>
      </c>
      <c r="B13" s="1595" t="str">
        <f>'预评函-1'!A18</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131273</v>
      </c>
    </row>
    <row r="21" spans="1:2" s="1596" customFormat="1">
      <c r="A21" s="1594" t="s">
        <v>1235</v>
      </c>
      <c r="B21" s="1595">
        <f ca="1">'预评函-2'!D7</f>
        <v>60063</v>
      </c>
    </row>
    <row r="22" spans="1:2" s="1596" customFormat="1">
      <c r="A22" s="1594" t="s">
        <v>1236</v>
      </c>
      <c r="B22" s="1595" t="str">
        <f ca="1">'预评函-2'!D6</f>
        <v>壹拾叁亿壹仟贰佰柒拾叁万元整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131273</v>
      </c>
    </row>
    <row r="31" spans="1:2" s="1596" customFormat="1">
      <c r="A31" s="1594" t="s">
        <v>1274</v>
      </c>
      <c r="B31" s="1595">
        <f ca="1">'预评函-2'!D15</f>
        <v>60063</v>
      </c>
    </row>
    <row r="32" spans="1:2" s="1596" customFormat="1">
      <c r="A32" s="1594" t="s">
        <v>1241</v>
      </c>
      <c r="B32" s="1595" t="str">
        <f ca="1">'预评函-2'!D14</f>
        <v>壹拾叁亿壹仟贰佰柒拾叁万元整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21855.969999999998</v>
      </c>
    </row>
    <row r="44" spans="1:2" s="1596" customFormat="1">
      <c r="A44" s="1594" t="s">
        <v>1273</v>
      </c>
      <c r="B44" s="1595" t="str">
        <f>'预评函-3'!C2</f>
        <v>(分摊)土地面积</v>
      </c>
    </row>
    <row r="45" spans="1:2" s="1596" customFormat="1">
      <c r="A45" s="1594" t="s">
        <v>1245</v>
      </c>
      <c r="B45" s="1595">
        <f>'预评函-3'!C4</f>
        <v>4098.78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39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7"/>
      <c r="B54" s="2025" t="s">
        <v>864</v>
      </c>
      <c r="C54" s="2022" t="s">
        <v>1281</v>
      </c>
    </row>
    <row r="55" spans="1:4">
      <c r="A55" s="3397"/>
      <c r="B55" s="2025" t="s">
        <v>865</v>
      </c>
      <c r="C55" s="2022" t="s">
        <v>1282</v>
      </c>
    </row>
    <row r="56" spans="1:4">
      <c r="A56" s="3397"/>
      <c r="B56" s="2025" t="s">
        <v>866</v>
      </c>
      <c r="C56" s="2022" t="s">
        <v>1286</v>
      </c>
    </row>
    <row r="57" spans="1:4">
      <c r="A57" s="339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40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07"/>
      <c r="D1" s="3407"/>
      <c r="E1" s="3407"/>
      <c r="F1" s="3407"/>
      <c r="G1" s="3407"/>
      <c r="H1" s="3407"/>
      <c r="I1" s="34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43373</v>
      </c>
      <c r="C3" s="2040" t="s">
        <v>1779</v>
      </c>
      <c r="D3" s="2039">
        <f>B3</f>
        <v>43373</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3060</v>
      </c>
      <c r="C8" s="2059"/>
      <c r="D8" s="3409" t="s">
        <v>1785</v>
      </c>
      <c r="E8" s="2060"/>
      <c r="F8" s="2061"/>
      <c r="G8" s="2029"/>
      <c r="H8" s="2029"/>
      <c r="I8" s="2029"/>
      <c r="J8" s="2045"/>
      <c r="K8" s="2046"/>
      <c r="L8" s="2031"/>
      <c r="M8" s="2031"/>
      <c r="N8" s="2032"/>
      <c r="O8" s="2033"/>
      <c r="P8" s="2032"/>
      <c r="Q8" s="2032"/>
      <c r="R8" s="2032"/>
    </row>
    <row r="9" spans="1:19" ht="18" customHeight="1" thickBot="1">
      <c r="A9" s="2043" t="s">
        <v>1786</v>
      </c>
      <c r="B9" s="2062" t="s">
        <v>3061</v>
      </c>
      <c r="C9" s="2063"/>
      <c r="D9" s="3410"/>
      <c r="E9" s="2062"/>
      <c r="F9" s="2064"/>
      <c r="G9" s="2065"/>
      <c r="H9" s="2065"/>
      <c r="I9" s="2065"/>
      <c r="J9" s="2045"/>
      <c r="K9" s="2057"/>
      <c r="L9" s="2031"/>
      <c r="M9" s="2031"/>
      <c r="N9" s="2032"/>
      <c r="O9" s="2033"/>
      <c r="P9" s="2032"/>
      <c r="Q9" s="2032"/>
      <c r="R9" s="2032"/>
    </row>
    <row r="10" spans="1:19" ht="18" customHeight="1" thickTop="1">
      <c r="A10" s="2066" t="s">
        <v>1787</v>
      </c>
      <c r="B10" s="2067" t="s">
        <v>3062</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3063</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3064</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949">
        <v>67844</v>
      </c>
      <c r="E13" s="2083"/>
      <c r="F13" s="2083"/>
      <c r="G13" s="2083"/>
      <c r="H13" s="2949">
        <v>60539</v>
      </c>
      <c r="I13" s="1050"/>
      <c r="J13" s="2045"/>
      <c r="K13" s="2057"/>
      <c r="L13" s="2031"/>
      <c r="M13" s="2031"/>
      <c r="N13" s="2032"/>
      <c r="O13" s="2033"/>
      <c r="P13" s="2032"/>
      <c r="Q13" s="2032"/>
      <c r="R13" s="2032"/>
    </row>
    <row r="14" spans="1:19" ht="18" customHeight="1">
      <c r="A14" s="2080"/>
      <c r="B14" s="2081"/>
      <c r="C14" s="2082" t="s">
        <v>1799</v>
      </c>
      <c r="D14" s="2950">
        <v>70</v>
      </c>
      <c r="E14" s="1053"/>
      <c r="F14" s="1053"/>
      <c r="G14" s="1053"/>
      <c r="H14" s="2950">
        <v>50</v>
      </c>
      <c r="I14" s="1053"/>
      <c r="J14" s="2045"/>
      <c r="K14" s="2084"/>
      <c r="L14" s="2031"/>
      <c r="M14" s="2031"/>
      <c r="N14" s="2032"/>
      <c r="O14" s="2033"/>
      <c r="P14" s="2032"/>
      <c r="Q14" s="2032"/>
      <c r="R14" s="2032"/>
    </row>
    <row r="15" spans="1:19" ht="18" customHeight="1">
      <c r="A15" s="2066"/>
      <c r="B15" s="2085"/>
      <c r="C15" s="2082" t="s">
        <v>1800</v>
      </c>
      <c r="D15" s="1052">
        <f>IF(B12="出让",IF(D13="","",ROUNDDOWN(MIN((D13-$D$3)/365,D14),2)),D14)</f>
        <v>67.040000000000006</v>
      </c>
      <c r="E15" s="1052" t="str">
        <f>IF(B12="出让",IF(E13="","",ROUNDDOWN(MIN((E13-$D$3)/365,E14),2)),E14)</f>
        <v/>
      </c>
      <c r="F15" s="1052" t="str">
        <f>IF(B12="出让",IF(F13="","",ROUNDDOWN(MIN((F13-$D$3)/365,F14),2)),F14)</f>
        <v/>
      </c>
      <c r="G15" s="1052" t="str">
        <f>IF(B12="出让",IF(G13="","",ROUNDDOWN(MIN((G13-$D$3)/365,G14),2)),G14)</f>
        <v/>
      </c>
      <c r="H15" s="1052">
        <f>IF(B12="出让",IF(H13="","",ROUNDDOWN(MIN((H13-$D$3)/365,H14),2)),H14)</f>
        <v>47.03</v>
      </c>
      <c r="I15" s="1052" t="str">
        <f>IF(B12="出让",IF(I13="","",ROUNDDOWN(MIN((I13-$D$3)/365,I14),2)),I14)</f>
        <v/>
      </c>
      <c r="J15" s="2045"/>
      <c r="K15" s="2086"/>
      <c r="L15" s="2087"/>
      <c r="M15" s="2087"/>
      <c r="N15" s="2088"/>
      <c r="O15" s="2087"/>
      <c r="P15" s="2088"/>
      <c r="Q15" s="2032"/>
      <c r="R15" s="2032"/>
    </row>
    <row r="16" spans="1:19" ht="30.75" customHeight="1">
      <c r="A16" s="2069" t="s">
        <v>1801</v>
      </c>
      <c r="B16" s="3416"/>
      <c r="C16" s="3417"/>
      <c r="D16" s="3418"/>
      <c r="E16" s="2089" t="s">
        <v>1802</v>
      </c>
      <c r="F16" s="3419"/>
      <c r="G16" s="3420"/>
      <c r="H16" s="3420"/>
      <c r="I16" s="3421"/>
      <c r="J16" s="2032"/>
      <c r="K16" s="2086"/>
      <c r="L16" s="2087"/>
      <c r="M16" s="2087"/>
      <c r="N16" s="2088"/>
      <c r="O16" s="2087"/>
      <c r="P16" s="2088"/>
      <c r="Q16" s="2032"/>
      <c r="R16" s="2032"/>
    </row>
    <row r="17" spans="1:22" ht="18" customHeight="1">
      <c r="A17" s="2090" t="s">
        <v>1803</v>
      </c>
      <c r="B17" s="2038" t="s">
        <v>1804</v>
      </c>
      <c r="C17" s="1057">
        <f>'数据-汇总表'!E3</f>
        <v>21855.969999999998</v>
      </c>
      <c r="D17" s="2091" t="s">
        <v>1805</v>
      </c>
      <c r="E17" s="3422" t="s">
        <v>1806</v>
      </c>
      <c r="F17" s="3423"/>
      <c r="G17" s="3423"/>
      <c r="H17" s="3423"/>
      <c r="I17" s="3424"/>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4098.78</v>
      </c>
      <c r="D18" s="2094" t="s">
        <v>1805</v>
      </c>
      <c r="E18" s="3425" t="s">
        <v>1809</v>
      </c>
      <c r="F18" s="3426"/>
      <c r="G18" s="3426"/>
      <c r="H18" s="3426"/>
      <c r="I18" s="3427"/>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412" t="s">
        <v>1814</v>
      </c>
      <c r="C20" s="3413"/>
      <c r="D20" s="3414" t="s">
        <v>1815</v>
      </c>
      <c r="E20" s="3415"/>
      <c r="F20" s="2101" t="s">
        <v>1816</v>
      </c>
      <c r="G20" s="2045"/>
      <c r="H20" s="2045"/>
      <c r="I20" s="2045"/>
      <c r="J20" s="2045"/>
      <c r="K20" s="341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4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4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399" t="s">
        <v>1829</v>
      </c>
      <c r="B27" s="2066" t="s">
        <v>1830</v>
      </c>
      <c r="C27" s="2123" t="s">
        <v>3065</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399"/>
      <c r="B28" s="2038" t="s">
        <v>1831</v>
      </c>
      <c r="C28" s="2125" t="s">
        <v>3066</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399"/>
      <c r="B29" s="2038" t="s">
        <v>1832</v>
      </c>
      <c r="C29" s="2128" t="s">
        <v>3067</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400"/>
      <c r="B30" s="2038" t="s">
        <v>1833</v>
      </c>
      <c r="C30" s="3401"/>
      <c r="D30" s="340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403" t="s">
        <v>1834</v>
      </c>
      <c r="B31" s="2130" t="s">
        <v>3068</v>
      </c>
      <c r="C31" s="2131" t="str">
        <f>IF(B31="现房","成新及维护状况正常否",IF(B31="在建","工程状态是否正常",IF(B31="土地","是否闲置","-")))</f>
        <v>工程状态是否正常</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40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40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398" t="s">
        <v>1843</v>
      </c>
      <c r="T34" s="2138" t="str">
        <f>NUMBERSTRING(7-K34,1)&amp;"通"</f>
        <v>七通</v>
      </c>
      <c r="U34" s="2032"/>
      <c r="V34" s="2032"/>
    </row>
    <row r="35" spans="1:22" ht="18" customHeight="1">
      <c r="A35" s="2139"/>
      <c r="B35" s="3405" t="s">
        <v>1844</v>
      </c>
      <c r="C35" s="3405"/>
      <c r="D35" s="3405"/>
      <c r="E35" s="340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98"/>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ROUND(21855.97/100420.12*18832.37,2)</f>
        <v>4098.78</v>
      </c>
      <c r="B3" s="14">
        <f>IF(C3="否",G5-AT5,G5)</f>
        <v>21855.969999999998</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21855.969999999998</v>
      </c>
      <c r="H5" s="16">
        <f t="shared" ref="H5:AT5" si="0">SUM(H13:H656)</f>
        <v>21855.969999999998</v>
      </c>
      <c r="I5" s="16">
        <f t="shared" si="0"/>
        <v>21264.71</v>
      </c>
      <c r="J5" s="16">
        <f t="shared" si="0"/>
        <v>0</v>
      </c>
      <c r="K5" s="16">
        <f t="shared" si="0"/>
        <v>591.26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21855.969999999998</v>
      </c>
      <c r="BA5" s="18">
        <f t="shared" si="1"/>
        <v>21855.969999999998</v>
      </c>
      <c r="BB5" s="18">
        <f t="shared" si="1"/>
        <v>21264.71</v>
      </c>
      <c r="BC5" s="18">
        <f t="shared" si="1"/>
        <v>591.26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4098.78</v>
      </c>
      <c r="F6" s="16" t="s">
        <v>1</v>
      </c>
      <c r="G6" s="16" t="s">
        <v>2</v>
      </c>
      <c r="H6" s="20">
        <f>SUMIF(I$12:AB$12,"总值",I6:AB6)</f>
        <v>4098.78</v>
      </c>
      <c r="I6" s="16">
        <f t="shared" ref="I6:AB6" si="2">ROUND($A$3*I5/$B$3,2)</f>
        <v>3987.9</v>
      </c>
      <c r="J6" s="16">
        <f t="shared" si="2"/>
        <v>0</v>
      </c>
      <c r="K6" s="16">
        <f t="shared" si="2"/>
        <v>110.88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4098.78</v>
      </c>
      <c r="AZ6" s="16" t="s">
        <v>3</v>
      </c>
      <c r="BA6" s="16">
        <f>ROUND($AY$6*BA5/$AZ$5,2)</f>
        <v>4098.78</v>
      </c>
      <c r="BB6" s="16">
        <f>ROUND($AY$6*BB5/$AZ$5,2)</f>
        <v>3987.9</v>
      </c>
      <c r="BC6" s="16">
        <f t="shared" ref="BC6:BH6" si="4">ROUND($AY$6*BC5/$AZ$5,2)</f>
        <v>110.88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3056</v>
      </c>
      <c r="J9" s="984"/>
      <c r="K9" s="2195" t="s">
        <v>3058</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3057</v>
      </c>
      <c r="J10" s="984"/>
      <c r="K10" s="2201" t="s">
        <v>3059</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仓储</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25.5">
      <c r="A13" s="1275"/>
      <c r="B13" s="1275"/>
      <c r="C13" s="1275" t="s">
        <v>3053</v>
      </c>
      <c r="D13" s="2217" t="s">
        <v>3055</v>
      </c>
      <c r="E13" s="16">
        <f>IF($C$3="是",ROUND($A$3*G13/$B$3,2),ROUND($A$3*(G13-AT13)/$B$3,2))</f>
        <v>3538.81</v>
      </c>
      <c r="F13" s="32"/>
      <c r="G13" s="33">
        <f>H13+AC13+AT13</f>
        <v>18870.039999999997</v>
      </c>
      <c r="H13" s="20">
        <f>SUMIF(I$12:AB$12,"总值",I13:AB13)</f>
        <v>18870.039999999997</v>
      </c>
      <c r="I13" s="2218">
        <v>18278.78</v>
      </c>
      <c r="J13" s="2218"/>
      <c r="K13" s="2218">
        <v>591.26</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660-2#住宅楼</v>
      </c>
      <c r="AY13" s="1809">
        <f>ROUND($AY$6*AZ13/$AZ$5,2)</f>
        <v>3538.81</v>
      </c>
      <c r="AZ13" s="16">
        <f>BA13+BL13</f>
        <v>18870.039999999997</v>
      </c>
      <c r="BA13" s="16">
        <f>SUM(BB13:BK13)</f>
        <v>18870.039999999997</v>
      </c>
      <c r="BB13" s="16">
        <f>IF($D13="是",I13-J13,0)</f>
        <v>18278.78</v>
      </c>
      <c r="BC13" s="16">
        <f>IF($D13="是",K13-L13,0)</f>
        <v>591.26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25.5">
      <c r="A14" s="1275"/>
      <c r="B14" s="1275"/>
      <c r="C14" s="2157" t="s">
        <v>3054</v>
      </c>
      <c r="D14" s="2217" t="s">
        <v>3055</v>
      </c>
      <c r="E14" s="16">
        <f>IF($C$3="是",ROUND($A$3*G14/$B$3,2),ROUND($A$3*(G14-AT14)/$B$3,2))</f>
        <v>559.97</v>
      </c>
      <c r="F14" s="32"/>
      <c r="G14" s="33">
        <f>H14+AC14+AT14</f>
        <v>2985.93</v>
      </c>
      <c r="H14" s="20">
        <f>SUMIF(I$12:AB$12,"总值",I14:AB14)</f>
        <v>2985.93</v>
      </c>
      <c r="I14" s="2218">
        <v>2985.93</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660-4#住宅楼</v>
      </c>
      <c r="AY14" s="1809">
        <f>ROUND($AY$6*AZ14/$AZ$5,2)</f>
        <v>559.97</v>
      </c>
      <c r="AZ14" s="16">
        <f>BA14+BL14</f>
        <v>2985.93</v>
      </c>
      <c r="BA14" s="16">
        <f>SUM(BB14:BK14)</f>
        <v>2985.93</v>
      </c>
      <c r="BB14" s="16">
        <f>IF($D14="是",I14-J14,0)</f>
        <v>2985.93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8" t="s">
        <v>0</v>
      </c>
      <c r="B1" s="3428" t="s">
        <v>4</v>
      </c>
      <c r="C1" s="3428" t="s">
        <v>5</v>
      </c>
      <c r="D1" s="3429" t="s">
        <v>53</v>
      </c>
      <c r="E1" s="3429" t="s">
        <v>54</v>
      </c>
      <c r="F1" s="3429"/>
      <c r="G1" s="3429"/>
      <c r="H1" s="3429"/>
      <c r="I1" s="3429"/>
      <c r="J1" s="3429"/>
      <c r="K1" s="3429"/>
      <c r="L1" s="3429"/>
      <c r="M1" s="3429"/>
    </row>
    <row r="2" spans="1:13" ht="27" customHeight="1">
      <c r="A2" s="3428"/>
      <c r="B2" s="3428"/>
      <c r="C2" s="3428"/>
      <c r="D2" s="3429"/>
      <c r="E2" s="3429" t="s">
        <v>37</v>
      </c>
      <c r="F2" s="3429" t="s">
        <v>38</v>
      </c>
      <c r="G2" s="3429"/>
      <c r="H2" s="3429"/>
      <c r="I2" s="3429"/>
      <c r="J2" s="3429" t="s">
        <v>39</v>
      </c>
      <c r="K2" s="3429"/>
      <c r="L2" s="3429"/>
      <c r="M2" s="3429"/>
    </row>
    <row r="3" spans="1:13" ht="28.5">
      <c r="A3" s="3428"/>
      <c r="B3" s="3428"/>
      <c r="C3" s="3428"/>
      <c r="D3" s="3429"/>
      <c r="E3" s="34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9" t="s">
        <v>55</v>
      </c>
      <c r="B9" s="3429"/>
      <c r="C9" s="34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7" sqref="C1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439" t="s">
        <v>1940</v>
      </c>
      <c r="B2" s="3439"/>
      <c r="C2" s="3439"/>
      <c r="D2" s="970" t="s">
        <v>1916</v>
      </c>
      <c r="E2" s="2231" t="s">
        <v>1917</v>
      </c>
      <c r="F2" s="1395"/>
      <c r="G2" s="2232"/>
      <c r="H2" s="2233"/>
      <c r="I2" s="2234" t="s">
        <v>1941</v>
      </c>
      <c r="J2" s="1395"/>
      <c r="K2" s="1395"/>
      <c r="L2" s="1395"/>
      <c r="M2" s="1395"/>
      <c r="N2" s="1430"/>
      <c r="O2" s="1395"/>
      <c r="P2" s="1395"/>
    </row>
    <row r="3" spans="1:16" ht="15.75" thickBot="1">
      <c r="A3" s="3440" t="s">
        <v>1914</v>
      </c>
      <c r="B3" s="3440"/>
      <c r="C3" s="3440"/>
      <c r="D3" s="46">
        <f>'数据-基础表'!AY6</f>
        <v>4098.78</v>
      </c>
      <c r="E3" s="46">
        <f>'数据-基础表'!AZ5</f>
        <v>21855.969999999998</v>
      </c>
      <c r="F3" s="1395"/>
      <c r="G3" s="1402"/>
      <c r="H3" s="1250" t="s">
        <v>1915</v>
      </c>
      <c r="I3" s="55">
        <f>ROUND('数据-基础表'!B3/'数据-基础表'!A3,2)</f>
        <v>5.33</v>
      </c>
      <c r="J3" s="1395"/>
      <c r="K3" s="1395"/>
      <c r="L3" s="1395"/>
      <c r="M3" s="1395"/>
      <c r="N3" s="1430"/>
      <c r="O3" s="1395"/>
      <c r="P3" s="1395"/>
    </row>
    <row r="4" spans="1:16" ht="15">
      <c r="A4" s="3441"/>
      <c r="B4" s="3442"/>
      <c r="C4" s="3443"/>
      <c r="D4" s="2235" t="s">
        <v>1916</v>
      </c>
      <c r="E4" s="2236" t="s">
        <v>1917</v>
      </c>
      <c r="F4" s="1395"/>
      <c r="G4" s="2237" t="s">
        <v>1942</v>
      </c>
      <c r="H4" s="1250" t="s">
        <v>1922</v>
      </c>
      <c r="I4" s="55">
        <f>ROUND(SUMIF('数据-基础表'!I9:AS9,"地上",'数据-基础表'!I5:AS5)/'数据-基础表'!A3,2)</f>
        <v>5.19</v>
      </c>
      <c r="J4" s="1395"/>
      <c r="K4" s="1395"/>
      <c r="L4" s="1395"/>
      <c r="M4" s="1395"/>
      <c r="N4" s="1430"/>
      <c r="O4" s="1395"/>
      <c r="P4" s="1395"/>
    </row>
    <row r="5" spans="1:16">
      <c r="A5" s="47" t="s">
        <v>1918</v>
      </c>
      <c r="B5" s="3444" t="s">
        <v>1919</v>
      </c>
      <c r="C5" s="3444"/>
      <c r="D5" s="48">
        <f>ROUND($D$3*E5/$E$3,2)</f>
        <v>3987.9</v>
      </c>
      <c r="E5" s="49">
        <f>SUMIF('数据-基础表'!$11:$11,"住宅",'数据-基础表'!$5:$5)</f>
        <v>21264.71</v>
      </c>
      <c r="F5" s="1395"/>
      <c r="G5" s="1402"/>
      <c r="H5" s="1250" t="s">
        <v>1915</v>
      </c>
      <c r="I5" s="55">
        <f>ROUND(E31/D31,2)</f>
        <v>5.33</v>
      </c>
      <c r="J5" s="1395"/>
      <c r="K5" s="1395"/>
      <c r="L5" s="1395"/>
      <c r="M5" s="1395"/>
      <c r="N5" s="1395"/>
      <c r="O5" s="1395"/>
      <c r="P5" s="1395"/>
    </row>
    <row r="6" spans="1:16" ht="15" thickBot="1">
      <c r="A6" s="2238"/>
      <c r="B6" s="3444" t="s">
        <v>1920</v>
      </c>
      <c r="C6" s="3444"/>
      <c r="D6" s="48">
        <f>ROUND($D$3*E6/$E$3,2)</f>
        <v>110.88</v>
      </c>
      <c r="E6" s="49">
        <f>E3-E5</f>
        <v>591.2599999999984</v>
      </c>
      <c r="F6" s="1395"/>
      <c r="G6" s="2239" t="s">
        <v>1921</v>
      </c>
      <c r="H6" s="1402" t="s">
        <v>1922</v>
      </c>
      <c r="I6" s="942">
        <f>ROUND(F31/D31,2)</f>
        <v>5.19</v>
      </c>
      <c r="J6" s="1395"/>
      <c r="K6" s="1395"/>
      <c r="L6" s="1395"/>
      <c r="M6" s="1395"/>
      <c r="N6" s="1395"/>
      <c r="O6" s="1395"/>
      <c r="P6" s="1395"/>
    </row>
    <row r="7" spans="1:16" ht="15">
      <c r="A7" s="3436"/>
      <c r="B7" s="3437"/>
      <c r="C7" s="3438"/>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3987.9</v>
      </c>
      <c r="E8" s="51">
        <f>SUMIF('数据-基础表'!BB10:BK10,"地上",'数据-基础表'!BB5:BK5)</f>
        <v>21264.71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110.88</v>
      </c>
      <c r="E12" s="51">
        <f>SUMPRODUCT(('数据-基础表'!BB10:BK10="地下")*('数据-基础表'!BB11:BK11="仓储")*('数据-基础表'!BB5:BK5))</f>
        <v>591.26</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4098.78</v>
      </c>
      <c r="E16" s="53">
        <f>SUM(E8:E15)</f>
        <v>21855.969999999998</v>
      </c>
      <c r="F16" s="1395"/>
      <c r="G16" s="2241"/>
      <c r="H16" s="2244" t="s">
        <v>1944</v>
      </c>
      <c r="I16" s="2245"/>
      <c r="J16" s="1395"/>
      <c r="K16" s="3433" t="s">
        <v>1944</v>
      </c>
      <c r="L16" s="3434"/>
      <c r="M16" s="3434"/>
      <c r="N16" s="3434"/>
      <c r="O16" s="3434"/>
      <c r="P16" s="3435"/>
    </row>
    <row r="17" spans="1:19" ht="15">
      <c r="A17" s="2246" t="s">
        <v>1945</v>
      </c>
      <c r="B17" s="2247" t="s">
        <v>1946</v>
      </c>
      <c r="C17" s="2248" t="s">
        <v>1947</v>
      </c>
      <c r="D17" s="2249" t="s">
        <v>1935</v>
      </c>
      <c r="E17" s="2250" t="s">
        <v>1936</v>
      </c>
      <c r="F17" s="2251"/>
      <c r="G17" s="2252"/>
      <c r="H17" s="2253" t="s">
        <v>1948</v>
      </c>
      <c r="I17" s="2254" t="s">
        <v>1933</v>
      </c>
      <c r="J17" s="1395"/>
      <c r="K17" s="3430" t="s">
        <v>1949</v>
      </c>
      <c r="L17" s="3431"/>
      <c r="M17" s="3432"/>
      <c r="N17" s="3430" t="s">
        <v>1950</v>
      </c>
      <c r="O17" s="3431"/>
      <c r="P17" s="3432"/>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51" t="s">
        <v>3069</v>
      </c>
      <c r="D19" s="48">
        <f>ROUND($D$3*E19/$E$3,2)</f>
        <v>3987.9</v>
      </c>
      <c r="E19" s="56">
        <f t="shared" ref="E19:E26" si="1">SUM(F19:G19)</f>
        <v>21264.71</v>
      </c>
      <c r="F19" s="57">
        <f>'数据-基础表'!I5</f>
        <v>21264.71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3987.9</v>
      </c>
      <c r="S19" s="1251">
        <f t="shared" si="5"/>
        <v>21264.71</v>
      </c>
    </row>
    <row r="20" spans="1:19">
      <c r="A20" s="2267"/>
      <c r="B20" s="50" t="s">
        <v>1962</v>
      </c>
      <c r="C20" s="2951" t="s">
        <v>3070</v>
      </c>
      <c r="D20" s="48">
        <f t="shared" ref="D20:D26" si="6">ROUND($D$3*E20/$E$3,2)</f>
        <v>110.88</v>
      </c>
      <c r="E20" s="56">
        <f t="shared" si="1"/>
        <v>591.26</v>
      </c>
      <c r="F20" s="57"/>
      <c r="G20" s="58">
        <f>'数据-基础表'!K13</f>
        <v>591.26</v>
      </c>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110.88</v>
      </c>
      <c r="S20" s="1251">
        <f t="shared" si="5"/>
        <v>591.26</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4098.78</v>
      </c>
      <c r="E27" s="1397">
        <f>IF(SUM(E19:E26)='数据-基础表'!BA5,SUM(E19:E26),IF(F27="地上面积有误","面积有误","地下面积有误"))</f>
        <v>21855.969999999998</v>
      </c>
      <c r="F27" s="1396">
        <f>IF(SUM(F19:F26)=E8,SUM(F19:F26),"地上面积有误")</f>
        <v>21264.71</v>
      </c>
      <c r="G27" s="1398">
        <f>SUM(G19:G26)</f>
        <v>591.26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4098.78</v>
      </c>
      <c r="S27" s="1250">
        <f>IF(SUM(S19:S26)=$E$3,SUM(S19:S26),SUM(S19:S26)&amp;"误差"&amp;ROUND(SUM(S19:S26)-E3,2))</f>
        <v>21855.969999999998</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4098.78</v>
      </c>
      <c r="E31" s="729">
        <f>E27+E30</f>
        <v>21855.969999999998</v>
      </c>
      <c r="F31" s="730">
        <f>F27+F30</f>
        <v>21264.71</v>
      </c>
      <c r="G31" s="731">
        <f>G27+G30</f>
        <v>591.26</v>
      </c>
      <c r="H31" s="1395"/>
      <c r="I31" s="1395"/>
      <c r="J31" s="1395"/>
      <c r="K31" s="1395"/>
      <c r="L31" s="1395"/>
      <c r="M31" s="1395"/>
      <c r="N31" s="1395"/>
      <c r="O31" s="1395"/>
      <c r="P31" s="1395"/>
    </row>
    <row r="32" spans="1:19">
      <c r="A32" s="2237"/>
      <c r="B32" s="2237" t="s">
        <v>1968</v>
      </c>
      <c r="C32" s="2237"/>
      <c r="D32" s="2237"/>
      <c r="E32" s="1277">
        <f>SUMIF(C19:C26,"*住宅*",E19:E26)</f>
        <v>21264.71</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43373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1990</v>
      </c>
      <c r="O5" s="2300" t="s">
        <v>1991</v>
      </c>
      <c r="P5" s="2303" t="s">
        <v>1992</v>
      </c>
      <c r="Q5" s="69" t="s">
        <v>1993</v>
      </c>
      <c r="R5" s="2304" t="s">
        <v>1994</v>
      </c>
      <c r="S5" s="2305" t="s">
        <v>1995</v>
      </c>
      <c r="T5" s="2306" t="s">
        <v>1996</v>
      </c>
      <c r="U5" s="1270" t="s">
        <v>1997</v>
      </c>
      <c r="V5" s="1271" t="s">
        <v>1998</v>
      </c>
      <c r="W5" s="1271" t="s">
        <v>1999</v>
      </c>
      <c r="X5" s="71"/>
      <c r="Y5" s="70" t="s">
        <v>2000</v>
      </c>
      <c r="Z5" s="2307" t="s">
        <v>1997</v>
      </c>
      <c r="AA5" s="1271" t="s">
        <v>1998</v>
      </c>
      <c r="AB5" s="1271" t="s">
        <v>1999</v>
      </c>
      <c r="AC5" s="71"/>
      <c r="AD5" s="71" t="s">
        <v>2000</v>
      </c>
      <c r="AE5" s="1270" t="s">
        <v>2001</v>
      </c>
      <c r="AF5" s="1271" t="s">
        <v>2002</v>
      </c>
      <c r="AG5" s="70" t="s">
        <v>2003</v>
      </c>
      <c r="AH5" s="1270" t="s">
        <v>2004</v>
      </c>
      <c r="AI5" s="2307" t="s">
        <v>2005</v>
      </c>
      <c r="AJ5" s="2307" t="s">
        <v>2006</v>
      </c>
      <c r="AK5" s="1271" t="s">
        <v>2007</v>
      </c>
      <c r="AL5" s="1271" t="s">
        <v>2008</v>
      </c>
      <c r="AM5" s="70" t="s">
        <v>2009</v>
      </c>
      <c r="AN5" s="2308" t="s">
        <v>2010</v>
      </c>
      <c r="AO5" s="2078" t="s">
        <v>2011</v>
      </c>
      <c r="AP5" s="1252" t="s">
        <v>2012</v>
      </c>
      <c r="AQ5" s="2309" t="s">
        <v>2013</v>
      </c>
      <c r="AR5" s="2309" t="s">
        <v>2014</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3057</v>
      </c>
      <c r="D6" s="1054">
        <f>SUMIF(项目基本情况!D$12:I$12,C6,项目基本情况!D$14:I$14)</f>
        <v>70</v>
      </c>
      <c r="E6" s="1051">
        <f>IF(B6="","",SUMIF(项目基本情况!D$12:I$12,C6,项目基本情况!D$13:I$13))</f>
        <v>67844</v>
      </c>
      <c r="F6" s="72">
        <f>SUMIF(项目基本情况!D$12:I$12,C6,项目基本情况!D$15:I$15)</f>
        <v>67.040000000000006</v>
      </c>
      <c r="G6" s="73">
        <f>IF(ISERROR(ROUND(POWER(1+H6,D6-F6)*(POWER(1+H6,F6)-1)/(POWER(1+H6,D6)-1),3)),0,ROUND(POWER(1+H6,D6-F6)*(POWER(1+H6,F6)-1)/(POWER(1+H6,D6)-1),3))</f>
        <v>0.995</v>
      </c>
      <c r="H6" s="802">
        <v>0.05</v>
      </c>
      <c r="I6" s="802">
        <v>5.5E-2</v>
      </c>
      <c r="J6" s="74">
        <v>8.5000000000000006E-2</v>
      </c>
      <c r="K6" s="1254">
        <f>SUMIF('数据-汇总表'!C$19:C$33,A6,'数据-汇总表'!E$19:E$33)</f>
        <v>21264.71</v>
      </c>
      <c r="L6" s="803">
        <v>4000</v>
      </c>
      <c r="M6" s="75">
        <f t="shared" ref="M6:M14" si="0">ROUND(K6*L6/10000,0)</f>
        <v>8506</v>
      </c>
      <c r="N6" s="801">
        <v>0.3</v>
      </c>
      <c r="O6" s="75">
        <f>IF($N$5="成新度","——",ROUND(M6*N6,0))</f>
        <v>2552</v>
      </c>
      <c r="P6" s="76">
        <f>IF($N$5="成新度","——",M6-O6)</f>
        <v>5954</v>
      </c>
      <c r="Q6" s="804">
        <v>0.25</v>
      </c>
      <c r="R6" s="77">
        <f ca="1">SUMIF('数据-汇总表'!C$19:C$33,A6,'数据-汇总表'!R$19:R$27)</f>
        <v>3987.9</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v>365</v>
      </c>
      <c r="AJ6" s="86"/>
      <c r="AK6" s="87">
        <v>1.4999999999999999E-2</v>
      </c>
      <c r="AL6" s="88">
        <v>1.5E-3</v>
      </c>
      <c r="AM6" s="89">
        <v>1.4999999999999999E-2</v>
      </c>
      <c r="AN6" s="2313"/>
      <c r="AO6" s="55" t="e">
        <f ca="1">SUMIF(INDIRECT("'"&amp;AN6&amp;"'"&amp;"!A:A"),"总价",INDIRECT("'"&amp;AN6&amp;"'"&amp;"!B:B"))</f>
        <v>#REF!</v>
      </c>
      <c r="AP6" s="2314">
        <f>IF(C6="住宅",K6*L6,0)</f>
        <v>85058840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仓储</v>
      </c>
      <c r="B7" s="2311" t="str">
        <f t="shared" ref="B7:B13" si="1">IF(A7=0,"","经营性")</f>
        <v>经营性</v>
      </c>
      <c r="C7" s="2312" t="s">
        <v>3059</v>
      </c>
      <c r="D7" s="1054">
        <f>SUMIF(项目基本情况!D$12:I$12,C7,项目基本情况!D$14:I$14)</f>
        <v>50</v>
      </c>
      <c r="E7" s="1051">
        <f>IF(B7="","",SUMIF(项目基本情况!D$12:I$12,C7,项目基本情况!D$13:I$13))</f>
        <v>60539</v>
      </c>
      <c r="F7" s="72">
        <f>SUMIF(项目基本情况!D$12:I$12,C7,项目基本情况!D$15:I$15)</f>
        <v>47.03</v>
      </c>
      <c r="G7" s="73">
        <f t="shared" ref="G7:G11" si="2">IF(ISERROR(ROUND(POWER(1+H7,D7-F7)*(POWER(1+H7,F7)-1)/(POWER(1+H7,D7)-1),3)),0,ROUND(POWER(1+H7,D7-F7)*(POWER(1+H7,F7)-1)/(POWER(1+H7,D7)-1),3))</f>
        <v>0.98299999999999998</v>
      </c>
      <c r="H7" s="802">
        <v>4.4999999999999998E-2</v>
      </c>
      <c r="I7" s="802">
        <v>0.05</v>
      </c>
      <c r="J7" s="74">
        <v>8.5000000000000006E-2</v>
      </c>
      <c r="K7" s="1254">
        <f>SUMIF('数据-汇总表'!C$19:C$33,A7,'数据-汇总表'!E$19:E$33)</f>
        <v>591.26</v>
      </c>
      <c r="L7" s="803">
        <v>2000</v>
      </c>
      <c r="M7" s="75">
        <f t="shared" si="0"/>
        <v>118</v>
      </c>
      <c r="N7" s="801">
        <v>0.3</v>
      </c>
      <c r="O7" s="75">
        <f t="shared" ref="O7:O14" si="3">IF($N$5="成新度","——",ROUND(M7*N7,0))</f>
        <v>35</v>
      </c>
      <c r="P7" s="76">
        <f t="shared" ref="P7:P14" si="4">IF($N$5="成新度","——",M7-O7)</f>
        <v>83</v>
      </c>
      <c r="Q7" s="804">
        <v>0.05</v>
      </c>
      <c r="R7" s="77">
        <f ca="1">SUMIF('数据-汇总表'!C$19:C$33,A7,'数据-汇总表'!R$19:R$27)</f>
        <v>110.88</v>
      </c>
      <c r="S7" s="54">
        <f>IF('数据-汇总表'!$I$17="按面积比例",SUMIF('数据-汇总表'!C$19:C$33,A7,'数据-汇总表'!K$19:K$33),SUMIF('数据-汇总表'!C$19:C$33,A7,'数据-汇总表'!N$19:N$33))</f>
        <v>0</v>
      </c>
      <c r="T7" s="1446">
        <f t="shared" ref="T7:T13" si="5">ROUND($L$14*S7/10000,0)</f>
        <v>0</v>
      </c>
      <c r="U7" s="78">
        <v>1</v>
      </c>
      <c r="V7" s="79">
        <v>2.5000000000000001E-2</v>
      </c>
      <c r="W7" s="79">
        <v>0.05</v>
      </c>
      <c r="X7" s="1264"/>
      <c r="Y7" s="80">
        <v>1</v>
      </c>
      <c r="Z7" s="81"/>
      <c r="AA7" s="74"/>
      <c r="AB7" s="74"/>
      <c r="AC7" s="1264"/>
      <c r="AD7" s="82"/>
      <c r="AE7" s="1265">
        <f t="shared" ref="AE7:AE13" ca="1" si="6">IF(AN7="",0,SUMIF(INDIRECT("'"&amp;AN7&amp;"'"&amp;"!E:E"),$AE$5,INDIRECT("'"&amp;AN7&amp;"'"&amp;"!F:F")))</f>
        <v>46.03</v>
      </c>
      <c r="AF7" s="1807"/>
      <c r="AG7" s="147">
        <f t="shared" ref="AG7:AG13" si="7">IF(AF7="",0,AE7-AF7)</f>
        <v>0</v>
      </c>
      <c r="AH7" s="83"/>
      <c r="AI7" s="85">
        <v>365</v>
      </c>
      <c r="AJ7" s="86"/>
      <c r="AK7" s="87">
        <v>1.4999999999999999E-2</v>
      </c>
      <c r="AL7" s="88">
        <v>1.5E-3</v>
      </c>
      <c r="AM7" s="89">
        <v>0.01</v>
      </c>
      <c r="AN7" s="2313" t="s">
        <v>3575</v>
      </c>
      <c r="AO7" s="55">
        <f t="shared" ref="AO7:AO13" ca="1" si="8">SUMIF(INDIRECT("'"&amp;AN7&amp;"'"&amp;"!A:A"),"总价",INDIRECT("'"&amp;AN7&amp;"'"&amp;"!B:B"))</f>
        <v>376</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2015</v>
      </c>
      <c r="B14" s="2311" t="s">
        <v>2016</v>
      </c>
      <c r="C14" s="2316"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2017</v>
      </c>
      <c r="B15" s="2311" t="s">
        <v>2016</v>
      </c>
      <c r="C15" s="2316"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2019</v>
      </c>
      <c r="B16" s="97"/>
      <c r="C16" s="1008"/>
      <c r="D16" s="2318"/>
      <c r="E16" s="97"/>
      <c r="F16" s="97"/>
      <c r="G16" s="98">
        <f>ROUND(SUMPRODUCT(G6:G13,K6:K13)/SUMPRODUCT((G6:G13&gt;0)*(K6:K13)),3)</f>
        <v>0.995</v>
      </c>
      <c r="H16" s="99">
        <f>ROUND(SUMPRODUCT(H6:H13,K6:K13)/SUMPRODUCT((H6:H13&gt;0)*(K6:K13)),3)</f>
        <v>0.05</v>
      </c>
      <c r="I16" s="100"/>
      <c r="J16" s="100"/>
      <c r="K16" s="101">
        <f>SUM(K6:K15)</f>
        <v>21855.969999999998</v>
      </c>
      <c r="L16" s="102">
        <f>ROUND(M16*10000/SUM(K6:K14),0)</f>
        <v>3946</v>
      </c>
      <c r="M16" s="102">
        <f>SUM(M6:M14)</f>
        <v>8624</v>
      </c>
      <c r="N16" s="103">
        <f>ROUND(SUMPRODUCT(M6:M14,N6:N14)/M16,3)</f>
        <v>0.3</v>
      </c>
      <c r="O16" s="102">
        <f>SUM(O6:O14)</f>
        <v>2587</v>
      </c>
      <c r="P16" s="102">
        <f>SUM(P6:P14)</f>
        <v>6037</v>
      </c>
      <c r="Q16" s="104">
        <f>ROUND(SUMPRODUCT(Q6:Q13,K6:K13)/SUMPRODUCT((Q6:Q13&gt;0)*(K6:K13)),2)</f>
        <v>0.24</v>
      </c>
      <c r="R16" s="1258">
        <f ca="1">SUM(R6:R13)</f>
        <v>4098.78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4"/>
      <c r="C18" s="2281"/>
      <c r="D18" s="2282"/>
      <c r="E18" s="2281"/>
      <c r="F18" s="2281"/>
      <c r="G18" s="2281"/>
      <c r="H18" s="2281"/>
      <c r="I18" s="2281"/>
      <c r="J18" s="2281"/>
      <c r="K18" s="168"/>
      <c r="L18" s="3722" t="s">
        <v>3582</v>
      </c>
      <c r="M18" s="1584" t="s">
        <v>3580</v>
      </c>
      <c r="N18" s="1584"/>
      <c r="O18" s="1584">
        <f>12/21*0.5</f>
        <v>0.2857142857142857</v>
      </c>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2021</v>
      </c>
      <c r="B19" s="112">
        <v>0</v>
      </c>
      <c r="C19" s="2281" t="s">
        <v>2022</v>
      </c>
      <c r="D19" s="2282"/>
      <c r="E19" s="2281"/>
      <c r="F19" s="2281"/>
      <c r="G19" s="2281"/>
      <c r="H19" s="2281"/>
      <c r="I19" s="2281"/>
      <c r="J19" s="2281"/>
      <c r="K19" s="168"/>
      <c r="L19" s="3722" t="s">
        <v>3582</v>
      </c>
      <c r="M19" s="1584" t="s">
        <v>3581</v>
      </c>
      <c r="N19" s="1584"/>
      <c r="O19" s="1584">
        <f>4/6*0.5</f>
        <v>0.33333333333333331</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2023</v>
      </c>
      <c r="B20" s="113">
        <v>1.5</v>
      </c>
      <c r="C20" s="2281" t="s">
        <v>2024</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2025</v>
      </c>
      <c r="B21" s="113">
        <v>0.5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2026</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2027</v>
      </c>
      <c r="B23" s="114">
        <f>B19+B21</f>
        <v>0.5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2028</v>
      </c>
      <c r="B24" s="115">
        <f>B20-B21</f>
        <v>1</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2029</v>
      </c>
      <c r="B26" s="2324" t="s">
        <v>2030</v>
      </c>
      <c r="C26" s="2325" t="s">
        <v>2031</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2032</v>
      </c>
      <c r="B27" s="116">
        <v>160</v>
      </c>
      <c r="C27" s="1767" t="s">
        <v>2033</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2034</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2035</v>
      </c>
      <c r="B29" s="121">
        <v>2</v>
      </c>
      <c r="C29" s="1767" t="s">
        <v>2036</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2037</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2038</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2039</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2040</v>
      </c>
      <c r="B33" s="726">
        <v>0.03</v>
      </c>
      <c r="C33" s="1766" t="s">
        <v>2041</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2042</v>
      </c>
      <c r="B34" s="122">
        <v>0.03</v>
      </c>
      <c r="C34" s="1766" t="s">
        <v>2043</v>
      </c>
      <c r="D34" s="2282" t="s">
        <v>2044</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2045</v>
      </c>
      <c r="B35" s="119">
        <v>200</v>
      </c>
      <c r="C35" s="1766" t="s">
        <v>2046</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2047</v>
      </c>
      <c r="B36" s="123">
        <v>1.4999999999999999E-2</v>
      </c>
      <c r="C36" s="1766" t="s">
        <v>2048</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2049</v>
      </c>
      <c r="B37" s="124">
        <v>0.02</v>
      </c>
      <c r="C37" s="1766" t="s">
        <v>2050</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2051</v>
      </c>
      <c r="B38" s="122">
        <v>0.01</v>
      </c>
      <c r="C38" s="1766" t="s">
        <v>2050</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2052</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2053</v>
      </c>
      <c r="B40" s="1303">
        <f ca="1">存贷款利率!G1</f>
        <v>4.7500000000000001E-2</v>
      </c>
      <c r="C40" s="1766" t="s">
        <v>2054</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2055</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2056</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2057</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2058</v>
      </c>
      <c r="B44" s="128">
        <v>7.0000000000000007E-2</v>
      </c>
      <c r="C44" s="1766" t="s">
        <v>2059</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2060</v>
      </c>
      <c r="B45" s="126">
        <v>0.03</v>
      </c>
      <c r="C45" s="1767" t="s">
        <v>2061</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2062</v>
      </c>
      <c r="B46" s="126">
        <v>0.02</v>
      </c>
      <c r="C46" s="1767" t="s">
        <v>2063</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2064</v>
      </c>
      <c r="B47" s="129"/>
      <c r="C47" s="1767" t="s">
        <v>2065</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2066</v>
      </c>
      <c r="B48" s="130">
        <v>0.03</v>
      </c>
      <c r="C48" s="1774" t="s">
        <v>2067</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2068</v>
      </c>
      <c r="B49" s="126">
        <v>5.0000000000000001E-4</v>
      </c>
      <c r="C49" s="1774" t="s">
        <v>2069</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2070</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2071</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2072</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2073</v>
      </c>
      <c r="B53" s="2340" t="s">
        <v>523</v>
      </c>
      <c r="C53" s="1430" t="s">
        <v>2074</v>
      </c>
      <c r="D53" s="2341" t="s">
        <v>2075</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2076</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2077</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2078</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2079</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2080</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2081</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2082</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2083</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2084</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2085</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445" t="s">
        <v>2086</v>
      </c>
      <c r="B1" s="3446"/>
      <c r="C1" s="3446"/>
      <c r="D1" s="3446"/>
      <c r="E1" s="3446"/>
      <c r="F1" s="3446"/>
      <c r="G1" s="344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2087</v>
      </c>
      <c r="D2" s="2370"/>
      <c r="E2" s="2371"/>
      <c r="F2" s="2290"/>
      <c r="G2" s="2369" t="s">
        <v>2088</v>
      </c>
      <c r="H2" s="2372"/>
      <c r="I2" s="2372"/>
      <c r="J2" s="2372"/>
      <c r="K2" s="2372"/>
      <c r="L2" s="2372"/>
      <c r="M2" s="2372"/>
      <c r="N2" s="2372"/>
      <c r="O2" s="2372"/>
      <c r="P2" s="2372"/>
      <c r="Q2" s="2372"/>
      <c r="R2" s="2372"/>
    </row>
    <row r="3" spans="1:29" ht="54">
      <c r="A3" s="415" t="s">
        <v>2089</v>
      </c>
      <c r="B3" s="1271" t="s">
        <v>2090</v>
      </c>
      <c r="C3" s="2374" t="s">
        <v>2091</v>
      </c>
      <c r="D3" s="2375"/>
      <c r="E3" s="431" t="s">
        <v>2089</v>
      </c>
      <c r="F3" s="2376" t="s">
        <v>2092</v>
      </c>
      <c r="G3" s="2377" t="s">
        <v>2093</v>
      </c>
      <c r="H3" s="2372"/>
      <c r="I3" s="2372"/>
      <c r="J3" s="2372"/>
      <c r="K3" s="2372"/>
      <c r="L3" s="2372"/>
      <c r="M3" s="2372"/>
      <c r="N3" s="2372"/>
      <c r="O3" s="2372"/>
      <c r="P3" s="2372"/>
      <c r="Q3" s="2372"/>
      <c r="R3" s="2372"/>
    </row>
    <row r="4" spans="1:29" ht="41.25">
      <c r="A4" s="431"/>
      <c r="B4" s="1798" t="s">
        <v>2094</v>
      </c>
      <c r="C4" s="2378" t="s">
        <v>2095</v>
      </c>
      <c r="D4" s="2375"/>
      <c r="E4" s="2379"/>
      <c r="F4" s="42" t="s">
        <v>2096</v>
      </c>
      <c r="G4" s="2380" t="s">
        <v>2097</v>
      </c>
      <c r="H4" s="2372"/>
      <c r="I4" s="2372"/>
      <c r="J4" s="2372"/>
      <c r="K4" s="2372"/>
      <c r="L4" s="2372"/>
      <c r="M4" s="2372"/>
      <c r="N4" s="2372"/>
      <c r="O4" s="2372"/>
      <c r="P4" s="2372"/>
      <c r="Q4" s="2372"/>
      <c r="R4" s="2372"/>
    </row>
    <row r="5" spans="1:29" ht="41.25">
      <c r="A5" s="431"/>
      <c r="B5" s="1798" t="s">
        <v>2098</v>
      </c>
      <c r="C5" s="2378" t="s">
        <v>2099</v>
      </c>
      <c r="D5" s="2375"/>
      <c r="E5" s="2379"/>
      <c r="F5" s="1798" t="s">
        <v>2100</v>
      </c>
      <c r="G5" s="2380" t="s">
        <v>2101</v>
      </c>
      <c r="H5" s="2372"/>
      <c r="I5" s="2372"/>
      <c r="J5" s="2372"/>
      <c r="K5" s="2372"/>
      <c r="L5" s="2372"/>
      <c r="M5" s="2372"/>
      <c r="N5" s="2372"/>
      <c r="O5" s="2372"/>
      <c r="P5" s="2372"/>
      <c r="Q5" s="2372"/>
      <c r="R5" s="2372"/>
    </row>
    <row r="6" spans="1:29" ht="54">
      <c r="A6" s="431"/>
      <c r="B6" s="1798" t="s">
        <v>2102</v>
      </c>
      <c r="C6" s="2380" t="s">
        <v>2097</v>
      </c>
      <c r="D6" s="2375"/>
      <c r="E6" s="2379"/>
      <c r="F6" s="1798" t="s">
        <v>2103</v>
      </c>
      <c r="G6" s="2380" t="s">
        <v>2104</v>
      </c>
      <c r="H6" s="2372"/>
      <c r="I6" s="2372"/>
      <c r="J6" s="2372"/>
      <c r="K6" s="2372"/>
      <c r="L6" s="2372"/>
      <c r="M6" s="2372"/>
      <c r="N6" s="2372"/>
      <c r="O6" s="2372"/>
      <c r="P6" s="2372"/>
      <c r="Q6" s="2372"/>
      <c r="R6" s="2372"/>
    </row>
    <row r="7" spans="1:29" ht="41.25" thickBot="1">
      <c r="A7" s="431"/>
      <c r="B7" s="1798" t="s">
        <v>2100</v>
      </c>
      <c r="C7" s="2380" t="s">
        <v>2101</v>
      </c>
      <c r="D7" s="2381"/>
      <c r="E7" s="2382"/>
      <c r="F7" s="2383" t="s">
        <v>2105</v>
      </c>
      <c r="G7" s="2384" t="s">
        <v>2106</v>
      </c>
      <c r="H7" s="2372"/>
      <c r="I7" s="2372"/>
      <c r="J7" s="2372"/>
      <c r="K7" s="2372"/>
      <c r="L7" s="2372"/>
      <c r="M7" s="2372"/>
      <c r="N7" s="2372"/>
      <c r="O7" s="2372"/>
      <c r="P7" s="2372"/>
      <c r="Q7" s="2372"/>
      <c r="R7" s="2372"/>
    </row>
    <row r="8" spans="1:29" ht="27">
      <c r="A8" s="431"/>
      <c r="B8" s="1798" t="s">
        <v>2103</v>
      </c>
      <c r="C8" s="2380" t="s">
        <v>2104</v>
      </c>
      <c r="D8" s="2381"/>
      <c r="E8" s="2381"/>
      <c r="F8" s="1136"/>
      <c r="G8" s="1136"/>
      <c r="H8" s="2372"/>
      <c r="I8" s="2372"/>
      <c r="J8" s="2372"/>
      <c r="K8" s="2372"/>
      <c r="L8" s="2372"/>
      <c r="M8" s="2372"/>
      <c r="N8" s="2372"/>
      <c r="O8" s="2372"/>
      <c r="P8" s="2372"/>
      <c r="Q8" s="2372"/>
      <c r="R8" s="2372"/>
    </row>
    <row r="9" spans="1:29" ht="27">
      <c r="A9" s="431"/>
      <c r="B9" s="1798" t="s">
        <v>2107</v>
      </c>
      <c r="C9" s="2378" t="s">
        <v>2108</v>
      </c>
      <c r="D9" s="2375"/>
      <c r="E9" s="2381"/>
      <c r="F9" s="1136"/>
      <c r="G9" s="1136"/>
      <c r="H9" s="2372"/>
      <c r="I9" s="2372"/>
      <c r="J9" s="2372"/>
      <c r="K9" s="2372"/>
      <c r="L9" s="2372"/>
      <c r="M9" s="2372"/>
      <c r="N9" s="2372"/>
      <c r="O9" s="2372"/>
      <c r="P9" s="2372"/>
      <c r="Q9" s="2372"/>
      <c r="R9" s="2372"/>
    </row>
    <row r="10" spans="1:29" s="117" customFormat="1" ht="15.75" thickBot="1">
      <c r="A10" s="2385"/>
      <c r="B10" s="2386" t="s">
        <v>2109</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2110</v>
      </c>
      <c r="B13" s="2392"/>
      <c r="C13" s="2392"/>
      <c r="D13" s="2399"/>
      <c r="E13" s="2392"/>
      <c r="F13" s="2392"/>
      <c r="G13" s="2392"/>
    </row>
    <row r="14" spans="1:29" ht="15.75" thickBot="1">
      <c r="A14" s="2403"/>
      <c r="B14" s="2404"/>
      <c r="C14" s="2405" t="s">
        <v>2111</v>
      </c>
      <c r="D14" s="2375"/>
      <c r="E14" s="2406"/>
      <c r="F14" s="2406"/>
      <c r="G14" s="2369" t="s">
        <v>2112</v>
      </c>
    </row>
    <row r="15" spans="1:29" ht="57">
      <c r="A15" s="68" t="s">
        <v>2113</v>
      </c>
      <c r="B15" s="1270" t="s">
        <v>2090</v>
      </c>
      <c r="C15" s="2407" t="str">
        <f>C3</f>
        <v>估价对象周边居住用地比例、居住小区规模和社区发展完善程度，综合评价居住社区成熟度一般</v>
      </c>
      <c r="D15" s="2375"/>
      <c r="E15" s="2408" t="s">
        <v>2114</v>
      </c>
      <c r="F15" s="1270" t="s">
        <v>2115</v>
      </c>
      <c r="G15" s="135" t="str">
        <f>G3</f>
        <v>估价对象位于XX开发区，园区建设成熟度XX，产业集聚程度XX</v>
      </c>
    </row>
    <row r="16" spans="1:29" ht="42.75">
      <c r="A16" s="645"/>
      <c r="B16" s="2409" t="s">
        <v>2094</v>
      </c>
      <c r="C16" s="2410" t="str">
        <f>C4</f>
        <v>估价对象位于XX商圈，周边商业氛围成熟，人流量大，商业繁华度好</v>
      </c>
      <c r="D16" s="2375"/>
      <c r="E16" s="2411"/>
      <c r="F16" s="2412" t="s">
        <v>2096</v>
      </c>
      <c r="G16" s="136" t="str">
        <f>G4</f>
        <v>估价对象周边道路状况、公共交通通达情况、停车便捷程度，综合评价交通便捷度较好</v>
      </c>
    </row>
    <row r="17" spans="1:18" ht="42.75">
      <c r="A17" s="645"/>
      <c r="B17" s="2409" t="s">
        <v>2098</v>
      </c>
      <c r="C17" s="2410" t="str">
        <f>C5</f>
        <v>估价对象位于XX商圈，周边办公楼项目较多，入驻率高，办公集聚程度较好</v>
      </c>
      <c r="D17" s="2381"/>
      <c r="E17" s="2411"/>
      <c r="F17" s="2412" t="s">
        <v>2116</v>
      </c>
      <c r="G17" s="1572"/>
    </row>
    <row r="18" spans="1:18" ht="57">
      <c r="A18" s="645"/>
      <c r="B18" s="2412" t="s">
        <v>2102</v>
      </c>
      <c r="C18" s="136" t="str">
        <f>C6</f>
        <v>估价对象周边道路状况、公共交通通达情况、停车便捷程度，综合评价交通便捷度较好</v>
      </c>
      <c r="D18" s="2381"/>
      <c r="E18" s="2411"/>
      <c r="F18" s="2412" t="s">
        <v>2105</v>
      </c>
      <c r="G18" s="136" t="str">
        <f>G7</f>
        <v>该园区内是否有污染型企业，绿化情况，卫生条件，整体环境状况判断</v>
      </c>
    </row>
    <row r="19" spans="1:18" ht="28.5">
      <c r="A19" s="645"/>
      <c r="B19" s="2412" t="s">
        <v>2117</v>
      </c>
      <c r="C19" s="1572"/>
      <c r="D19" s="2375"/>
      <c r="E19" s="2411"/>
      <c r="F19" s="1798" t="s">
        <v>2100</v>
      </c>
      <c r="G19" s="136" t="str">
        <f>G5</f>
        <v>估价对象所在区域公共配套设施齐备情况</v>
      </c>
    </row>
    <row r="20" spans="1:18" ht="28.5">
      <c r="A20" s="645"/>
      <c r="B20" s="2412" t="s">
        <v>2118</v>
      </c>
      <c r="C20" s="2410" t="str">
        <f>C9</f>
        <v>区域自然环境：；人文环境；综合评价环境状况一般</v>
      </c>
      <c r="D20" s="2381"/>
      <c r="E20" s="2411"/>
      <c r="F20" s="1798" t="s">
        <v>2119</v>
      </c>
      <c r="G20" s="136" t="str">
        <f>G6</f>
        <v>估价对象所在区域基础设施水平</v>
      </c>
    </row>
    <row r="21" spans="1:18" ht="28.5">
      <c r="A21" s="645"/>
      <c r="B21" s="1798" t="s">
        <v>2100</v>
      </c>
      <c r="C21" s="136" t="str">
        <f>C7</f>
        <v>估价对象所在区域公共配套设施齐备情况</v>
      </c>
      <c r="D21" s="2375"/>
      <c r="E21" s="2411"/>
      <c r="F21" s="2412" t="s">
        <v>2120</v>
      </c>
      <c r="G21" s="2413"/>
    </row>
    <row r="22" spans="1:18" ht="13.5" customHeight="1">
      <c r="A22" s="645"/>
      <c r="B22" s="1798" t="s">
        <v>2103</v>
      </c>
      <c r="C22" s="136" t="str">
        <f>C8</f>
        <v>估价对象所在区域基础设施水平</v>
      </c>
      <c r="D22" s="2375"/>
      <c r="E22" s="2411"/>
      <c r="F22" s="2412" t="s">
        <v>2109</v>
      </c>
      <c r="G22" s="1572"/>
    </row>
    <row r="23" spans="1:18" s="2372" customFormat="1" ht="15.75" thickBot="1">
      <c r="A23" s="645"/>
      <c r="B23" s="2412" t="s">
        <v>2120</v>
      </c>
      <c r="C23" s="2413"/>
      <c r="D23" s="2400"/>
      <c r="E23" s="2414"/>
      <c r="F23" s="2415" t="s">
        <v>2121</v>
      </c>
      <c r="G23" s="2416"/>
      <c r="H23" s="2400"/>
      <c r="I23" s="2401"/>
      <c r="J23" s="2400"/>
      <c r="K23" s="2400"/>
      <c r="L23" s="2401"/>
      <c r="M23" s="2400"/>
      <c r="N23" s="2400"/>
      <c r="O23" s="2401"/>
      <c r="P23" s="2400"/>
      <c r="Q23" s="2400"/>
      <c r="R23" s="2402"/>
    </row>
    <row r="24" spans="1:18" s="2372" customFormat="1" ht="15.75" thickBot="1">
      <c r="A24" s="2417"/>
      <c r="B24" s="2415" t="s">
        <v>2122</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21855.969999999998</v>
      </c>
      <c r="C1" s="1745"/>
      <c r="D1" s="1745"/>
      <c r="E1" s="1745"/>
      <c r="F1" s="1745"/>
      <c r="G1" s="1743"/>
    </row>
    <row r="2" spans="1:10" ht="16.5">
      <c r="A2" s="1746" t="s">
        <v>1353</v>
      </c>
      <c r="B2" s="1746">
        <f>SUM(C14:C23)</f>
        <v>4098.78</v>
      </c>
      <c r="C2" s="1745"/>
      <c r="D2" s="1745"/>
      <c r="E2" s="1745"/>
      <c r="F2" s="1745"/>
      <c r="G2" s="1743"/>
    </row>
    <row r="3" spans="1:10" ht="16.5">
      <c r="A3" s="1746" t="s">
        <v>1362</v>
      </c>
      <c r="B3" s="1747">
        <f>项目基本情况!D3</f>
        <v>43373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131273</v>
      </c>
      <c r="C5" s="1746">
        <f ca="1">ROUND(B5*10000/$B$1,0)</f>
        <v>60063</v>
      </c>
      <c r="D5" s="1746">
        <f ca="1">ROUND(B5*10000/$B$2,0)</f>
        <v>320273</v>
      </c>
      <c r="E5" s="1745"/>
      <c r="F5" s="1743"/>
      <c r="G5" s="1743"/>
    </row>
    <row r="6" spans="1:10" ht="16.5">
      <c r="A6" s="1746" t="s">
        <v>1356</v>
      </c>
      <c r="B6" s="1746">
        <f ca="1">SUM(G14:G23)</f>
        <v>131273</v>
      </c>
      <c r="C6" s="1746">
        <f ca="1">ROUND(B6*10000/$B$1,0)</f>
        <v>60063</v>
      </c>
      <c r="D6" s="1746">
        <f ca="1">ROUND(B6*10000/$B$2,0)</f>
        <v>320273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21855.969999999998</v>
      </c>
      <c r="C14" s="1744">
        <f>结果表!C118</f>
        <v>4098.78</v>
      </c>
      <c r="D14" s="1744">
        <f ca="1">结果表!H118</f>
        <v>131273</v>
      </c>
      <c r="E14" s="1744">
        <f ca="1">ROUND(D14*10000/B14,0)</f>
        <v>60063</v>
      </c>
      <c r="F14" s="1744">
        <f ca="1">ROUND(D14*10000/C14,0)</f>
        <v>320273</v>
      </c>
      <c r="G14" s="1744">
        <f ca="1">结果表!D122</f>
        <v>131273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2123</v>
      </c>
      <c r="B1" s="2423"/>
      <c r="C1" s="2424"/>
      <c r="D1" s="2423"/>
      <c r="E1" s="2423"/>
      <c r="F1" s="2425" t="s">
        <v>2124</v>
      </c>
      <c r="G1" s="2074" t="s">
        <v>2125</v>
      </c>
      <c r="H1" s="2426" t="str">
        <f>IF(G1="现房","——","估价对象范围")</f>
        <v>估价对象范围</v>
      </c>
      <c r="I1" s="2427" t="s">
        <v>3071</v>
      </c>
    </row>
    <row r="2" spans="1:12" ht="21.75" customHeight="1" thickBot="1">
      <c r="A2" s="3480" t="str">
        <f>项目基本情况!S2</f>
        <v>北京市出让国有建设用地使用权及在建建筑物房地产</v>
      </c>
      <c r="B2" s="3481"/>
      <c r="C2" s="3481"/>
      <c r="D2" s="3481"/>
      <c r="E2" s="3481"/>
      <c r="F2" s="3481"/>
      <c r="G2" s="3481"/>
      <c r="H2" s="3481"/>
      <c r="I2" s="3482"/>
    </row>
    <row r="3" spans="1:12" ht="12.75">
      <c r="A3" s="3484" t="s">
        <v>2126</v>
      </c>
      <c r="B3" s="3485"/>
      <c r="C3" s="3485"/>
      <c r="D3" s="3485"/>
      <c r="E3" s="3485"/>
      <c r="F3" s="3485"/>
      <c r="G3" s="3485"/>
      <c r="H3" s="3485"/>
      <c r="I3" s="3485"/>
    </row>
    <row r="4" spans="1:12" ht="14.25">
      <c r="A4" s="2430" t="s">
        <v>2127</v>
      </c>
      <c r="B4" s="2431" t="s">
        <v>2128</v>
      </c>
      <c r="C4" s="2432" t="s">
        <v>3072</v>
      </c>
      <c r="D4" s="2432" t="s">
        <v>3073</v>
      </c>
      <c r="E4" s="3477" t="s">
        <v>2129</v>
      </c>
      <c r="F4" s="3478"/>
      <c r="G4" s="3478"/>
      <c r="H4" s="3478"/>
      <c r="I4" s="3486"/>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假设开发法</v>
      </c>
    </row>
    <row r="5" spans="1:12" ht="12.75">
      <c r="A5" s="3460" t="s">
        <v>2130</v>
      </c>
      <c r="B5" s="3398">
        <v>25</v>
      </c>
      <c r="C5" s="3463"/>
      <c r="D5" s="3483"/>
      <c r="E5" s="140" t="s">
        <v>2131</v>
      </c>
      <c r="F5" s="2434"/>
      <c r="G5" s="2434"/>
      <c r="H5" s="2434"/>
      <c r="I5" s="1834"/>
    </row>
    <row r="6" spans="1:12" ht="12.75">
      <c r="A6" s="3460"/>
      <c r="B6" s="3398"/>
      <c r="C6" s="3464"/>
      <c r="D6" s="3483"/>
      <c r="E6" s="140" t="s">
        <v>2132</v>
      </c>
      <c r="F6" s="2434"/>
      <c r="G6" s="2434"/>
      <c r="H6" s="2434"/>
      <c r="I6" s="1834"/>
    </row>
    <row r="7" spans="1:12" ht="12.75">
      <c r="A7" s="3460"/>
      <c r="B7" s="3398"/>
      <c r="C7" s="3465"/>
      <c r="D7" s="3483"/>
      <c r="E7" s="140" t="s">
        <v>2133</v>
      </c>
      <c r="F7" s="2434"/>
      <c r="G7" s="2434"/>
      <c r="H7" s="2434"/>
      <c r="I7" s="1834"/>
    </row>
    <row r="8" spans="1:12" ht="12.75">
      <c r="A8" s="3460" t="s">
        <v>2134</v>
      </c>
      <c r="B8" s="3398">
        <v>15</v>
      </c>
      <c r="C8" s="3463"/>
      <c r="D8" s="3483"/>
      <c r="E8" s="140" t="s">
        <v>2135</v>
      </c>
      <c r="F8" s="2434"/>
      <c r="G8" s="2434"/>
      <c r="H8" s="2434"/>
      <c r="I8" s="1834"/>
    </row>
    <row r="9" spans="1:12" ht="12.75">
      <c r="A9" s="3460"/>
      <c r="B9" s="3398"/>
      <c r="C9" s="3465"/>
      <c r="D9" s="3483"/>
      <c r="E9" s="140" t="s">
        <v>2136</v>
      </c>
      <c r="F9" s="2434"/>
      <c r="G9" s="2434"/>
      <c r="H9" s="2434"/>
      <c r="I9" s="1834"/>
    </row>
    <row r="10" spans="1:12" ht="12.75">
      <c r="A10" s="3460" t="s">
        <v>2137</v>
      </c>
      <c r="B10" s="3398">
        <v>15</v>
      </c>
      <c r="C10" s="3463"/>
      <c r="D10" s="3483"/>
      <c r="E10" s="140" t="s">
        <v>2138</v>
      </c>
      <c r="F10" s="2434"/>
      <c r="G10" s="2434"/>
      <c r="H10" s="2434"/>
      <c r="I10" s="1834"/>
    </row>
    <row r="11" spans="1:12" ht="12.75">
      <c r="A11" s="3460"/>
      <c r="B11" s="3398"/>
      <c r="C11" s="3465"/>
      <c r="D11" s="3483"/>
      <c r="E11" s="140" t="s">
        <v>2139</v>
      </c>
      <c r="F11" s="2434"/>
      <c r="G11" s="2434"/>
      <c r="H11" s="2434"/>
      <c r="I11" s="1834"/>
    </row>
    <row r="12" spans="1:12" ht="12.75">
      <c r="A12" s="3460" t="s">
        <v>2140</v>
      </c>
      <c r="B12" s="3398">
        <v>15</v>
      </c>
      <c r="C12" s="3463"/>
      <c r="D12" s="3483"/>
      <c r="E12" s="140" t="s">
        <v>2141</v>
      </c>
      <c r="F12" s="2434"/>
      <c r="G12" s="2434"/>
      <c r="H12" s="2434"/>
      <c r="I12" s="1834"/>
    </row>
    <row r="13" spans="1:12" ht="12.75">
      <c r="A13" s="3460"/>
      <c r="B13" s="3398"/>
      <c r="C13" s="3465"/>
      <c r="D13" s="3483"/>
      <c r="E13" s="140" t="s">
        <v>2142</v>
      </c>
      <c r="F13" s="2434"/>
      <c r="G13" s="2434"/>
      <c r="H13" s="2434"/>
      <c r="I13" s="1834"/>
    </row>
    <row r="14" spans="1:12" ht="12.75">
      <c r="A14" s="3460" t="s">
        <v>2143</v>
      </c>
      <c r="B14" s="3398">
        <v>30</v>
      </c>
      <c r="C14" s="3463">
        <v>0.5</v>
      </c>
      <c r="D14" s="3483">
        <f>1-C14</f>
        <v>0.5</v>
      </c>
      <c r="E14" s="140" t="s">
        <v>2144</v>
      </c>
      <c r="F14" s="2434"/>
      <c r="G14" s="2434"/>
      <c r="H14" s="2434"/>
      <c r="I14" s="1834"/>
    </row>
    <row r="15" spans="1:12" ht="12.75">
      <c r="A15" s="3460"/>
      <c r="B15" s="3398"/>
      <c r="C15" s="3464"/>
      <c r="D15" s="3483"/>
      <c r="E15" s="140" t="s">
        <v>2145</v>
      </c>
      <c r="F15" s="2434"/>
      <c r="G15" s="2434"/>
      <c r="H15" s="2434"/>
      <c r="I15" s="1834"/>
    </row>
    <row r="16" spans="1:12" ht="12.75">
      <c r="A16" s="3460"/>
      <c r="B16" s="3398"/>
      <c r="C16" s="3465"/>
      <c r="D16" s="3483"/>
      <c r="E16" s="140" t="s">
        <v>2146</v>
      </c>
      <c r="F16" s="2434"/>
      <c r="G16" s="2434"/>
      <c r="H16" s="2434"/>
      <c r="I16" s="1834"/>
    </row>
    <row r="17" spans="1:35" ht="15">
      <c r="A17" s="2435" t="s">
        <v>2147</v>
      </c>
      <c r="B17" s="64"/>
      <c r="C17" s="141">
        <f>SUM(C5:C16)</f>
        <v>0.5</v>
      </c>
      <c r="D17" s="141">
        <f>SUM(D5:D16)</f>
        <v>0.5</v>
      </c>
      <c r="E17" s="138"/>
      <c r="F17" s="138"/>
      <c r="G17" s="138"/>
      <c r="H17" s="138"/>
      <c r="I17" s="138"/>
      <c r="K17" s="2433"/>
      <c r="L17" s="2436" t="s">
        <v>2148</v>
      </c>
      <c r="M17" s="2436" t="s">
        <v>2149</v>
      </c>
    </row>
    <row r="18" spans="1:35" ht="15.75" thickBot="1">
      <c r="A18" s="2437" t="s">
        <v>2150</v>
      </c>
      <c r="B18" s="2438"/>
      <c r="C18" s="142">
        <f>ROUND(C17/SUM(C17:D17),2)</f>
        <v>0.5</v>
      </c>
      <c r="D18" s="142">
        <f>1-C18</f>
        <v>0.5</v>
      </c>
      <c r="E18" s="138"/>
      <c r="F18" s="138"/>
      <c r="G18" s="138"/>
      <c r="H18" s="138"/>
      <c r="I18" s="138"/>
      <c r="K18" s="2433" t="s">
        <v>2151</v>
      </c>
      <c r="L18" s="2433">
        <f>IF(C1="",'数据-汇总表'!E3,SUMIF(项目类型,C1,'数据-汇总表'!E17:E26)+SUMIF(项目类型,C1,'数据-汇总表'!I17:I26))</f>
        <v>21855.969999999998</v>
      </c>
      <c r="M18" s="2433">
        <f>IF(C1="",'数据-汇总表'!E3,SUMIF(项目类型,C1,'数据-汇总表'!E17:E26))</f>
        <v>21855.969999999998</v>
      </c>
    </row>
    <row r="19" spans="1:35" ht="15">
      <c r="A19" s="2439" t="s">
        <v>2152</v>
      </c>
      <c r="B19" s="2440" t="s">
        <v>2153</v>
      </c>
      <c r="C19" s="143">
        <f ca="1">SUMIF(INDIRECT("'"&amp;C4&amp;"'"&amp;"!A:A"),结果表!B19,INDIRECT("'"&amp;C4&amp;"'"&amp;"!B:B"))</f>
        <v>115798</v>
      </c>
      <c r="D19" s="144">
        <f ca="1">SUMIF(INDIRECT("'"&amp;D4&amp;"'"&amp;"!A:A"),结果表!B19,INDIRECT("'"&amp;D4&amp;"'"&amp;"!B:B"))</f>
        <v>146747</v>
      </c>
      <c r="E19" s="2439" t="s">
        <v>2154</v>
      </c>
      <c r="F19" s="2440" t="s">
        <v>2153</v>
      </c>
      <c r="G19" s="145">
        <f ca="1">ROUND(C19*$C$18+D19*$D$18,0)</f>
        <v>131273</v>
      </c>
      <c r="H19" s="2441" t="s">
        <v>2155</v>
      </c>
      <c r="I19" s="138"/>
      <c r="K19" s="2433" t="s">
        <v>2156</v>
      </c>
      <c r="L19" s="2433">
        <f>IF(C1="",'数据-汇总表'!D3,SUMIF(项目类型,C1,'数据-汇总表'!D17:D26)+SUMIF(项目类型,C1,'数据-汇总表'!H17:H27))</f>
        <v>4098.78</v>
      </c>
      <c r="M19" s="2433">
        <f>IF(C1="",'数据-汇总表'!D3,SUMIF(项目类型,C1,'数据-汇总表'!D17:D26))</f>
        <v>4098.78</v>
      </c>
    </row>
    <row r="20" spans="1:35" ht="15">
      <c r="A20" s="2442"/>
      <c r="B20" s="1250" t="s">
        <v>2157</v>
      </c>
      <c r="C20" s="146">
        <f ca="1">SUMIF(INDIRECT("'"&amp;C4&amp;"'"&amp;"!A:A"),结果表!B20,INDIRECT("'"&amp;C4&amp;"'"&amp;"!B:B"))</f>
        <v>52982</v>
      </c>
      <c r="D20" s="147">
        <f ca="1">SUMIF(INDIRECT("'"&amp;D4&amp;"'"&amp;"!A:A"),结果表!B20,INDIRECT("'"&amp;D4&amp;"'"&amp;"!B:B"))</f>
        <v>67143</v>
      </c>
      <c r="E20" s="2442"/>
      <c r="F20" s="1250" t="s">
        <v>2157</v>
      </c>
      <c r="G20" s="148">
        <f ca="1">ROUND(C20*$C$18+D20*$D$18,0)</f>
        <v>60063</v>
      </c>
      <c r="H20" s="983" t="s">
        <v>2158</v>
      </c>
      <c r="I20" s="138"/>
    </row>
    <row r="21" spans="1:35" ht="15" customHeight="1" thickBot="1">
      <c r="A21" s="1003"/>
      <c r="B21" s="2443" t="s">
        <v>2159</v>
      </c>
      <c r="C21" s="789">
        <f ca="1">ROUND(C19*10000/L19,0)</f>
        <v>282518</v>
      </c>
      <c r="D21" s="790">
        <f ca="1">ROUND(D19*10000/L19,0)</f>
        <v>358026</v>
      </c>
      <c r="E21" s="1003"/>
      <c r="F21" s="2443" t="s">
        <v>2159</v>
      </c>
      <c r="G21" s="149">
        <f ca="1">ROUND(G19*10000/L19,0)</f>
        <v>320273</v>
      </c>
      <c r="H21" s="2444" t="s">
        <v>2158</v>
      </c>
      <c r="I21" s="138"/>
    </row>
    <row r="22" spans="1:35" ht="15" thickBot="1">
      <c r="A22" s="2285" t="s">
        <v>2160</v>
      </c>
      <c r="B22" s="2445"/>
      <c r="C22" s="2446"/>
      <c r="D22" s="791">
        <f ca="1">IF(C19&lt;D19,D19/C19-1,C19/D19-1)</f>
        <v>0.26726713760168574</v>
      </c>
      <c r="E22" s="138"/>
      <c r="F22" s="138"/>
      <c r="G22" s="138"/>
      <c r="H22" s="138"/>
      <c r="I22" s="138"/>
    </row>
    <row r="23" spans="1:35" ht="13.5" thickBot="1">
      <c r="A23" s="2423"/>
      <c r="B23" s="2423"/>
      <c r="C23" s="2423"/>
      <c r="D23" s="2423"/>
      <c r="E23" s="138"/>
      <c r="F23" s="138"/>
      <c r="G23" s="138"/>
      <c r="H23" s="138"/>
      <c r="I23" s="138"/>
    </row>
    <row r="24" spans="1:35" ht="14.25">
      <c r="A24" s="3454" t="s">
        <v>2161</v>
      </c>
      <c r="B24" s="2440" t="s">
        <v>2153</v>
      </c>
      <c r="C24" s="145">
        <f>IF(B30=0,0,D30)</f>
        <v>0</v>
      </c>
      <c r="D24" s="2447"/>
      <c r="E24" s="138"/>
      <c r="F24" s="138"/>
      <c r="G24" s="138"/>
      <c r="H24" s="138"/>
      <c r="I24" s="138"/>
    </row>
    <row r="25" spans="1:35" ht="14.25">
      <c r="A25" s="3455"/>
      <c r="B25" s="1250" t="s">
        <v>2157</v>
      </c>
      <c r="C25" s="150">
        <f>IF(B30=0,0,C30)</f>
        <v>0</v>
      </c>
      <c r="D25" s="2448"/>
      <c r="E25" s="138"/>
      <c r="F25" s="138"/>
      <c r="G25" s="138"/>
      <c r="H25" s="138"/>
      <c r="I25" s="138"/>
    </row>
    <row r="26" spans="1:35" ht="13.5" customHeight="1">
      <c r="A26" s="2449" t="s">
        <v>2162</v>
      </c>
      <c r="B26" s="151" t="s">
        <v>2163</v>
      </c>
      <c r="C26" s="151" t="s">
        <v>2164</v>
      </c>
      <c r="D26" s="152" t="s">
        <v>2165</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2166</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2167</v>
      </c>
      <c r="B32" s="2453"/>
      <c r="C32" s="153">
        <f ca="1">IF(D32="总价",G19-C24,G20-C25)</f>
        <v>131273</v>
      </c>
      <c r="D32" s="2454" t="s">
        <v>2168</v>
      </c>
      <c r="E32" s="138"/>
      <c r="F32" s="138"/>
      <c r="G32" s="138"/>
      <c r="H32" s="138"/>
      <c r="I32" s="138"/>
    </row>
    <row r="33" spans="1:15" ht="15">
      <c r="A33" s="960" t="s">
        <v>2169</v>
      </c>
      <c r="B33" s="2455"/>
      <c r="C33" s="2456"/>
      <c r="D33" s="2457"/>
      <c r="E33" s="2458" t="s">
        <v>2170</v>
      </c>
      <c r="F33" s="2459" t="str">
        <f>IF(D32="楼面单价","取值（单价）","取值（总价）")</f>
        <v>取值（总价）</v>
      </c>
      <c r="G33" s="138"/>
      <c r="H33" s="138"/>
      <c r="I33" s="138"/>
    </row>
    <row r="34" spans="1:15" ht="15">
      <c r="A34" s="2460"/>
      <c r="B34" s="2461"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2172</v>
      </c>
      <c r="F34" s="1739"/>
      <c r="G34" s="138"/>
      <c r="H34" s="138"/>
      <c r="I34" s="138"/>
    </row>
    <row r="35" spans="1:15" ht="15.75" thickBot="1">
      <c r="A35" s="2463"/>
      <c r="B35" s="2464"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2174</v>
      </c>
      <c r="F35" s="163"/>
      <c r="G35" s="138"/>
      <c r="H35" s="138"/>
      <c r="I35" s="138"/>
    </row>
    <row r="36" spans="1:15" ht="15.75" thickBot="1">
      <c r="A36" s="3472" t="s">
        <v>2175</v>
      </c>
      <c r="B36" s="2466" t="s">
        <v>2176</v>
      </c>
      <c r="C36" s="154"/>
      <c r="D36" s="2467"/>
      <c r="E36" s="2468"/>
      <c r="F36" s="2469"/>
      <c r="G36" s="138"/>
      <c r="H36" s="138"/>
      <c r="I36" s="138"/>
    </row>
    <row r="37" spans="1:15" ht="15.75" thickBot="1">
      <c r="A37" s="3473"/>
      <c r="B37" s="2271" t="s">
        <v>2177</v>
      </c>
      <c r="C37" s="156"/>
      <c r="D37" s="1395"/>
      <c r="E37" s="1395"/>
      <c r="F37" s="2469"/>
      <c r="G37" s="138"/>
      <c r="H37" s="138"/>
      <c r="I37" s="138"/>
    </row>
    <row r="38" spans="1:15" ht="15.75" thickBot="1">
      <c r="A38" s="3474"/>
      <c r="B38" s="2470" t="s">
        <v>2178</v>
      </c>
      <c r="C38" s="727"/>
      <c r="D38" s="2471" t="s">
        <v>2179</v>
      </c>
      <c r="E38" s="1395"/>
      <c r="F38" s="2469"/>
      <c r="G38" s="138"/>
      <c r="H38" s="138"/>
      <c r="I38" s="138"/>
    </row>
    <row r="39" spans="1:15" ht="15">
      <c r="A39" s="2442" t="s">
        <v>2180</v>
      </c>
      <c r="B39" s="2472" t="s">
        <v>2181</v>
      </c>
      <c r="C39" s="2473" t="s">
        <v>2182</v>
      </c>
      <c r="D39" s="2473" t="s">
        <v>2183</v>
      </c>
      <c r="E39" s="2474" t="s">
        <v>2184</v>
      </c>
      <c r="F39" s="2469"/>
      <c r="G39" s="138"/>
      <c r="H39" s="138"/>
      <c r="I39" s="138"/>
    </row>
    <row r="40" spans="1:15" ht="14.25">
      <c r="A40" s="2475" t="s">
        <v>2185</v>
      </c>
      <c r="B40" s="158"/>
      <c r="C40" s="159"/>
      <c r="D40" s="159"/>
      <c r="E40" s="160"/>
      <c r="F40" s="2469"/>
      <c r="G40" s="138"/>
      <c r="H40" s="138"/>
      <c r="I40" s="138"/>
    </row>
    <row r="41" spans="1:15" ht="14.25">
      <c r="A41" s="2475" t="s">
        <v>2186</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2187</v>
      </c>
      <c r="B44" s="2480"/>
      <c r="C44" s="2480"/>
      <c r="D44" s="2481"/>
      <c r="E44" s="2481"/>
      <c r="F44" s="2482"/>
      <c r="G44" s="2482"/>
      <c r="H44" s="2482"/>
      <c r="I44" s="2482"/>
      <c r="J44" s="2483" t="s">
        <v>2188</v>
      </c>
      <c r="K44" s="2484"/>
      <c r="L44" s="2484"/>
      <c r="M44" s="2484"/>
      <c r="N44" s="2484"/>
      <c r="O44" s="2484"/>
    </row>
    <row r="45" spans="1:15" ht="14.25" customHeight="1" thickBot="1">
      <c r="A45" s="3451" t="s">
        <v>2189</v>
      </c>
      <c r="B45" s="3452"/>
      <c r="C45" s="3453"/>
      <c r="D45" s="164">
        <f ca="1">ROUND(H101*F45,0)</f>
        <v>131273</v>
      </c>
      <c r="E45" s="165" t="s">
        <v>2190</v>
      </c>
      <c r="F45" s="166">
        <v>1</v>
      </c>
      <c r="G45" s="167" t="s">
        <v>2191</v>
      </c>
      <c r="H45" s="138"/>
      <c r="I45" s="138"/>
      <c r="J45" s="3511" t="s">
        <v>2192</v>
      </c>
      <c r="K45" s="3511"/>
      <c r="L45" s="3511"/>
      <c r="M45" s="3511"/>
      <c r="N45" s="3511"/>
      <c r="O45" s="3511"/>
    </row>
    <row r="46" spans="1:15" ht="14.25" customHeight="1">
      <c r="A46" s="3448" t="s">
        <v>2193</v>
      </c>
      <c r="B46" s="3449"/>
      <c r="C46" s="3449"/>
      <c r="D46" s="3449"/>
      <c r="E46" s="3449"/>
      <c r="F46" s="3449"/>
      <c r="G46" s="3450"/>
      <c r="H46" s="2485"/>
      <c r="I46" s="168"/>
      <c r="J46" s="1812">
        <v>1</v>
      </c>
      <c r="K46" s="3511" t="s">
        <v>2194</v>
      </c>
      <c r="L46" s="3511"/>
      <c r="M46" s="3531"/>
      <c r="N46" s="3531"/>
      <c r="O46" s="3531"/>
    </row>
    <row r="47" spans="1:15" ht="12" customHeight="1">
      <c r="A47" s="169" t="s">
        <v>2195</v>
      </c>
      <c r="B47" s="170"/>
      <c r="C47" s="171"/>
      <c r="D47" s="172" t="s">
        <v>2196</v>
      </c>
      <c r="E47" s="24" t="s">
        <v>2197</v>
      </c>
      <c r="F47" s="173" t="s">
        <v>2198</v>
      </c>
      <c r="G47" s="174" t="s">
        <v>2199</v>
      </c>
      <c r="H47" s="2485"/>
      <c r="I47" s="168"/>
      <c r="J47" s="1812">
        <v>2</v>
      </c>
      <c r="K47" s="3511" t="s">
        <v>2200</v>
      </c>
      <c r="L47" s="3511"/>
      <c r="M47" s="3532">
        <f>'数据-取费表'!B2</f>
        <v>43373</v>
      </c>
      <c r="N47" s="3532"/>
      <c r="O47" s="3532"/>
    </row>
    <row r="48" spans="1:15" ht="25.5">
      <c r="A48" s="3479" t="s">
        <v>2201</v>
      </c>
      <c r="B48" s="3462"/>
      <c r="C48" s="3462"/>
      <c r="D48" s="140">
        <f>IF(H48="情况1",0,IF(H48="情况2",D52,IF(H48="情况3",D53,IF(H48="情况4",D54))))</f>
        <v>0</v>
      </c>
      <c r="E48" s="1801" t="str">
        <f>IF(H48="情况4","(销售额-原购置价)×税（费）率","销售额×税（费）率")</f>
        <v>销售额×税（费）率</v>
      </c>
      <c r="F48" s="175" t="str">
        <f>IF(H48="情况1","免征",'数据-取费表'!B41)</f>
        <v>免征</v>
      </c>
      <c r="G48" s="2486" t="s">
        <v>2202</v>
      </c>
      <c r="H48" s="2487" t="s">
        <v>2203</v>
      </c>
      <c r="I48" s="2485"/>
      <c r="J48" s="1812">
        <v>3</v>
      </c>
      <c r="K48" s="3511" t="s">
        <v>2204</v>
      </c>
      <c r="L48" s="3511"/>
      <c r="M48" s="3533">
        <f ca="1">H101</f>
        <v>131273</v>
      </c>
      <c r="N48" s="3533"/>
      <c r="O48" s="3533"/>
    </row>
    <row r="49" spans="1:35" ht="25.5" customHeight="1">
      <c r="A49" s="176" t="s">
        <v>2205</v>
      </c>
      <c r="B49" s="3447" t="s">
        <v>2206</v>
      </c>
      <c r="C49" s="3447"/>
      <c r="D49" s="177">
        <v>0</v>
      </c>
      <c r="E49" s="23" t="s">
        <v>2207</v>
      </c>
      <c r="F49" s="28" t="s">
        <v>34</v>
      </c>
      <c r="G49" s="3517"/>
      <c r="H49" s="138"/>
      <c r="I49" s="2488"/>
      <c r="J49" s="1812">
        <v>4</v>
      </c>
      <c r="K49" s="3511" t="str">
        <f>IF(项目基本情况!E8="房地产抵押价值","房地产抵押价值","抵押担保权已注销时的房地产抵押价值")</f>
        <v>抵押担保权已注销时的房地产抵押价值</v>
      </c>
      <c r="L49" s="3511"/>
      <c r="M49" s="3533" t="str">
        <f>IF(项目基本情况!E8="房地产抵押价值",H107,H109)</f>
        <v>——</v>
      </c>
      <c r="N49" s="3533"/>
      <c r="O49" s="3533"/>
    </row>
    <row r="50" spans="1:35" ht="25.5" customHeight="1">
      <c r="A50" s="178"/>
      <c r="B50" s="3447" t="s">
        <v>2208</v>
      </c>
      <c r="C50" s="3447"/>
      <c r="D50" s="179"/>
      <c r="E50" s="31"/>
      <c r="F50" s="180"/>
      <c r="G50" s="3518"/>
      <c r="H50" s="138"/>
      <c r="I50" s="2488"/>
      <c r="J50" s="3511" t="s">
        <v>2209</v>
      </c>
      <c r="K50" s="3511"/>
      <c r="L50" s="3511"/>
      <c r="M50" s="3511"/>
      <c r="N50" s="3511"/>
      <c r="O50" s="3511"/>
    </row>
    <row r="51" spans="1:35" ht="12" customHeight="1">
      <c r="A51" s="181"/>
      <c r="B51" s="3447" t="s">
        <v>2210</v>
      </c>
      <c r="C51" s="3447"/>
      <c r="D51" s="182"/>
      <c r="E51" s="30"/>
      <c r="F51" s="180"/>
      <c r="G51" s="3519"/>
      <c r="H51" s="138"/>
      <c r="I51" s="2488"/>
      <c r="J51" s="2489" t="s">
        <v>2211</v>
      </c>
      <c r="K51" s="3511" t="s">
        <v>2212</v>
      </c>
      <c r="L51" s="3511"/>
      <c r="M51" s="2489" t="s">
        <v>2213</v>
      </c>
      <c r="N51" s="2489" t="s">
        <v>2214</v>
      </c>
      <c r="O51" s="2489" t="s">
        <v>2215</v>
      </c>
    </row>
    <row r="52" spans="1:35" ht="24" customHeight="1">
      <c r="A52" s="183" t="s">
        <v>2216</v>
      </c>
      <c r="B52" s="3447" t="s">
        <v>2217</v>
      </c>
      <c r="C52" s="3447"/>
      <c r="D52" s="182">
        <f ca="1">ROUND(D45*'数据-取费表'!B41/(1+'数据-取费表'!C42),0)</f>
        <v>7001</v>
      </c>
      <c r="E52" s="11" t="s">
        <v>2218</v>
      </c>
      <c r="F52" s="184">
        <f>'数据-取费表'!B41</f>
        <v>5.6000000000000001E-2</v>
      </c>
      <c r="G52" s="2490"/>
      <c r="H52" s="138"/>
      <c r="I52" s="2488"/>
      <c r="J52" s="1812">
        <v>1</v>
      </c>
      <c r="K52" s="3512" t="s">
        <v>2219</v>
      </c>
      <c r="L52" s="3512"/>
      <c r="M52" s="1754">
        <f>D48</f>
        <v>0</v>
      </c>
      <c r="N52" s="1812" t="str">
        <f>E48</f>
        <v>销售额×税（费）率</v>
      </c>
      <c r="O52" s="1755" t="str">
        <f>F48</f>
        <v>免征</v>
      </c>
    </row>
    <row r="53" spans="1:35" ht="12" customHeight="1">
      <c r="A53" s="183" t="s">
        <v>2220</v>
      </c>
      <c r="B53" s="3470" t="s">
        <v>2221</v>
      </c>
      <c r="C53" s="3471"/>
      <c r="D53" s="182">
        <f ca="1">ROUND(D45*'数据-取费表'!B41/(1+'数据-取费表'!C42),0)</f>
        <v>7001</v>
      </c>
      <c r="E53" s="11" t="s">
        <v>2218</v>
      </c>
      <c r="F53" s="184">
        <f>'数据-取费表'!B41</f>
        <v>5.6000000000000001E-2</v>
      </c>
      <c r="G53" s="2490"/>
      <c r="H53" s="138"/>
      <c r="I53" s="2488"/>
      <c r="J53" s="1812">
        <v>2</v>
      </c>
      <c r="K53" s="3512" t="s">
        <v>2222</v>
      </c>
      <c r="L53" s="3512"/>
      <c r="M53" s="1754">
        <f t="shared" ref="M53:O54" ca="1" si="0">D55</f>
        <v>66</v>
      </c>
      <c r="N53" s="1812" t="str">
        <f t="shared" si="0"/>
        <v>销售额×税（费）率</v>
      </c>
      <c r="O53" s="1755">
        <f t="shared" si="0"/>
        <v>5.0000000000000001E-4</v>
      </c>
    </row>
    <row r="54" spans="1:35" ht="12" customHeight="1">
      <c r="A54" s="183" t="s">
        <v>2223</v>
      </c>
      <c r="B54" s="3470" t="s">
        <v>2224</v>
      </c>
      <c r="C54" s="3471"/>
      <c r="D54" s="182">
        <f ca="1">C68</f>
        <v>7001</v>
      </c>
      <c r="E54" s="30" t="s">
        <v>2225</v>
      </c>
      <c r="F54" s="184">
        <f>'数据-取费表'!B41</f>
        <v>5.6000000000000001E-2</v>
      </c>
      <c r="G54" s="2490"/>
      <c r="H54" s="2491"/>
      <c r="I54" s="2488"/>
      <c r="J54" s="1812">
        <v>3</v>
      </c>
      <c r="K54" s="3512" t="s">
        <v>2226</v>
      </c>
      <c r="L54" s="3512"/>
      <c r="M54" s="1754">
        <f t="shared" ca="1" si="0"/>
        <v>74301</v>
      </c>
      <c r="N54" s="1812" t="str">
        <f t="shared" si="0"/>
        <v>增值额×税（费）率</v>
      </c>
      <c r="O54" s="1756" t="str">
        <f t="shared" si="0"/>
        <v>——</v>
      </c>
    </row>
    <row r="55" spans="1:35" ht="24" customHeight="1">
      <c r="A55" s="3461" t="s">
        <v>2227</v>
      </c>
      <c r="B55" s="3462"/>
      <c r="C55" s="3462"/>
      <c r="D55" s="185">
        <f ca="1">IF(H55="个人住宅",0,ROUND(D45*I55,0))</f>
        <v>66</v>
      </c>
      <c r="E55" s="11" t="s">
        <v>2228</v>
      </c>
      <c r="F55" s="184">
        <f>IF(H55="正常",I55,"免征")</f>
        <v>5.0000000000000001E-4</v>
      </c>
      <c r="G55" s="2490"/>
      <c r="H55" s="2487" t="s">
        <v>2229</v>
      </c>
      <c r="I55" s="186">
        <f>'数据-取费表'!B49</f>
        <v>5.0000000000000001E-4</v>
      </c>
      <c r="J55" s="1812" t="str">
        <f>IF(H59="非个人房产","",4)</f>
        <v/>
      </c>
      <c r="K55" s="3512" t="str">
        <f>IF(H59="非个人房产","——","个人所得税")</f>
        <v>——</v>
      </c>
      <c r="L55" s="3512"/>
      <c r="M55" s="1757" t="str">
        <f>D59</f>
        <v>——</v>
      </c>
      <c r="N55" s="1810" t="str">
        <f>E59</f>
        <v>——</v>
      </c>
      <c r="O55" s="1758" t="str">
        <f>F59</f>
        <v>——</v>
      </c>
    </row>
    <row r="56" spans="1:35" ht="24.75">
      <c r="A56" s="3461" t="s">
        <v>2230</v>
      </c>
      <c r="B56" s="3462"/>
      <c r="C56" s="3462"/>
      <c r="D56" s="185">
        <f ca="1">IF(H56="个人住宅",D57,D58)</f>
        <v>74301</v>
      </c>
      <c r="E56" s="11" t="s">
        <v>2231</v>
      </c>
      <c r="F56" s="184" t="str">
        <f>IF(H56="正常",F58,"免征")</f>
        <v>——</v>
      </c>
      <c r="G56" s="2492" t="s">
        <v>2232</v>
      </c>
      <c r="H56" s="2493" t="s">
        <v>2229</v>
      </c>
      <c r="I56" s="2494"/>
      <c r="J56" s="1812" t="str">
        <f>IF(项目基本情况!K6="上海银行",IF(J55="",4,J55+1),"")</f>
        <v/>
      </c>
      <c r="K56" s="3535" t="str">
        <f>IF(项目基本情况!K6="上海银行","其他处置费用","")</f>
        <v/>
      </c>
      <c r="L56" s="3536"/>
      <c r="M56" s="1754" t="str">
        <f>IF(项目基本情况!K6="上海银行",M69,"")</f>
        <v/>
      </c>
      <c r="N56" s="3538" t="str">
        <f>IF(项目基本情况!K6="上海银行","包含处置中涉及的律师、诉讼、拍卖、评估等费用","")</f>
        <v/>
      </c>
      <c r="O56" s="3539"/>
    </row>
    <row r="57" spans="1:35" ht="12.75">
      <c r="A57" s="183" t="s">
        <v>2205</v>
      </c>
      <c r="B57" s="3477" t="s">
        <v>2233</v>
      </c>
      <c r="C57" s="3486"/>
      <c r="D57" s="187">
        <v>0</v>
      </c>
      <c r="E57" s="23" t="s">
        <v>2207</v>
      </c>
      <c r="F57" s="155"/>
      <c r="G57" s="2490"/>
      <c r="H57" s="2494"/>
      <c r="I57" s="2494"/>
      <c r="J57" s="3512">
        <f>IF(AND(J55="",J56=""),4,IF(项目基本情况!K6="上海银行",结果表!J56+1,结果表!J55+1))</f>
        <v>4</v>
      </c>
      <c r="K57" s="3512" t="s">
        <v>2234</v>
      </c>
      <c r="L57" s="2495" t="s">
        <v>2235</v>
      </c>
      <c r="M57" s="1759"/>
      <c r="N57" s="1760">
        <f ca="1">SUMIF(M52:M56,"&lt;9e307")</f>
        <v>74367</v>
      </c>
      <c r="O57" s="2496"/>
      <c r="P57" s="1753" t="e">
        <f ca="1">N57/M49</f>
        <v>#VALUE!</v>
      </c>
    </row>
    <row r="58" spans="1:35" ht="24.75">
      <c r="A58" s="183" t="s">
        <v>2216</v>
      </c>
      <c r="B58" s="3477" t="s">
        <v>2236</v>
      </c>
      <c r="C58" s="3478"/>
      <c r="D58" s="185">
        <f ca="1">IF(H58="转让取得",C81,C97)</f>
        <v>74301</v>
      </c>
      <c r="E58" s="11" t="s">
        <v>2231</v>
      </c>
      <c r="F58" s="24" t="s">
        <v>34</v>
      </c>
      <c r="G58" s="2490"/>
      <c r="H58" s="2493" t="s">
        <v>2237</v>
      </c>
      <c r="I58" s="2494"/>
      <c r="J58" s="3512"/>
      <c r="K58" s="3512"/>
      <c r="L58" s="2495" t="s">
        <v>2238</v>
      </c>
      <c r="M58" s="1761"/>
      <c r="N58" s="2497" t="str">
        <f ca="1">NUMBERSTRING(INT(N57*10000),2)&amp;"元整"</f>
        <v>柒亿肆仟叁佰陆拾柒万元整</v>
      </c>
      <c r="O58" s="2498"/>
    </row>
    <row r="59" spans="1:35" ht="24.75" thickBot="1">
      <c r="A59" s="3515" t="s">
        <v>2239</v>
      </c>
      <c r="B59" s="3516"/>
      <c r="C59" s="3516"/>
      <c r="D59" s="188" t="str">
        <f>IF(H59="非个人房产","——",IF(H59="个人住宅",0,ROUND(D45*I59,0)))</f>
        <v>——</v>
      </c>
      <c r="E59" s="189" t="str">
        <f>IF(H59="非个人房产","——","销售额×税（费）率")</f>
        <v>——</v>
      </c>
      <c r="F59" s="190" t="str">
        <f>IF(H59="非个人房产","——",IF(H59="个人住宅","免征",I59))</f>
        <v>——</v>
      </c>
      <c r="G59" s="2499" t="s">
        <v>2232</v>
      </c>
      <c r="H59" s="2493" t="s">
        <v>2240</v>
      </c>
      <c r="I59" s="191">
        <v>0.01</v>
      </c>
      <c r="J59" s="3513">
        <f>J57+1</f>
        <v>5</v>
      </c>
      <c r="K59" s="3512" t="s">
        <v>2241</v>
      </c>
      <c r="L59" s="1812" t="s">
        <v>2235</v>
      </c>
      <c r="M59" s="1762"/>
      <c r="N59" s="1763" t="e">
        <f ca="1">M49-N57</f>
        <v>#VALUE!</v>
      </c>
      <c r="O59" s="2500"/>
    </row>
    <row r="60" spans="1:35" ht="12" customHeight="1">
      <c r="A60" s="2501"/>
      <c r="B60" s="2423"/>
      <c r="C60" s="2423"/>
      <c r="D60" s="2423"/>
      <c r="E60" s="2170"/>
      <c r="F60" s="2494"/>
      <c r="G60" s="2494"/>
      <c r="H60" s="2502"/>
      <c r="I60" s="138"/>
      <c r="J60" s="3514"/>
      <c r="K60" s="3512"/>
      <c r="L60" s="2495" t="s">
        <v>2238</v>
      </c>
      <c r="M60" s="1761"/>
      <c r="N60" s="2497" t="e">
        <f ca="1">NUMBERSTRING(INT(N59*10000),2)&amp;"元整"</f>
        <v>#VALUE!</v>
      </c>
      <c r="O60" s="2498"/>
    </row>
    <row r="61" spans="1:35" ht="13.5" thickBot="1">
      <c r="A61" s="3459" t="s">
        <v>2242</v>
      </c>
      <c r="B61" s="3459"/>
      <c r="C61" s="3459"/>
      <c r="D61" s="3459"/>
      <c r="E61" s="3459"/>
      <c r="F61" s="2494"/>
      <c r="G61" s="2494"/>
      <c r="H61" s="2502"/>
      <c r="I61" s="138"/>
      <c r="J61" s="1812">
        <f>J59+1</f>
        <v>6</v>
      </c>
      <c r="K61" s="3512" t="s">
        <v>2243</v>
      </c>
      <c r="L61" s="3512"/>
      <c r="M61" s="1764"/>
      <c r="N61" s="1765" t="e">
        <f ca="1">ROUND(N59*10000/'数据-汇总表'!E3,0)</f>
        <v>#VALUE!</v>
      </c>
      <c r="O61" s="2503"/>
    </row>
    <row r="62" spans="1:35" ht="12.75">
      <c r="A62" s="3475" t="s">
        <v>2244</v>
      </c>
      <c r="B62" s="3476"/>
      <c r="C62" s="1804"/>
      <c r="D62" s="1804" t="s">
        <v>2245</v>
      </c>
      <c r="E62" s="192" t="s">
        <v>2246</v>
      </c>
      <c r="F62" s="2494"/>
      <c r="G62" s="2494"/>
      <c r="H62" s="2502"/>
      <c r="I62" s="138"/>
    </row>
    <row r="63" spans="1:35" ht="12.75">
      <c r="A63" s="203" t="s">
        <v>775</v>
      </c>
      <c r="B63" s="193" t="s">
        <v>2247</v>
      </c>
      <c r="C63" s="194">
        <f ca="1">ROUND((C64+C65)/(1+'数据-取费表'!C42),0)</f>
        <v>125022</v>
      </c>
      <c r="D63" s="195"/>
      <c r="E63" s="196"/>
      <c r="F63" s="2494"/>
      <c r="G63" s="2494"/>
      <c r="H63" s="2502"/>
      <c r="I63" s="138"/>
      <c r="J63" s="3537" t="s">
        <v>2248</v>
      </c>
      <c r="K63" s="2504" t="s">
        <v>2249</v>
      </c>
      <c r="L63" s="1752" t="e">
        <f>IF(M49&gt;10000,M49*0.5%,IF(AND(M49&gt;1000,M49&lt;=10000),M49*1%,IF(AND(M49&gt;100,M49&lt;=1000),M49*3%,IF(AND(M49&gt;10,M49&lt;=100),M49*5%,M49*8%))))</f>
        <v>#VALUE!</v>
      </c>
      <c r="M63" s="24" t="e">
        <f>ROUND(L63,1)</f>
        <v>#VALUE!</v>
      </c>
      <c r="Z63" s="2428"/>
      <c r="AI63" s="2429"/>
    </row>
    <row r="64" spans="1:35" ht="14.25" customHeight="1">
      <c r="A64" s="197" t="s">
        <v>770</v>
      </c>
      <c r="B64" s="198" t="s">
        <v>2250</v>
      </c>
      <c r="C64" s="199">
        <f ca="1">D45</f>
        <v>131273</v>
      </c>
      <c r="D64" s="200" t="s">
        <v>32</v>
      </c>
      <c r="E64" s="201"/>
      <c r="F64" s="2494"/>
      <c r="G64" s="2494"/>
      <c r="H64" s="2502"/>
      <c r="I64" s="138"/>
      <c r="J64" s="3537"/>
      <c r="K64" s="2504" t="s">
        <v>2251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8"/>
      <c r="AI64" s="2429"/>
    </row>
    <row r="65" spans="1:35" ht="14.25" customHeight="1">
      <c r="A65" s="197" t="s">
        <v>771</v>
      </c>
      <c r="B65" s="198" t="s">
        <v>2253</v>
      </c>
      <c r="C65" s="202"/>
      <c r="D65" s="200"/>
      <c r="E65" s="201"/>
      <c r="F65" s="2494"/>
      <c r="G65" s="2494"/>
      <c r="H65" s="2502"/>
      <c r="I65" s="138"/>
      <c r="J65" s="3537"/>
      <c r="K65" s="2504" t="s">
        <v>2254</v>
      </c>
      <c r="L65" s="1752" t="e">
        <f>IF(M49&gt;1000,M49*0.1%,IF(AND(M49&gt;500,M49&lt;=1000),M49*0.5%,IF(AND(M49&gt;50,M49&lt;=500),M49*1%,IF(AND(M49&gt;1,M49&lt;=50),M49*1.5%))))</f>
        <v>#VALUE!</v>
      </c>
      <c r="M65" s="24" t="e">
        <f t="shared" si="1"/>
        <v>#VALUE!</v>
      </c>
      <c r="N65" s="138" t="s">
        <v>2252</v>
      </c>
      <c r="Z65" s="2428"/>
      <c r="AI65" s="2429"/>
    </row>
    <row r="66" spans="1:35" ht="14.25" customHeight="1">
      <c r="A66" s="203" t="s">
        <v>772</v>
      </c>
      <c r="B66" s="204" t="s">
        <v>2255</v>
      </c>
      <c r="C66" s="205"/>
      <c r="D66" s="206" t="s">
        <v>32</v>
      </c>
      <c r="E66" s="1776" t="s">
        <v>1371</v>
      </c>
      <c r="F66" s="2494"/>
      <c r="G66" s="2494"/>
      <c r="H66" s="2502"/>
      <c r="I66" s="138"/>
      <c r="J66" s="3537"/>
      <c r="K66" s="2504" t="s">
        <v>2256</v>
      </c>
      <c r="L66" s="1752" t="e">
        <f>M49*0.5%</f>
        <v>#VALUE!</v>
      </c>
      <c r="M66" s="24" t="e">
        <f>IF(L66&gt;0.5,0.5,ROUND(L66,0))</f>
        <v>#VALUE!</v>
      </c>
      <c r="N66" s="138" t="s">
        <v>2257</v>
      </c>
      <c r="Z66" s="2428"/>
      <c r="AI66" s="2429"/>
    </row>
    <row r="67" spans="1:35" ht="14.25" customHeight="1">
      <c r="A67" s="203" t="s">
        <v>773</v>
      </c>
      <c r="B67" s="204" t="s">
        <v>2258</v>
      </c>
      <c r="C67" s="207">
        <f ca="1">C63-C66</f>
        <v>125022</v>
      </c>
      <c r="D67" s="200" t="s">
        <v>32</v>
      </c>
      <c r="E67" s="201"/>
      <c r="F67" s="2494"/>
      <c r="G67" s="2494"/>
      <c r="H67" s="2502"/>
      <c r="I67" s="138"/>
      <c r="J67" s="3537"/>
      <c r="K67" s="2504" t="s">
        <v>2259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2260</v>
      </c>
      <c r="C68" s="210">
        <f ca="1">IF(C67&lt;=0,0,ROUND(C67*D68,0))</f>
        <v>7001</v>
      </c>
      <c r="D68" s="211">
        <f>'数据-取费表'!B41</f>
        <v>5.6000000000000001E-2</v>
      </c>
      <c r="E68" s="212"/>
      <c r="F68" s="2494"/>
      <c r="G68" s="2494"/>
      <c r="H68" s="2502"/>
      <c r="I68" s="138"/>
      <c r="J68" s="3537"/>
      <c r="K68" s="2504" t="s">
        <v>2261</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537"/>
      <c r="K69" s="2504" t="s">
        <v>2262</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496" t="s">
        <v>2263</v>
      </c>
      <c r="B70" s="3497"/>
      <c r="C70" s="3497"/>
      <c r="D70" s="3497"/>
      <c r="E70" s="3497"/>
      <c r="F70" s="3497"/>
      <c r="G70" s="3497"/>
      <c r="H70" s="349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475" t="s">
        <v>2244</v>
      </c>
      <c r="B71" s="3476"/>
      <c r="C71" s="1804"/>
      <c r="D71" s="1804" t="s">
        <v>2245</v>
      </c>
      <c r="E71" s="213" t="s">
        <v>2246</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2264</v>
      </c>
      <c r="C72" s="207">
        <f ca="1">ROUND(D45/(1+'数据-取费表'!C42),0)</f>
        <v>125022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2265</v>
      </c>
      <c r="C73" s="207">
        <f ca="1">C74+C78</f>
        <v>750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2266</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2267</v>
      </c>
      <c r="C75" s="218"/>
      <c r="D75" s="200" t="s">
        <v>32</v>
      </c>
      <c r="E75" s="219" t="s">
        <v>2268</v>
      </c>
      <c r="F75" s="2516" t="s">
        <v>2269</v>
      </c>
      <c r="G75" s="219" t="s">
        <v>2270</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2271</v>
      </c>
      <c r="C76" s="200">
        <f>IF(F75="购房发票",ROUND(C75*H75*D76,0),0)</f>
        <v>0</v>
      </c>
      <c r="D76" s="222">
        <v>0.05</v>
      </c>
      <c r="E76" s="3470" t="s">
        <v>2272</v>
      </c>
      <c r="F76" s="3447"/>
      <c r="G76" s="3447"/>
      <c r="H76" s="349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8" t="s">
        <v>2275</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2276</v>
      </c>
      <c r="C78" s="225">
        <f ca="1">ROUND(D45*D78/(1+'数据-取费表'!C42),0)</f>
        <v>750</v>
      </c>
      <c r="D78" s="226">
        <f>'数据-取费表'!B43</f>
        <v>6.000000000000001E-3</v>
      </c>
      <c r="E78" s="3456" t="s">
        <v>2277</v>
      </c>
      <c r="F78" s="3457"/>
      <c r="G78" s="3457"/>
      <c r="H78" s="346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2278</v>
      </c>
      <c r="C79" s="207">
        <f ca="1">C72-C73</f>
        <v>124272</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2279</v>
      </c>
      <c r="C80" s="227">
        <f ca="1">IF(C79&lt;=0,0,C79/C73)</f>
        <v>165.696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2280</v>
      </c>
      <c r="C81" s="228">
        <f ca="1">ROUND(IF(C79&lt;=0,0,IF(C80&gt;=200%,C79*60%-C73*35%,IF(C80&gt;=100%,C79*50%-C73*15%,IF(C80&gt;=50%,C79*40%-C73*5%,IF(C80&lt;50%,C79*30%,0))))),0)</f>
        <v>74301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496" t="s">
        <v>2281</v>
      </c>
      <c r="B83" s="3497"/>
      <c r="C83" s="3497"/>
      <c r="D83" s="3497"/>
      <c r="E83" s="3497"/>
      <c r="F83" s="3497"/>
      <c r="G83" s="3497"/>
      <c r="H83" s="349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475" t="s">
        <v>2244</v>
      </c>
      <c r="B84" s="3476"/>
      <c r="C84" s="1804"/>
      <c r="D84" s="1804" t="s">
        <v>2245</v>
      </c>
      <c r="E84" s="213" t="s">
        <v>2246</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2264</v>
      </c>
      <c r="C85" s="207">
        <f ca="1">ROUND(D45/(1+'数据-取费表'!C42),0)</f>
        <v>125022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2265</v>
      </c>
      <c r="C86" s="207">
        <f ca="1">IF(H88="仅含出让金",C87+C90+C91+C92+C93+C94,C87+C91+C92+C93+C94)</f>
        <v>750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2282</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2283</v>
      </c>
      <c r="C88" s="236"/>
      <c r="D88" s="226"/>
      <c r="E88" s="237" t="s">
        <v>2284</v>
      </c>
      <c r="F88" s="1800"/>
      <c r="G88" s="238" t="s">
        <v>2285</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2273</v>
      </c>
      <c r="C89" s="225">
        <f>ROUND(C88*D89,0)</f>
        <v>0</v>
      </c>
      <c r="D89" s="226">
        <f>'数据-取费表'!B48+'数据-取费表'!B49</f>
        <v>3.0499999999999999E-2</v>
      </c>
      <c r="E89" s="237" t="s">
        <v>2286</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2287</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2288</v>
      </c>
      <c r="B91" s="198" t="s">
        <v>2289</v>
      </c>
      <c r="C91" s="225">
        <f>IF(H91="——",成本法!C33,I91)</f>
        <v>0</v>
      </c>
      <c r="D91" s="226"/>
      <c r="E91" s="3456" t="s">
        <v>2290</v>
      </c>
      <c r="F91" s="3457"/>
      <c r="G91" s="3457"/>
      <c r="H91" s="2523" t="s">
        <v>2291</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2292</v>
      </c>
      <c r="B92" s="198" t="s">
        <v>2293</v>
      </c>
      <c r="C92" s="225">
        <f>ROUND((C87+C90+C91)*D92,0)</f>
        <v>0</v>
      </c>
      <c r="D92" s="226">
        <v>0.1</v>
      </c>
      <c r="E92" s="3456" t="s">
        <v>2294</v>
      </c>
      <c r="F92" s="3457"/>
      <c r="G92" s="3457"/>
      <c r="H92" s="346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2295</v>
      </c>
      <c r="B93" s="198" t="s">
        <v>2276</v>
      </c>
      <c r="C93" s="225">
        <f ca="1">ROUND(D45*D93/(1+'数据-取费表'!C42),0)</f>
        <v>750</v>
      </c>
      <c r="D93" s="226">
        <f>'数据-取费表'!B43</f>
        <v>6.000000000000001E-3</v>
      </c>
      <c r="E93" s="3456" t="s">
        <v>2277</v>
      </c>
      <c r="F93" s="3457"/>
      <c r="G93" s="3457"/>
      <c r="H93" s="346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2296</v>
      </c>
      <c r="B94" s="198" t="s">
        <v>2297</v>
      </c>
      <c r="C94" s="236">
        <f>ROUND((C87+C90+C91)*D94,0)</f>
        <v>0</v>
      </c>
      <c r="D94" s="226">
        <v>0.2</v>
      </c>
      <c r="E94" s="3467" t="s">
        <v>2298</v>
      </c>
      <c r="F94" s="3468"/>
      <c r="G94" s="3468"/>
      <c r="H94" s="346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2278</v>
      </c>
      <c r="C95" s="207">
        <f ca="1">ROUND(C85-C86,0)</f>
        <v>124272</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2279</v>
      </c>
      <c r="C96" s="227">
        <f ca="1">IF(C95&lt;=0,0,C95/C86)</f>
        <v>165.696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2280</v>
      </c>
      <c r="C97" s="228">
        <f ca="1">ROUND(IF(C95&lt;=0,0,IF(C96&gt;=200%,C95*60%-C86*35%,IF(C96&gt;=100%,C95*50%-C86*15%,IF(C96&gt;=50%,C95*40%-C86*5%,IF(C96&lt;50%,C95*30%,0))))),0)</f>
        <v>74301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2299</v>
      </c>
      <c r="B99" s="2423"/>
      <c r="C99" s="2423"/>
      <c r="D99" s="2423"/>
      <c r="E99" s="2170"/>
      <c r="F99" s="2170"/>
      <c r="G99" s="2170"/>
      <c r="H99" s="2169"/>
      <c r="I99" s="138"/>
    </row>
    <row r="100" spans="1:35" ht="18.75" customHeight="1">
      <c r="A100" s="3441" t="s">
        <v>2300</v>
      </c>
      <c r="B100" s="3442"/>
      <c r="C100" s="3442"/>
      <c r="D100" s="3458"/>
      <c r="E100" s="3442" t="s">
        <v>2301</v>
      </c>
      <c r="F100" s="3442"/>
      <c r="G100" s="3442"/>
      <c r="H100" s="3458"/>
      <c r="I100" s="138"/>
    </row>
    <row r="101" spans="1:35" ht="18.75" customHeight="1">
      <c r="A101" s="3520" t="s">
        <v>2302</v>
      </c>
      <c r="B101" s="3521"/>
      <c r="C101" s="736" t="str">
        <f>C4</f>
        <v>成本法</v>
      </c>
      <c r="D101" s="737" t="str">
        <f>D4</f>
        <v>假设开发法</v>
      </c>
      <c r="E101" s="3534" t="s">
        <v>2303</v>
      </c>
      <c r="F101" s="3488"/>
      <c r="G101" s="2525" t="s">
        <v>2304</v>
      </c>
      <c r="H101" s="1048">
        <f ca="1">H118</f>
        <v>131273</v>
      </c>
      <c r="I101" s="138"/>
    </row>
    <row r="102" spans="1:35" ht="18.75" customHeight="1">
      <c r="A102" s="3490" t="s">
        <v>2305</v>
      </c>
      <c r="B102" s="2525" t="s">
        <v>2304</v>
      </c>
      <c r="C102" s="736">
        <f ca="1">C19</f>
        <v>115798</v>
      </c>
      <c r="D102" s="737">
        <f ca="1">D19</f>
        <v>146747</v>
      </c>
      <c r="E102" s="3534"/>
      <c r="F102" s="3488"/>
      <c r="G102" s="2525" t="s">
        <v>2306</v>
      </c>
      <c r="H102" s="371">
        <f ca="1">I118</f>
        <v>60063</v>
      </c>
      <c r="I102" s="138"/>
    </row>
    <row r="103" spans="1:35" ht="42.75" customHeight="1">
      <c r="A103" s="3490"/>
      <c r="B103" s="2525" t="s">
        <v>2306</v>
      </c>
      <c r="C103" s="738">
        <f ca="1">C20</f>
        <v>52982</v>
      </c>
      <c r="D103" s="739">
        <f ca="1">D20</f>
        <v>67143</v>
      </c>
      <c r="E103" s="3529" t="s">
        <v>2307</v>
      </c>
      <c r="F103" s="3530"/>
      <c r="G103" s="2526" t="s">
        <v>2308</v>
      </c>
      <c r="H103" s="1048">
        <f>IF(D36="正常操作",H104+H105+H106,H105+H106)</f>
        <v>0</v>
      </c>
      <c r="I103" s="138"/>
    </row>
    <row r="104" spans="1:35" ht="18.75" customHeight="1">
      <c r="A104" s="3490" t="s">
        <v>2309</v>
      </c>
      <c r="B104" s="2527" t="s">
        <v>2304</v>
      </c>
      <c r="C104" s="740">
        <f ca="1">H118</f>
        <v>131273</v>
      </c>
      <c r="D104" s="741"/>
      <c r="E104" s="2271" t="s">
        <v>2310</v>
      </c>
      <c r="F104" s="2262"/>
      <c r="G104" s="2526" t="s">
        <v>2308</v>
      </c>
      <c r="H104" s="1049">
        <f>IF(D36="同一抵押权人同一抵押物续贷",C36&amp;"（未扣减，详见特别提示）",C36)</f>
        <v>0</v>
      </c>
      <c r="I104" s="138"/>
    </row>
    <row r="105" spans="1:35" ht="18.75" customHeight="1" thickBot="1">
      <c r="A105" s="3491"/>
      <c r="B105" s="2528" t="s">
        <v>2306</v>
      </c>
      <c r="C105" s="742">
        <f ca="1">I118</f>
        <v>60063</v>
      </c>
      <c r="D105" s="743"/>
      <c r="E105" s="2271" t="s">
        <v>2311</v>
      </c>
      <c r="F105" s="2262"/>
      <c r="G105" s="2526" t="s">
        <v>2308</v>
      </c>
      <c r="H105" s="1049">
        <f>C37</f>
        <v>0</v>
      </c>
      <c r="I105" s="138"/>
    </row>
    <row r="106" spans="1:35" ht="18.75" customHeight="1">
      <c r="A106" s="2423" t="s">
        <v>2312</v>
      </c>
      <c r="B106" s="2423"/>
      <c r="C106" s="2423"/>
      <c r="D106" s="2423"/>
      <c r="E106" s="2529" t="s">
        <v>2313</v>
      </c>
      <c r="F106" s="2262"/>
      <c r="G106" s="2526" t="s">
        <v>2308</v>
      </c>
      <c r="H106" s="1049">
        <f>C38</f>
        <v>0</v>
      </c>
      <c r="I106" s="138"/>
    </row>
    <row r="107" spans="1:35" ht="18.75" customHeight="1">
      <c r="A107" s="138"/>
      <c r="B107" s="138"/>
      <c r="C107" s="138"/>
      <c r="D107" s="138"/>
      <c r="E107" s="3487" t="str">
        <f>IF(项目基本情况!E8="已注销","——","3.房地产抵押价值")</f>
        <v>3.房地产抵押价值</v>
      </c>
      <c r="F107" s="3488"/>
      <c r="G107" s="2525" t="s">
        <v>2304</v>
      </c>
      <c r="H107" s="1048">
        <f ca="1">IF(E107="——","——",H101-H103)</f>
        <v>131273</v>
      </c>
      <c r="I107" s="138"/>
    </row>
    <row r="108" spans="1:35" ht="18.75" customHeight="1">
      <c r="A108" s="138"/>
      <c r="B108" s="138"/>
      <c r="C108" s="138"/>
      <c r="D108" s="138"/>
      <c r="E108" s="3487"/>
      <c r="F108" s="3488"/>
      <c r="G108" s="2525" t="s">
        <v>2306</v>
      </c>
      <c r="H108" s="371">
        <f ca="1">ROUND(H107*10000/'数据-汇总表'!E3,0)</f>
        <v>60063</v>
      </c>
      <c r="I108" s="138"/>
    </row>
    <row r="109" spans="1:35" ht="18.75" customHeight="1">
      <c r="A109" s="138"/>
      <c r="B109" s="138"/>
      <c r="C109" s="138"/>
      <c r="D109" s="138"/>
      <c r="E109" s="3487" t="str">
        <f>IF(项目基本情况!E8="已注销及未注销","4.抵押担保权已注销时的房地产抵押价值",IF(项目基本情况!E8="已注销","3.抵押担保权已注销时的房地产抵押价值","——"))</f>
        <v>——</v>
      </c>
      <c r="F109" s="3488"/>
      <c r="G109" s="2525" t="s">
        <v>2304</v>
      </c>
      <c r="H109" s="348" t="str">
        <f>IF(E109="——","——",H101-H105-H106)</f>
        <v>——</v>
      </c>
      <c r="I109" s="138"/>
    </row>
    <row r="110" spans="1:35" ht="18.75" customHeight="1">
      <c r="A110" s="138"/>
      <c r="B110" s="138"/>
      <c r="C110" s="138"/>
      <c r="D110" s="138"/>
      <c r="E110" s="3487"/>
      <c r="F110" s="3488"/>
      <c r="G110" s="2525" t="s">
        <v>2306</v>
      </c>
      <c r="H110" s="371" t="str">
        <f>IF(H109="——","——",ROUND(H109*10000/'数据-汇总表'!E3,0))</f>
        <v>——</v>
      </c>
      <c r="I110" s="138"/>
    </row>
    <row r="111" spans="1:35" ht="18.75" customHeight="1">
      <c r="A111" s="138"/>
      <c r="B111" s="138"/>
      <c r="C111" s="138"/>
      <c r="D111" s="138"/>
      <c r="E111" s="3522" t="str">
        <f>IF(项目基本情况!E9="抵押净值",IF(OR(项目基本情况!E8="已注销",项目基本情况!E8="房地产抵押价值"),"4.抵押净值","5.抵押净值"),"——")</f>
        <v>——</v>
      </c>
      <c r="F111" s="3523"/>
      <c r="G111" s="2525" t="s">
        <v>2304</v>
      </c>
      <c r="H111" s="1048" t="str">
        <f>IF(E111="——","——",N59)</f>
        <v>——</v>
      </c>
      <c r="I111" s="138"/>
    </row>
    <row r="112" spans="1:35" ht="18.75" customHeight="1" thickBot="1">
      <c r="A112" s="138"/>
      <c r="B112" s="138"/>
      <c r="C112" s="138"/>
      <c r="D112" s="138"/>
      <c r="E112" s="3524"/>
      <c r="F112" s="3525"/>
      <c r="G112" s="2530" t="s">
        <v>2306</v>
      </c>
      <c r="H112" s="790" t="str">
        <f>IF(E111="——","——",N61)</f>
        <v>——</v>
      </c>
      <c r="I112" s="138"/>
    </row>
    <row r="113" spans="1:11" ht="18.75" customHeight="1">
      <c r="A113" s="138"/>
      <c r="B113" s="138"/>
      <c r="C113" s="138"/>
      <c r="D113" s="138"/>
      <c r="E113" s="3492" t="s">
        <v>2312</v>
      </c>
      <c r="F113" s="3492"/>
      <c r="G113" s="3492"/>
      <c r="H113" s="3492"/>
      <c r="I113" s="138"/>
    </row>
    <row r="114" spans="1:11" ht="3.75" customHeight="1">
      <c r="A114" s="2423"/>
      <c r="B114" s="2423"/>
      <c r="C114" s="2423"/>
      <c r="D114" s="2423"/>
      <c r="E114" s="2501"/>
      <c r="F114" s="2501"/>
      <c r="G114" s="2501"/>
      <c r="H114" s="2501"/>
      <c r="I114" s="2423"/>
    </row>
    <row r="115" spans="1:11" ht="18.75" customHeight="1">
      <c r="A115" s="3505" t="s">
        <v>2314</v>
      </c>
      <c r="B115" s="3506"/>
      <c r="C115" s="3506"/>
      <c r="D115" s="3506"/>
      <c r="E115" s="3506"/>
      <c r="F115" s="3506"/>
      <c r="G115" s="3506"/>
      <c r="H115" s="3506"/>
      <c r="I115" s="3507"/>
    </row>
    <row r="116" spans="1:11" ht="27" customHeight="1">
      <c r="A116" s="3398" t="s">
        <v>2315</v>
      </c>
      <c r="B116" s="3493" t="s">
        <v>2316</v>
      </c>
      <c r="C116" s="3493" t="s">
        <v>2317</v>
      </c>
      <c r="D116" s="3509" t="s">
        <v>2318</v>
      </c>
      <c r="E116" s="3510"/>
      <c r="F116" s="3501" t="s">
        <v>2319</v>
      </c>
      <c r="G116" s="3501"/>
      <c r="H116" s="3398" t="s">
        <v>2320</v>
      </c>
      <c r="I116" s="3398"/>
    </row>
    <row r="117" spans="1:11" ht="18.75" customHeight="1">
      <c r="A117" s="3398"/>
      <c r="B117" s="3494"/>
      <c r="C117" s="3494"/>
      <c r="D117" s="1798" t="s">
        <v>2321</v>
      </c>
      <c r="E117" s="1798" t="s">
        <v>2322</v>
      </c>
      <c r="F117" s="1798" t="s">
        <v>2321</v>
      </c>
      <c r="G117" s="1798" t="s">
        <v>2323</v>
      </c>
      <c r="H117" s="1798" t="s">
        <v>2321</v>
      </c>
      <c r="I117" s="1798" t="s">
        <v>2323</v>
      </c>
    </row>
    <row r="118" spans="1:11" ht="24.75" customHeight="1">
      <c r="A118" s="2531" t="str">
        <f>项目基本情况!S2</f>
        <v>北京市出让国有建设用地使用权及在建建筑物房地产</v>
      </c>
      <c r="B118" s="1798">
        <f>M18</f>
        <v>21855.969999999998</v>
      </c>
      <c r="C118" s="1798">
        <f>M19</f>
        <v>4098.78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131273</v>
      </c>
      <c r="I118" s="1798">
        <f ca="1">ROUND(IF(D32="楼面单价",C32,H118*10000/B118),0)</f>
        <v>60063</v>
      </c>
    </row>
    <row r="119" spans="1:11" ht="18.75" customHeight="1">
      <c r="A119" s="3398" t="s">
        <v>2324</v>
      </c>
      <c r="B119" s="3398"/>
      <c r="C119" s="3398"/>
      <c r="D119" s="3498" t="e">
        <f ca="1">NUMBERSTRING(INT(D118*10000),2)&amp;"元整"</f>
        <v>#REF!</v>
      </c>
      <c r="E119" s="3500"/>
      <c r="F119" s="3498" t="e">
        <f ca="1">NUMBERSTRING(INT(F118*10000),2)&amp;"元整"</f>
        <v>#REF!</v>
      </c>
      <c r="G119" s="3500"/>
      <c r="H119" s="3498" t="str">
        <f ca="1">NUMBERSTRING(INT(H118*10000),2)&amp;"元整"</f>
        <v>壹拾叁亿壹仟贰佰柒拾叁万元整</v>
      </c>
      <c r="I119" s="3500"/>
    </row>
    <row r="120" spans="1:11" ht="18.75" customHeight="1">
      <c r="A120" s="3526" t="str">
        <f>IF(项目基本情况!B9="房地产市场价值","",MID(E103,3,LEN(E103)-2))</f>
        <v>估价师知悉的法定优先受偿款</v>
      </c>
      <c r="B120" s="3527"/>
      <c r="C120" s="3528"/>
      <c r="D120" s="3526">
        <f>H103</f>
        <v>0</v>
      </c>
      <c r="E120" s="3527"/>
      <c r="F120" s="3527"/>
      <c r="G120" s="3527"/>
      <c r="H120" s="3527"/>
      <c r="I120" s="3528"/>
      <c r="K120" s="2428" t="str">
        <f>IF(D120=0,"故，本次评估不存在"&amp;A120,"故，本次评估"&amp;A120&amp;"为人民币"&amp;D120&amp;"万元整。")</f>
        <v>故，本次评估不存在估价师知悉的法定优先受偿款</v>
      </c>
    </row>
    <row r="121" spans="1:11" ht="18.75" customHeight="1">
      <c r="A121" s="3502" t="s">
        <v>2324</v>
      </c>
      <c r="B121" s="3503"/>
      <c r="C121" s="3504"/>
      <c r="D121" s="3498" t="str">
        <f>IF(D120=0,"零元整",NUMBERSTRING(INT(D120*10000),2)&amp;"元整")</f>
        <v>零元整</v>
      </c>
      <c r="E121" s="3499"/>
      <c r="F121" s="3499"/>
      <c r="G121" s="3499"/>
      <c r="H121" s="3499"/>
      <c r="I121" s="3500"/>
    </row>
    <row r="122" spans="1:11" ht="18.75" customHeight="1">
      <c r="A122" s="3489" t="str">
        <f>IF(项目基本情况!B9="房地产市场价值","",MID(E107,3,LEN(E107)-2))</f>
        <v>房地产抵押价值</v>
      </c>
      <c r="B122" s="3489"/>
      <c r="C122" s="3489"/>
      <c r="D122" s="3526">
        <f ca="1">H107</f>
        <v>131273</v>
      </c>
      <c r="E122" s="3527"/>
      <c r="F122" s="3527"/>
      <c r="G122" s="3527"/>
      <c r="H122" s="3527"/>
      <c r="I122" s="3528"/>
    </row>
    <row r="123" spans="1:11" ht="18.75" customHeight="1">
      <c r="A123" s="3398" t="s">
        <v>2324</v>
      </c>
      <c r="B123" s="3398"/>
      <c r="C123" s="3398"/>
      <c r="D123" s="3498" t="str">
        <f ca="1">NUMBERSTRING(INT(D122*10000),2)&amp;"元整"</f>
        <v>壹拾叁亿壹仟贰佰柒拾叁万元整</v>
      </c>
      <c r="E123" s="3499"/>
      <c r="F123" s="3499"/>
      <c r="G123" s="3499"/>
      <c r="H123" s="3499"/>
      <c r="I123" s="3500"/>
    </row>
    <row r="124" spans="1:11" ht="18.75" customHeight="1">
      <c r="A124" s="3489" t="str">
        <f>IF(项目基本情况!B9="房地产市场价值","",MID(E109,3,LEN(E109)-2))</f>
        <v/>
      </c>
      <c r="B124" s="3489"/>
      <c r="C124" s="3489"/>
      <c r="D124" s="3526" t="str">
        <f>H109</f>
        <v>——</v>
      </c>
      <c r="E124" s="3527"/>
      <c r="F124" s="3527"/>
      <c r="G124" s="3527"/>
      <c r="H124" s="3527"/>
      <c r="I124" s="3528"/>
    </row>
    <row r="125" spans="1:11" ht="18.75" customHeight="1">
      <c r="A125" s="3398" t="s">
        <v>2324</v>
      </c>
      <c r="B125" s="3398"/>
      <c r="C125" s="3398"/>
      <c r="D125" s="3498" t="e">
        <f>NUMBERSTRING(INT(D124*10000),2)&amp;"元整"</f>
        <v>#VALUE!</v>
      </c>
      <c r="E125" s="3499"/>
      <c r="F125" s="3499"/>
      <c r="G125" s="3499"/>
      <c r="H125" s="3499"/>
      <c r="I125" s="3500"/>
    </row>
    <row r="126" spans="1:11" ht="18.75" customHeight="1">
      <c r="A126" s="3489" t="str">
        <f>IF(项目基本情况!B9="房地产市场价值","",MID(E111,3,LEN(E111)-2))</f>
        <v/>
      </c>
      <c r="B126" s="3489"/>
      <c r="C126" s="3489"/>
      <c r="D126" s="3526" t="str">
        <f>H111</f>
        <v>——</v>
      </c>
      <c r="E126" s="3527"/>
      <c r="F126" s="3527"/>
      <c r="G126" s="3527"/>
      <c r="H126" s="3527"/>
      <c r="I126" s="3528"/>
    </row>
    <row r="127" spans="1:11" ht="18.75" customHeight="1">
      <c r="A127" s="3398" t="s">
        <v>2324</v>
      </c>
      <c r="B127" s="3398"/>
      <c r="C127" s="3398"/>
      <c r="D127" s="3498" t="e">
        <f>NUMBERSTRING(INT(D126*10000),2)&amp;"元整"</f>
        <v>#VALUE!</v>
      </c>
      <c r="E127" s="3499"/>
      <c r="F127" s="3499"/>
      <c r="G127" s="3499"/>
      <c r="H127" s="3499"/>
      <c r="I127" s="3500"/>
    </row>
    <row r="128" spans="1:11" ht="21.75" customHeight="1">
      <c r="A128" s="3508" t="s">
        <v>2325</v>
      </c>
      <c r="B128" s="3508"/>
      <c r="C128" s="3508"/>
      <c r="D128" s="3508"/>
      <c r="E128" s="3508"/>
      <c r="F128" s="3508"/>
      <c r="G128" s="3508"/>
      <c r="H128" s="3508"/>
      <c r="I128" s="3508"/>
    </row>
    <row r="129" spans="1:35" ht="21.75" customHeight="1">
      <c r="A129" s="2532" t="s">
        <v>2326</v>
      </c>
      <c r="B129" s="2533"/>
      <c r="C129" s="2534" t="s">
        <v>2327</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2328</v>
      </c>
      <c r="G135" s="2549"/>
      <c r="H135" s="2549"/>
      <c r="I135" s="2550" t="s">
        <v>2329</v>
      </c>
    </row>
    <row r="136" spans="1:35" ht="21.75" customHeight="1">
      <c r="A136" s="795"/>
      <c r="B136" s="2551"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2331</v>
      </c>
    </row>
    <row r="139" spans="1:35" ht="21.75" customHeight="1">
      <c r="A139" s="795"/>
      <c r="B139" s="2551" t="s">
        <v>2332</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2331</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D57" sqref="D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40"/>
      <c r="C1" s="242"/>
      <c r="D1" s="242"/>
      <c r="E1" s="242"/>
      <c r="F1" s="242"/>
      <c r="G1" s="1382">
        <f>MATCH(B1,'数据-取费表'!A6:A16,0)+5</f>
        <v>8</v>
      </c>
    </row>
    <row r="2" spans="1:9" s="244" customFormat="1" ht="18" customHeight="1">
      <c r="A2" s="245" t="s">
        <v>2334</v>
      </c>
      <c r="B2" s="246">
        <f ca="1">IF(D2="——",C52,C52-E2)</f>
        <v>115798</v>
      </c>
      <c r="C2" s="243" t="s">
        <v>2335</v>
      </c>
      <c r="D2" s="2554" t="s">
        <v>70</v>
      </c>
      <c r="E2" s="1443" t="e">
        <f ca="1">SUMIF(INDIRECT("'"&amp;G2&amp;"'"&amp;"!A:A"),"承租人权益价值",INDIRECT("'"&amp;G2&amp;"'"&amp;"!c:c"))</f>
        <v>#REF!</v>
      </c>
      <c r="F2" s="2555" t="s">
        <v>2335</v>
      </c>
      <c r="G2" s="2556"/>
    </row>
    <row r="3" spans="1:9" s="244" customFormat="1" ht="18" customHeight="1" thickBot="1">
      <c r="A3" s="247" t="s">
        <v>2336</v>
      </c>
      <c r="B3" s="248">
        <f ca="1">ROUND(B2*10000/(IF(B1="",'数据-汇总表'!E3,INDIRECT("'数据-取费表'!k"&amp;$G$1))),0)</f>
        <v>52982</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C6+C7+C8</f>
        <v>92549</v>
      </c>
      <c r="D5" s="255" t="s">
        <v>2341</v>
      </c>
      <c r="E5" s="256" t="s">
        <v>2342</v>
      </c>
      <c r="F5" s="256" t="s">
        <v>2343</v>
      </c>
      <c r="G5" s="257"/>
    </row>
    <row r="6" spans="1:9" s="258" customFormat="1" ht="13.5" customHeight="1">
      <c r="A6" s="952" t="s">
        <v>2344</v>
      </c>
      <c r="B6" s="259" t="s">
        <v>2345</v>
      </c>
      <c r="C6" s="260">
        <f>'土地比较法-住宅、综合'!F66</f>
        <v>89810</v>
      </c>
      <c r="D6" s="261"/>
      <c r="E6" s="262"/>
      <c r="F6" s="262"/>
      <c r="G6" s="263"/>
    </row>
    <row r="7" spans="1:9" s="258" customFormat="1" ht="13.5" customHeight="1">
      <c r="A7" s="952" t="s">
        <v>2346</v>
      </c>
      <c r="B7" s="259" t="s">
        <v>2347</v>
      </c>
      <c r="C7" s="264">
        <f>ROUND(C6*F7,0)</f>
        <v>2739</v>
      </c>
      <c r="D7" s="264"/>
      <c r="E7" s="262"/>
      <c r="F7" s="265">
        <f>'数据-取费表'!B48+'数据-取费表'!B49</f>
        <v>3.0499999999999999E-2</v>
      </c>
      <c r="G7" s="263"/>
    </row>
    <row r="8" spans="1:9" s="267" customFormat="1">
      <c r="A8" s="952" t="s">
        <v>2348</v>
      </c>
      <c r="B8" s="259" t="s">
        <v>2349</v>
      </c>
      <c r="C8" s="264" t="str">
        <f>IF(G8="已包含在土地购买价格中","0",IF(B1="",'数据-取费表'!B29,IF(G9="全部缴纳",C9+C10,H9)))</f>
        <v>0</v>
      </c>
      <c r="D8" s="266"/>
      <c r="E8" s="264"/>
      <c r="F8" s="265"/>
      <c r="G8" s="2557" t="s">
        <v>1148</v>
      </c>
    </row>
    <row r="9" spans="1:9" s="258" customFormat="1" ht="13.5" customHeight="1">
      <c r="A9" s="953" t="s">
        <v>800</v>
      </c>
      <c r="B9" s="268" t="s">
        <v>2350</v>
      </c>
      <c r="C9" s="269">
        <f ca="1">ROUND(D9*E9/10000,0)</f>
        <v>340</v>
      </c>
      <c r="D9" s="1035">
        <f ca="1">IF(B1="",'数据-汇总表'!E5,IF(INDIRECT("'数据-取费表'!c"&amp;$G$1)="住宅",INDIRECT("'数据-取费表'!k"&amp;$G$1),0))</f>
        <v>21264.71</v>
      </c>
      <c r="E9" s="269">
        <f>'数据-取费表'!B27</f>
        <v>160</v>
      </c>
      <c r="F9" s="265"/>
      <c r="G9" s="2558"/>
      <c r="H9" s="1393"/>
      <c r="I9" s="2559" t="s">
        <v>2351</v>
      </c>
    </row>
    <row r="10" spans="1:9" s="258" customFormat="1" ht="13.5" customHeight="1">
      <c r="A10" s="953" t="s">
        <v>801</v>
      </c>
      <c r="B10" s="268" t="s">
        <v>2352</v>
      </c>
      <c r="C10" s="269">
        <f ca="1">ROUND(D10*E10/10000,0)</f>
        <v>12</v>
      </c>
      <c r="D10" s="1035">
        <f ca="1">IF(B1="",'数据-汇总表'!E6,IF(INDIRECT("'数据-取费表'!c"&amp;$G$1)="住宅",INDIRECT("'数据-取费表'!s"&amp;$G$1),INDIRECT("'数据-取费表'!k"&amp;$G$1)+INDIRECT("'数据-取费表'!s"&amp;$G$1)))</f>
        <v>591.2599999999984</v>
      </c>
      <c r="E10" s="269">
        <f>'数据-取费表'!B28</f>
        <v>200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f ca="1">IF(G19="已包含在土地取得成本中","0",ROUND(D19*E19/10000,0))</f>
        <v>437</v>
      </c>
      <c r="D19" s="1039">
        <f ca="1">D9+D10</f>
        <v>21855.969999999998</v>
      </c>
      <c r="E19" s="255">
        <f>'数据-取费表'!B31</f>
        <v>200</v>
      </c>
      <c r="F19" s="275"/>
      <c r="G19" s="2557" t="s">
        <v>1074</v>
      </c>
    </row>
    <row r="20" spans="1:7" s="258" customFormat="1" ht="13.5" customHeight="1">
      <c r="A20" s="299" t="s">
        <v>2365</v>
      </c>
      <c r="B20" s="254" t="s">
        <v>2366</v>
      </c>
      <c r="C20" s="276">
        <f ca="1">ROUND((C5+C19)*F20,0)</f>
        <v>1860</v>
      </c>
      <c r="D20" s="276"/>
      <c r="E20" s="276"/>
      <c r="F20" s="277">
        <f>'数据-取费表'!B37</f>
        <v>0.02</v>
      </c>
      <c r="G20" s="278" t="s">
        <v>2367</v>
      </c>
    </row>
    <row r="21" spans="1:7" s="258" customFormat="1" ht="13.5" customHeight="1">
      <c r="A21" s="299" t="s">
        <v>2368</v>
      </c>
      <c r="B21" s="254" t="s">
        <v>2369</v>
      </c>
      <c r="C21" s="279">
        <f>F21</f>
        <v>0.01</v>
      </c>
      <c r="D21" s="280" t="s">
        <v>2370</v>
      </c>
      <c r="E21" s="276"/>
      <c r="F21" s="277">
        <f>'数据-取费表'!B38</f>
        <v>0.01</v>
      </c>
      <c r="G21" s="278" t="s">
        <v>2371</v>
      </c>
    </row>
    <row r="22" spans="1:7" s="258" customFormat="1" ht="13.5" customHeight="1">
      <c r="A22" s="299" t="s">
        <v>2372</v>
      </c>
      <c r="B22" s="254" t="s">
        <v>2373</v>
      </c>
      <c r="C22" s="1357">
        <f ca="1">ROUND(SUM(C23:C25),0)</f>
        <v>2205</v>
      </c>
      <c r="D22" s="279">
        <f ca="1">C26</f>
        <v>1E-4</v>
      </c>
      <c r="E22" s="280" t="s">
        <v>2370</v>
      </c>
      <c r="F22" s="281">
        <f ca="1">'数据-取费表'!B40</f>
        <v>4.7500000000000001E-2</v>
      </c>
      <c r="G22" s="278" t="str">
        <f>IF('数据-取费表'!B22&lt;=1,"单利计息","复利计息")</f>
        <v>复利计息</v>
      </c>
    </row>
    <row r="23" spans="1:7" s="258" customFormat="1" ht="13.5" customHeight="1">
      <c r="A23" s="954" t="s">
        <v>2374</v>
      </c>
      <c r="B23" s="259" t="s">
        <v>2375</v>
      </c>
      <c r="C23" s="1358">
        <f ca="1">ROUND(IF('数据-取费表'!B22&lt;=1,C5*F22*'数据-取费表'!B23,C5*(POWER((1+F22),'数据-取费表'!B23)-1)),0)</f>
        <v>2173</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10</v>
      </c>
      <c r="D24" s="282"/>
      <c r="E24" s="282"/>
      <c r="F24" s="283"/>
      <c r="G24" s="284" t="s">
        <v>2379</v>
      </c>
    </row>
    <row r="25" spans="1:7" s="258" customFormat="1" ht="24">
      <c r="A25" s="954" t="s">
        <v>2380</v>
      </c>
      <c r="B25" s="259" t="s">
        <v>2381</v>
      </c>
      <c r="C25" s="1358">
        <f ca="1">ROUND(IF('数据-取费表'!B22&lt;=1,C20*F22*'数据-取费表'!B23/2,C20*(POWER((1+F22),'数据-取费表'!B23/2)-1)),0)</f>
        <v>22</v>
      </c>
      <c r="D25" s="282"/>
      <c r="E25" s="285"/>
      <c r="F25" s="283"/>
      <c r="G25" s="286" t="s">
        <v>2382</v>
      </c>
    </row>
    <row r="26" spans="1:7" s="258" customFormat="1">
      <c r="A26" s="954" t="s">
        <v>795</v>
      </c>
      <c r="B26" s="259" t="s">
        <v>2383</v>
      </c>
      <c r="C26" s="282">
        <f ca="1">ROUND(IF('数据-取费表'!B22&lt;=1,F21*F22*'数据-取费表'!B23/2,F21*(POWER((1+F22),'数据-取费表'!B23/2)-1)),4)</f>
        <v>1E-4</v>
      </c>
      <c r="D26" s="282"/>
      <c r="E26" s="285"/>
      <c r="F26" s="283"/>
      <c r="G26" s="287"/>
    </row>
    <row r="27" spans="1:7" s="258" customFormat="1" ht="24.75">
      <c r="A27" s="299" t="s">
        <v>2384</v>
      </c>
      <c r="B27" s="288" t="s">
        <v>2385</v>
      </c>
      <c r="C27" s="289">
        <f ca="1">C28</f>
        <v>7588</v>
      </c>
      <c r="D27" s="279">
        <f ca="1">C29</f>
        <v>8.0000000000000004E-4</v>
      </c>
      <c r="E27" s="280" t="s">
        <v>2386</v>
      </c>
      <c r="F27" s="290">
        <f ca="1">IF(B1="",'数据-取费表'!Q16,INDIRECT("'数据-取费表'!q"&amp;$G$1))</f>
        <v>0.24</v>
      </c>
      <c r="G27" s="291" t="s">
        <v>2387</v>
      </c>
    </row>
    <row r="28" spans="1:7" s="258" customFormat="1" ht="13.5" customHeight="1">
      <c r="A28" s="954" t="s">
        <v>791</v>
      </c>
      <c r="B28" s="292" t="s">
        <v>2388</v>
      </c>
      <c r="C28" s="293">
        <f ca="1">ROUND((C5+C19+C20)*F27*'数据-取费表'!B21/'数据-取费表'!B20,0)</f>
        <v>7588</v>
      </c>
      <c r="D28" s="279"/>
      <c r="E28" s="280"/>
      <c r="F28" s="290"/>
      <c r="G28" s="291"/>
    </row>
    <row r="29" spans="1:7" s="258" customFormat="1" ht="13.5" customHeight="1">
      <c r="A29" s="954" t="s">
        <v>792</v>
      </c>
      <c r="B29" s="292" t="s">
        <v>2389</v>
      </c>
      <c r="C29" s="282">
        <f ca="1">ROUND(C21*F27*'数据-取费表'!B21/'数据-取费表'!B20,4)</f>
        <v>8.0000000000000004E-4</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111818</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2912</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2587</v>
      </c>
      <c r="D34" s="261"/>
      <c r="E34" s="264"/>
      <c r="F34" s="301">
        <f ca="1">IF('数据-取费表'!B24=0,1,IF(B1="",'数据-取费表'!N16,INDIRECT("'数据-取费表'!n"&amp;$G$1)))</f>
        <v>0.3</v>
      </c>
      <c r="G34" s="263" t="s">
        <v>2398</v>
      </c>
    </row>
    <row r="35" spans="1:7" ht="13.5" customHeight="1">
      <c r="A35" s="954" t="s">
        <v>796</v>
      </c>
      <c r="B35" s="259" t="s">
        <v>2399</v>
      </c>
      <c r="C35" s="264">
        <f ca="1">ROUND(C34*F35,0)</f>
        <v>78</v>
      </c>
      <c r="D35" s="264"/>
      <c r="E35" s="264"/>
      <c r="F35" s="303">
        <f>'数据-取费表'!B33</f>
        <v>0.03</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77</v>
      </c>
      <c r="D36" s="264"/>
      <c r="E36" s="264"/>
      <c r="F36" s="303">
        <f>'数据-取费表'!B34</f>
        <v>0.03</v>
      </c>
      <c r="G36" s="304" t="s">
        <v>2402</v>
      </c>
    </row>
    <row r="37" spans="1:7" s="302" customFormat="1" ht="13.5" customHeight="1">
      <c r="A37" s="954" t="s">
        <v>798</v>
      </c>
      <c r="B37" s="259" t="s">
        <v>2403</v>
      </c>
      <c r="C37" s="293">
        <f ca="1">ROUND(E37*D37*F34/10000,0)</f>
        <v>131</v>
      </c>
      <c r="D37" s="261">
        <f ca="1">D19</f>
        <v>21855.969999999998</v>
      </c>
      <c r="E37" s="293">
        <f>'数据-取费表'!B35</f>
        <v>200</v>
      </c>
      <c r="F37" s="303"/>
      <c r="G37" s="305" t="s">
        <v>2404</v>
      </c>
    </row>
    <row r="38" spans="1:7" ht="13.5" customHeight="1">
      <c r="A38" s="954" t="s">
        <v>799</v>
      </c>
      <c r="B38" s="259" t="s">
        <v>2405</v>
      </c>
      <c r="C38" s="264">
        <f ca="1">ROUND(C34*F38,0)</f>
        <v>39</v>
      </c>
      <c r="D38" s="264"/>
      <c r="E38" s="264"/>
      <c r="F38" s="303">
        <f>'数据-取费表'!B36</f>
        <v>1.4999999999999999E-2</v>
      </c>
      <c r="G38" s="263" t="s">
        <v>2400</v>
      </c>
    </row>
    <row r="39" spans="1:7" s="258" customFormat="1" ht="13.5" customHeight="1">
      <c r="A39" s="299" t="s">
        <v>2406</v>
      </c>
      <c r="B39" s="254" t="s">
        <v>2407</v>
      </c>
      <c r="C39" s="276">
        <f ca="1">ROUND(C33*F20,0)</f>
        <v>58</v>
      </c>
      <c r="D39" s="276"/>
      <c r="E39" s="276"/>
      <c r="F39" s="277"/>
      <c r="G39" s="278" t="s">
        <v>2408</v>
      </c>
    </row>
    <row r="40" spans="1:7" s="258" customFormat="1" ht="13.5" customHeight="1">
      <c r="A40" s="299" t="s">
        <v>2409</v>
      </c>
      <c r="B40" s="254" t="s">
        <v>2410</v>
      </c>
      <c r="C40" s="1731">
        <f>F21</f>
        <v>0.01</v>
      </c>
      <c r="D40" s="280" t="s">
        <v>2411</v>
      </c>
      <c r="E40" s="276"/>
      <c r="F40" s="277"/>
      <c r="G40" s="278" t="s">
        <v>2412</v>
      </c>
    </row>
    <row r="41" spans="1:7" s="258" customFormat="1" ht="13.5" customHeight="1">
      <c r="A41" s="299" t="s">
        <v>2413</v>
      </c>
      <c r="B41" s="254" t="s">
        <v>2414</v>
      </c>
      <c r="C41" s="276">
        <f ca="1">ROUND(SUM(C42:C43),0)</f>
        <v>35</v>
      </c>
      <c r="D41" s="279">
        <f ca="1">C44</f>
        <v>1E-4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ROUND(IF('数据-取费表'!B22&lt;=1,C33*F22*'数据-取费表'!B21/2,C33*(POWER((1+F22),'数据-取费表'!B21/2)-1)),0)</f>
        <v>34</v>
      </c>
      <c r="D42" s="282"/>
      <c r="E42" s="282"/>
      <c r="F42" s="283"/>
      <c r="G42" s="3540" t="s">
        <v>2416</v>
      </c>
    </row>
    <row r="43" spans="1:7" ht="13.5" customHeight="1">
      <c r="A43" s="954" t="s">
        <v>792</v>
      </c>
      <c r="B43" s="259" t="s">
        <v>2417</v>
      </c>
      <c r="C43" s="282">
        <f ca="1">ROUND(IF('数据-取费表'!B22&lt;=1,C39*F22*'数据-取费表'!B21/2,C39*(POWER((1+F22),'数据-取费表'!B21/2)-1)),0)</f>
        <v>1</v>
      </c>
      <c r="D43" s="282"/>
      <c r="E43" s="282"/>
      <c r="F43" s="283"/>
      <c r="G43" s="3541"/>
    </row>
    <row r="44" spans="1:7" ht="13.5" customHeight="1">
      <c r="A44" s="954" t="s">
        <v>793</v>
      </c>
      <c r="B44" s="259" t="s">
        <v>2418</v>
      </c>
      <c r="C44" s="282">
        <f ca="1">ROUND(IF('数据-取费表'!B22&lt;=1,C40*F22*'数据-取费表'!B21/2,C40*(POWER((1+F22),'数据-取费表'!B21/2)-1)),4)</f>
        <v>1E-4</v>
      </c>
      <c r="D44" s="282"/>
      <c r="E44" s="282"/>
      <c r="F44" s="283"/>
      <c r="G44" s="3542"/>
    </row>
    <row r="45" spans="1:7" s="258" customFormat="1" ht="13.5" customHeight="1">
      <c r="A45" s="299" t="s">
        <v>2419</v>
      </c>
      <c r="B45" s="288" t="s">
        <v>2385</v>
      </c>
      <c r="C45" s="289">
        <f ca="1">C46</f>
        <v>713</v>
      </c>
      <c r="D45" s="279">
        <f ca="1">C47</f>
        <v>2.3999999999999998E-3</v>
      </c>
      <c r="E45" s="280" t="s">
        <v>2411</v>
      </c>
      <c r="F45" s="290"/>
      <c r="G45" s="291" t="s">
        <v>2420</v>
      </c>
    </row>
    <row r="46" spans="1:7" s="258" customFormat="1" ht="13.5" customHeight="1">
      <c r="A46" s="954" t="s">
        <v>791</v>
      </c>
      <c r="B46" s="292" t="s">
        <v>2421</v>
      </c>
      <c r="C46" s="293">
        <f ca="1">ROUND((C33+C39)*F27,0)</f>
        <v>713</v>
      </c>
      <c r="D46" s="307"/>
      <c r="E46" s="280"/>
      <c r="F46" s="290"/>
      <c r="G46" s="291"/>
    </row>
    <row r="47" spans="1:7" s="258" customFormat="1" ht="13.5" customHeight="1">
      <c r="A47" s="954" t="s">
        <v>792</v>
      </c>
      <c r="B47" s="292" t="s">
        <v>2422</v>
      </c>
      <c r="C47" s="282">
        <f ca="1">ROUND(C40*F27,4)</f>
        <v>2.3999999999999998E-3</v>
      </c>
      <c r="D47" s="307"/>
      <c r="E47" s="280"/>
      <c r="F47" s="290"/>
      <c r="G47" s="291"/>
    </row>
    <row r="48" spans="1:7" s="258" customFormat="1" ht="13.5" customHeight="1">
      <c r="A48" s="299" t="s">
        <v>2384</v>
      </c>
      <c r="B48" s="254" t="s">
        <v>2423</v>
      </c>
      <c r="C48" s="1731">
        <f>ROUND(F30/(1+'数据-取费表'!C42),4)</f>
        <v>5.33E-2</v>
      </c>
      <c r="D48" s="280" t="s">
        <v>2411</v>
      </c>
      <c r="E48" s="276"/>
      <c r="F48" s="281"/>
      <c r="G48" s="278" t="s">
        <v>2424</v>
      </c>
    </row>
    <row r="49" spans="1:7" ht="16.5" customHeight="1">
      <c r="A49" s="299" t="s">
        <v>2390</v>
      </c>
      <c r="B49" s="254" t="s">
        <v>2425</v>
      </c>
      <c r="C49" s="276">
        <f ca="1">ROUND((C33+C39+C41+C45)/(1-C40-D41-D45-C48),0)</f>
        <v>3980</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3980</v>
      </c>
      <c r="D51" s="276"/>
      <c r="E51" s="276"/>
      <c r="F51" s="308"/>
      <c r="G51" s="278" t="s">
        <v>2432</v>
      </c>
    </row>
    <row r="52" spans="1:7" s="252" customFormat="1" ht="16.5" thickBot="1">
      <c r="A52" s="309" t="s">
        <v>2433</v>
      </c>
      <c r="B52" s="310"/>
      <c r="C52" s="311">
        <f ca="1">C31+C51</f>
        <v>115798</v>
      </c>
      <c r="D52" s="310"/>
      <c r="E52" s="310"/>
      <c r="F52" s="310"/>
      <c r="G52" s="312"/>
    </row>
    <row r="55" spans="1:7" ht="15">
      <c r="B55" s="314" t="s">
        <v>2434</v>
      </c>
      <c r="C55" s="315"/>
    </row>
    <row r="56" spans="1:7">
      <c r="B56" s="317" t="s">
        <v>1513</v>
      </c>
      <c r="C56" s="319">
        <f ca="1">1-C57</f>
        <v>0.96599999999999997</v>
      </c>
    </row>
    <row r="57" spans="1:7">
      <c r="B57" s="317" t="s">
        <v>1514</v>
      </c>
      <c r="C57" s="318">
        <f ca="1">ROUND(C51/C52,3)</f>
        <v>3.4000000000000002E-2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54" t="str">
        <f>项目基本情况!B1</f>
        <v>北京市出让国有建设用地使用权及在建建筑物房地产抵押价值预评估</v>
      </c>
      <c r="C37" s="3354"/>
      <c r="D37" s="3354"/>
      <c r="E37" s="3354"/>
      <c r="F37" s="3354"/>
      <c r="G37" s="3354"/>
      <c r="H37" s="3354"/>
      <c r="I37" s="335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40"/>
      <c r="C1" s="2560" t="s">
        <v>2435</v>
      </c>
      <c r="D1" s="242"/>
      <c r="E1" s="242"/>
      <c r="F1" s="242"/>
      <c r="G1" s="1382">
        <f>MATCH(B1,'数据-取费表'!A6:A16,0)+5</f>
        <v>8</v>
      </c>
      <c r="H1" s="1285" t="str">
        <f>IF(ISERROR(FIND("住宅",B1)),"非住宅","住宅")</f>
        <v>非住宅</v>
      </c>
    </row>
    <row r="2" spans="1:8" s="244" customFormat="1" ht="18" customHeight="1">
      <c r="A2" s="245" t="s">
        <v>2334</v>
      </c>
      <c r="B2" s="246">
        <f ca="1">ROUND(IF(D2="——",C52/10000,C52/10000-E2),0)</f>
        <v>14649</v>
      </c>
      <c r="C2" s="243" t="s">
        <v>2335</v>
      </c>
      <c r="D2" s="2554" t="s">
        <v>70</v>
      </c>
      <c r="E2" s="1443" t="e">
        <f ca="1">SUMIF(INDIRECT("'"&amp;G2&amp;"'"&amp;"!A:A"),"承租人权益价值",INDIRECT("'"&amp;G2&amp;"'"&amp;"!c:c"))</f>
        <v>#REF!</v>
      </c>
      <c r="F2" s="2555" t="s">
        <v>2335</v>
      </c>
      <c r="G2" s="2556"/>
    </row>
    <row r="3" spans="1:8" s="244" customFormat="1" ht="18" customHeight="1" thickBot="1">
      <c r="A3" s="247" t="s">
        <v>2336</v>
      </c>
      <c r="B3" s="248">
        <f ca="1">ROUND(B2*10000/(IF(B1="",'数据-汇总表'!E3,INDIRECT("'数据-取费表'!k"&amp;$G$1))),0)</f>
        <v>6703</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3520606</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3520606</v>
      </c>
      <c r="D8" s="266"/>
      <c r="E8" s="264"/>
      <c r="F8" s="265"/>
      <c r="G8" s="2557"/>
    </row>
    <row r="9" spans="1:8" s="258" customFormat="1" ht="13.5" customHeight="1">
      <c r="A9" s="953" t="s">
        <v>800</v>
      </c>
      <c r="B9" s="268" t="s">
        <v>2350</v>
      </c>
      <c r="C9" s="269">
        <f ca="1">ROUND(D9*E9,0)</f>
        <v>3402354</v>
      </c>
      <c r="D9" s="1035">
        <f ca="1">IF(B1="",'数据-汇总表'!E5,IF(INDIRECT("'数据-取费表'!c"&amp;$G$1)="住宅",INDIRECT("'数据-取费表'!k"&amp;$G$1),0))</f>
        <v>21264.71</v>
      </c>
      <c r="E9" s="269">
        <f>'数据-取费表'!B27</f>
        <v>160</v>
      </c>
      <c r="F9" s="265"/>
      <c r="G9" s="270"/>
    </row>
    <row r="10" spans="1:8" s="258" customFormat="1" ht="13.5" customHeight="1">
      <c r="A10" s="953" t="s">
        <v>801</v>
      </c>
      <c r="B10" s="268" t="s">
        <v>2352</v>
      </c>
      <c r="C10" s="269">
        <f ca="1">ROUND(D10*E10,0)</f>
        <v>118252</v>
      </c>
      <c r="D10" s="1035">
        <f ca="1">IF(B1="",'数据-汇总表'!E6,IF(INDIRECT("'数据-取费表'!c"&amp;$G$1)="住宅",INDIRECT("'数据-取费表'!s"&amp;$G$1),INDIRECT("'数据-取费表'!k"&amp;$G$1)+INDIRECT("'数据-取费表'!s"&amp;$G$1)))</f>
        <v>591.2599999999984</v>
      </c>
      <c r="E10" s="269">
        <f>'数据-取费表'!B28</f>
        <v>200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4371194</v>
      </c>
      <c r="D19" s="1039">
        <f ca="1">D9+D10</f>
        <v>21855.969999999998</v>
      </c>
      <c r="E19" s="255">
        <f>'数据-取费表'!B31</f>
        <v>200</v>
      </c>
      <c r="F19" s="275"/>
      <c r="G19" s="2557"/>
    </row>
    <row r="20" spans="1:7" s="258" customFormat="1" ht="13.5" customHeight="1">
      <c r="A20" s="299" t="s">
        <v>2446</v>
      </c>
      <c r="B20" s="254" t="s">
        <v>2447</v>
      </c>
      <c r="C20" s="276">
        <f ca="1">ROUND((C5+C19)*F20,0)</f>
        <v>157836</v>
      </c>
      <c r="D20" s="276"/>
      <c r="E20" s="276"/>
      <c r="F20" s="277">
        <f>'数据-取费表'!B37</f>
        <v>0.02</v>
      </c>
      <c r="G20" s="278" t="s">
        <v>2448</v>
      </c>
    </row>
    <row r="21" spans="1:7" s="258" customFormat="1" ht="13.5" customHeight="1">
      <c r="A21" s="299" t="s">
        <v>2449</v>
      </c>
      <c r="B21" s="254" t="s">
        <v>2450</v>
      </c>
      <c r="C21" s="279">
        <f>F21</f>
        <v>0.01</v>
      </c>
      <c r="D21" s="280" t="s">
        <v>2451</v>
      </c>
      <c r="E21" s="276"/>
      <c r="F21" s="277">
        <f>'数据-取费表'!B38</f>
        <v>0.01</v>
      </c>
      <c r="G21" s="278" t="s">
        <v>2452</v>
      </c>
    </row>
    <row r="22" spans="1:7" s="258" customFormat="1" ht="13.5" customHeight="1">
      <c r="A22" s="299" t="s">
        <v>2453</v>
      </c>
      <c r="B22" s="254" t="s">
        <v>2454</v>
      </c>
      <c r="C22" s="1383">
        <f ca="1">ROUND(SUM(C23:C25),0)</f>
        <v>574506</v>
      </c>
      <c r="D22" s="279">
        <f ca="1">C26</f>
        <v>4.0000000000000002E-4</v>
      </c>
      <c r="E22" s="280" t="s">
        <v>2451</v>
      </c>
      <c r="F22" s="281">
        <f ca="1">'数据-取费表'!B40</f>
        <v>4.7500000000000001E-2</v>
      </c>
      <c r="G22" s="278" t="str">
        <f>IF('数据-取费表'!B22&lt;=1,"单利计息","复利计息")</f>
        <v>复利计息</v>
      </c>
    </row>
    <row r="23" spans="1:7" s="258" customFormat="1" ht="13.5" customHeight="1">
      <c r="A23" s="954" t="s">
        <v>2344</v>
      </c>
      <c r="B23" s="259" t="s">
        <v>2455</v>
      </c>
      <c r="C23" s="1384">
        <f ca="1">ROUND(IF('数据-取费表'!B22&lt;=1,C5*F22*'数据-取费表'!B22,C5*(POWER((1+F22),'数据-取费表'!B22)-1)),0)</f>
        <v>253799</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315117</v>
      </c>
      <c r="D24" s="282"/>
      <c r="E24" s="282"/>
      <c r="F24" s="283"/>
      <c r="G24" s="284" t="s">
        <v>2458</v>
      </c>
    </row>
    <row r="25" spans="1:7" s="258" customFormat="1" ht="24">
      <c r="A25" s="954" t="s">
        <v>2348</v>
      </c>
      <c r="B25" s="259" t="s">
        <v>2459</v>
      </c>
      <c r="C25" s="1384">
        <f ca="1">ROUND(IF('数据-取费表'!B22&lt;=1,C20*F22*'数据-取费表'!B22/2,C20*(POWER((1+F22),'数据-取费表'!B22/2)-1)),0)</f>
        <v>5590</v>
      </c>
      <c r="D25" s="282"/>
      <c r="E25" s="285"/>
      <c r="F25" s="283"/>
      <c r="G25" s="286" t="s">
        <v>2460</v>
      </c>
    </row>
    <row r="26" spans="1:7" s="258" customFormat="1">
      <c r="A26" s="954" t="s">
        <v>795</v>
      </c>
      <c r="B26" s="259" t="s">
        <v>2383</v>
      </c>
      <c r="C26" s="282">
        <f ca="1">ROUND(IF('数据-取费表'!B22&lt;=1,F21*F22*'数据-取费表'!B22/2,F21*(POWER((1+F22),'数据-取费表'!B22/2)-1)),4)</f>
        <v>4.0000000000000002E-4</v>
      </c>
      <c r="D26" s="282"/>
      <c r="E26" s="285"/>
      <c r="F26" s="283"/>
      <c r="G26" s="287"/>
    </row>
    <row r="27" spans="1:7" s="258" customFormat="1" ht="24.75">
      <c r="A27" s="299" t="s">
        <v>2384</v>
      </c>
      <c r="B27" s="288" t="s">
        <v>2385</v>
      </c>
      <c r="C27" s="289">
        <f ca="1">C28</f>
        <v>1931913</v>
      </c>
      <c r="D27" s="279">
        <f ca="1">C29</f>
        <v>2.3999999999999998E-3</v>
      </c>
      <c r="E27" s="280" t="s">
        <v>2386</v>
      </c>
      <c r="F27" s="290">
        <f ca="1">IF(B1="",'数据-取费表'!Q16,INDIRECT("'数据-取费表'!q"&amp;$G$1))</f>
        <v>0.24</v>
      </c>
      <c r="G27" s="291" t="s">
        <v>2387</v>
      </c>
    </row>
    <row r="28" spans="1:7" s="258" customFormat="1" ht="13.5" customHeight="1">
      <c r="A28" s="954" t="s">
        <v>791</v>
      </c>
      <c r="B28" s="292" t="s">
        <v>2388</v>
      </c>
      <c r="C28" s="293">
        <f ca="1">ROUND((C5+C19+C20)*F27,0)</f>
        <v>1931913</v>
      </c>
      <c r="D28" s="279"/>
      <c r="E28" s="280"/>
      <c r="F28" s="290"/>
      <c r="G28" s="291"/>
    </row>
    <row r="29" spans="1:7" s="258" customFormat="1" ht="13.5" customHeight="1">
      <c r="A29" s="954" t="s">
        <v>792</v>
      </c>
      <c r="B29" s="292" t="s">
        <v>2389</v>
      </c>
      <c r="C29" s="282">
        <f ca="1">ROUND(C21*F27,4)</f>
        <v>2.3999999999999998E-3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11303196</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97045180</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86241360</v>
      </c>
      <c r="D34" s="261"/>
      <c r="E34" s="264"/>
      <c r="F34" s="301"/>
      <c r="G34" s="263"/>
    </row>
    <row r="35" spans="1:7" ht="13.5" customHeight="1">
      <c r="A35" s="954" t="s">
        <v>796</v>
      </c>
      <c r="B35" s="259" t="s">
        <v>2399</v>
      </c>
      <c r="C35" s="264">
        <f ca="1">ROUND(C34*F35,0)</f>
        <v>2587241</v>
      </c>
      <c r="D35" s="264"/>
      <c r="E35" s="264"/>
      <c r="F35" s="303">
        <f>'数据-取费表'!B33</f>
        <v>0.03</v>
      </c>
      <c r="G35" s="263" t="s">
        <v>2400</v>
      </c>
    </row>
    <row r="36" spans="1:7" ht="24">
      <c r="A36" s="954" t="s">
        <v>797</v>
      </c>
      <c r="B36" s="259" t="s">
        <v>2401</v>
      </c>
      <c r="C36" s="264">
        <f ca="1">ROUND(IF(B1="",SUM('数据-取费表'!AP6:AP13)*F36,IF(INDIRECT("'数据-取费表'!c"&amp;$G$1)="住宅",INDIRECT("'数据-取费表'!k"&amp;$G$1)*INDIRECT("'数据-取费表'!l"&amp;$G$1)*F36,0)),0)</f>
        <v>2551765</v>
      </c>
      <c r="D36" s="264"/>
      <c r="E36" s="264"/>
      <c r="F36" s="303">
        <f>'数据-取费表'!B34</f>
        <v>0.03</v>
      </c>
      <c r="G36" s="304" t="s">
        <v>2402</v>
      </c>
    </row>
    <row r="37" spans="1:7" s="302" customFormat="1" ht="13.5" customHeight="1">
      <c r="A37" s="954" t="s">
        <v>798</v>
      </c>
      <c r="B37" s="259" t="s">
        <v>2403</v>
      </c>
      <c r="C37" s="293">
        <f ca="1">ROUND(E37*D37,0)</f>
        <v>4371194</v>
      </c>
      <c r="D37" s="261">
        <f ca="1">D19</f>
        <v>21855.969999999998</v>
      </c>
      <c r="E37" s="293">
        <f>'数据-取费表'!B35</f>
        <v>200</v>
      </c>
      <c r="F37" s="303"/>
      <c r="G37" s="305"/>
    </row>
    <row r="38" spans="1:7" ht="13.5" customHeight="1">
      <c r="A38" s="954" t="s">
        <v>799</v>
      </c>
      <c r="B38" s="259" t="s">
        <v>2405</v>
      </c>
      <c r="C38" s="264">
        <f ca="1">ROUND(C34*F38,0)</f>
        <v>1293620</v>
      </c>
      <c r="D38" s="264"/>
      <c r="E38" s="264"/>
      <c r="F38" s="303">
        <f>'数据-取费表'!B36</f>
        <v>1.4999999999999999E-2</v>
      </c>
      <c r="G38" s="263" t="s">
        <v>2400</v>
      </c>
    </row>
    <row r="39" spans="1:7" s="258" customFormat="1" ht="13.5" customHeight="1">
      <c r="A39" s="299" t="s">
        <v>2406</v>
      </c>
      <c r="B39" s="254" t="s">
        <v>2407</v>
      </c>
      <c r="C39" s="276">
        <f ca="1">ROUND(C33*F20,0)</f>
        <v>1940904</v>
      </c>
      <c r="D39" s="276"/>
      <c r="E39" s="276"/>
      <c r="F39" s="277"/>
      <c r="G39" s="278" t="s">
        <v>2408</v>
      </c>
    </row>
    <row r="40" spans="1:7" s="258" customFormat="1" ht="13.5" customHeight="1">
      <c r="A40" s="299" t="s">
        <v>2409</v>
      </c>
      <c r="B40" s="254" t="s">
        <v>2410</v>
      </c>
      <c r="C40" s="1731">
        <f>F21</f>
        <v>0.01</v>
      </c>
      <c r="D40" s="280" t="s">
        <v>2411</v>
      </c>
      <c r="E40" s="276"/>
      <c r="F40" s="277"/>
      <c r="G40" s="278" t="s">
        <v>2412</v>
      </c>
    </row>
    <row r="41" spans="1:7" s="258" customFormat="1" ht="13.5" customHeight="1">
      <c r="A41" s="299" t="s">
        <v>2413</v>
      </c>
      <c r="B41" s="254" t="s">
        <v>2414</v>
      </c>
      <c r="C41" s="276">
        <f ca="1">ROUND(SUM(C42:C43),0)</f>
        <v>3505845</v>
      </c>
      <c r="D41" s="279">
        <f ca="1">C44</f>
        <v>4.0000000000000002E-4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ROUND(IF('数据-取费表'!B22&lt;=1,C33*F22*'数据-取费表'!B20/2,C33*(POWER((1+F22),'数据-取费表'!B20/2)-1)),0)</f>
        <v>3437103</v>
      </c>
      <c r="D42" s="282"/>
      <c r="E42" s="282"/>
      <c r="F42" s="283"/>
      <c r="G42" s="3540" t="s">
        <v>2463</v>
      </c>
    </row>
    <row r="43" spans="1:7" ht="13.5" customHeight="1">
      <c r="A43" s="954" t="s">
        <v>792</v>
      </c>
      <c r="B43" s="259" t="s">
        <v>2417</v>
      </c>
      <c r="C43" s="282">
        <f ca="1">ROUND(IF('数据-取费表'!B22&lt;=1,C39*F22*'数据-取费表'!B20/2,C39*(POWER((1+F22),'数据-取费表'!B20/2)-1)),0)</f>
        <v>68742</v>
      </c>
      <c r="D43" s="282"/>
      <c r="E43" s="282"/>
      <c r="F43" s="283"/>
      <c r="G43" s="3541"/>
    </row>
    <row r="44" spans="1:7" ht="13.5" customHeight="1">
      <c r="A44" s="954" t="s">
        <v>793</v>
      </c>
      <c r="B44" s="259" t="s">
        <v>2418</v>
      </c>
      <c r="C44" s="282">
        <f ca="1">ROUND(IF('数据-取费表'!B22&lt;=1,C40*F22*'数据-取费表'!B20/2,C40*(POWER((1+F22),'数据-取费表'!B20/2)-1)),4)</f>
        <v>4.0000000000000002E-4</v>
      </c>
      <c r="D44" s="282"/>
      <c r="E44" s="282"/>
      <c r="F44" s="283"/>
      <c r="G44" s="3542"/>
    </row>
    <row r="45" spans="1:7" s="258" customFormat="1" ht="13.5" customHeight="1">
      <c r="A45" s="299" t="s">
        <v>2419</v>
      </c>
      <c r="B45" s="288" t="s">
        <v>2385</v>
      </c>
      <c r="C45" s="289">
        <f ca="1">C46</f>
        <v>23756660</v>
      </c>
      <c r="D45" s="279">
        <f ca="1">C47</f>
        <v>2.3999999999999998E-3</v>
      </c>
      <c r="E45" s="280" t="s">
        <v>2411</v>
      </c>
      <c r="F45" s="290"/>
      <c r="G45" s="291" t="s">
        <v>2420</v>
      </c>
    </row>
    <row r="46" spans="1:7" s="258" customFormat="1" ht="13.5" customHeight="1">
      <c r="A46" s="954" t="s">
        <v>791</v>
      </c>
      <c r="B46" s="292" t="s">
        <v>2421</v>
      </c>
      <c r="C46" s="293">
        <f ca="1">ROUND((C33+C39)*F27,0)</f>
        <v>23756660</v>
      </c>
      <c r="D46" s="307"/>
      <c r="E46" s="280"/>
      <c r="F46" s="290"/>
      <c r="G46" s="291"/>
    </row>
    <row r="47" spans="1:7" s="258" customFormat="1" ht="13.5" customHeight="1">
      <c r="A47" s="954" t="s">
        <v>792</v>
      </c>
      <c r="B47" s="292" t="s">
        <v>2422</v>
      </c>
      <c r="C47" s="282">
        <f ca="1">ROUND(C40*F27,4)</f>
        <v>2.3999999999999998E-3</v>
      </c>
      <c r="D47" s="307"/>
      <c r="E47" s="280"/>
      <c r="F47" s="290"/>
      <c r="G47" s="291"/>
    </row>
    <row r="48" spans="1:7" s="258" customFormat="1" ht="13.5" customHeight="1">
      <c r="A48" s="299" t="s">
        <v>2384</v>
      </c>
      <c r="B48" s="254" t="s">
        <v>2423</v>
      </c>
      <c r="C48" s="306">
        <f>ROUND(F30/(1+'数据-取费表'!C42),4)</f>
        <v>5.33E-2</v>
      </c>
      <c r="D48" s="280" t="s">
        <v>2411</v>
      </c>
      <c r="E48" s="276"/>
      <c r="F48" s="281"/>
      <c r="G48" s="278" t="s">
        <v>2424</v>
      </c>
    </row>
    <row r="49" spans="1:7" ht="16.5" customHeight="1">
      <c r="A49" s="299" t="s">
        <v>2390</v>
      </c>
      <c r="B49" s="254" t="s">
        <v>2464</v>
      </c>
      <c r="C49" s="276">
        <f ca="1">ROUND((C33+C39+C41+C45)/(1-C40-D41-D45-C48),0)</f>
        <v>135184269</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135184269</v>
      </c>
      <c r="D51" s="276"/>
      <c r="E51" s="276"/>
      <c r="F51" s="308"/>
      <c r="G51" s="278" t="s">
        <v>2432</v>
      </c>
    </row>
    <row r="52" spans="1:7" s="252" customFormat="1" ht="16.5" thickBot="1">
      <c r="A52" s="309" t="s">
        <v>2433</v>
      </c>
      <c r="B52" s="310"/>
      <c r="C52" s="311">
        <f ca="1">C31+C51</f>
        <v>146487465</v>
      </c>
      <c r="D52" s="310"/>
      <c r="E52" s="310"/>
      <c r="F52" s="310"/>
      <c r="G52" s="312"/>
    </row>
    <row r="55" spans="1:7" ht="15">
      <c r="B55" s="314" t="s">
        <v>2434</v>
      </c>
      <c r="C55" s="315"/>
    </row>
    <row r="56" spans="1:7">
      <c r="B56" s="317" t="s">
        <v>1513</v>
      </c>
      <c r="C56" s="319">
        <f ca="1">1-C57</f>
        <v>7.6999999999999957E-2</v>
      </c>
    </row>
    <row r="57" spans="1:7">
      <c r="B57" s="317" t="s">
        <v>1514</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C12" sqref="C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f>F66</f>
        <v>89810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f>ROUND(IF(D3="",B2*10000/'数据-汇总表'!E3,B2*10000/D3),0)</f>
        <v>41092</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8" t="s">
        <v>2652</v>
      </c>
      <c r="AC4" s="3557" t="s">
        <v>2653</v>
      </c>
    </row>
    <row r="5" spans="1:30" ht="15">
      <c r="A5" s="404"/>
      <c r="B5" s="405"/>
      <c r="C5" s="3577" t="s">
        <v>2546</v>
      </c>
      <c r="D5" s="3578"/>
      <c r="E5" s="3584" t="str">
        <f>土地案例!A4</f>
        <v>北京市丰台区城乡一体化槐房村和新宫村旧村改造项目二期(第七宗)NY-001等地块R2二类居住用地、A33基础教育用地</v>
      </c>
      <c r="F5" s="3585"/>
      <c r="G5" s="3577" t="str">
        <f>土地案例!A6</f>
        <v>丰台区西铁营村0501-634等地块F1住宅混合公建用地、B4综合性商业金融服务业用地、A33基础教育用地</v>
      </c>
      <c r="H5" s="3578"/>
      <c r="I5" s="3577" t="str">
        <f>土地案例!A22</f>
        <v>北京市顺义区后沙峪镇21-18-001e地块R2二类居住用地、21-18-002地块A33基础教育用地</v>
      </c>
      <c r="J5" s="3578"/>
      <c r="K5" s="610"/>
      <c r="L5" s="1133"/>
      <c r="M5" s="1134"/>
      <c r="N5" s="1134"/>
      <c r="O5" s="1134"/>
      <c r="P5" s="3565"/>
      <c r="Q5" s="3566"/>
      <c r="R5" s="3571"/>
      <c r="S5" s="3572"/>
      <c r="T5" s="3571"/>
      <c r="U5" s="3572"/>
      <c r="V5" s="3556"/>
      <c r="W5" s="3556"/>
      <c r="X5" s="1816"/>
      <c r="Y5" s="3571"/>
      <c r="Z5" s="3572"/>
      <c r="AA5" s="3558"/>
      <c r="AB5" s="3558"/>
      <c r="AC5" s="3558"/>
    </row>
    <row r="6" spans="1:30" ht="15.75" thickBot="1">
      <c r="A6" s="406"/>
      <c r="B6" s="407"/>
      <c r="C6" s="3575" t="s">
        <v>2550</v>
      </c>
      <c r="D6" s="3576"/>
      <c r="E6" s="3582" t="s">
        <v>2550</v>
      </c>
      <c r="F6" s="3583"/>
      <c r="G6" s="3575" t="s">
        <v>2550</v>
      </c>
      <c r="H6" s="3576"/>
      <c r="I6" s="3575" t="s">
        <v>2550</v>
      </c>
      <c r="J6" s="3576"/>
      <c r="K6" s="610" t="s">
        <v>2551</v>
      </c>
      <c r="L6" s="1133"/>
      <c r="M6" s="1134"/>
      <c r="N6" s="1134"/>
      <c r="O6" s="1134"/>
      <c r="P6" s="3567"/>
      <c r="Q6" s="3568"/>
      <c r="R6" s="3571"/>
      <c r="S6" s="3572"/>
      <c r="T6" s="3573"/>
      <c r="U6" s="3574"/>
      <c r="V6" s="3556"/>
      <c r="W6" s="3556"/>
      <c r="X6" s="1816"/>
      <c r="Y6" s="3573"/>
      <c r="Z6" s="3574"/>
      <c r="AA6" s="3559"/>
      <c r="AB6" s="3559"/>
      <c r="AC6" s="3559"/>
    </row>
    <row r="7" spans="1:30" s="117" customFormat="1" ht="15.75" thickBot="1">
      <c r="A7" s="408" t="s">
        <v>2552</v>
      </c>
      <c r="B7" s="409"/>
      <c r="C7" s="410">
        <f>'数据-取费表'!B2</f>
        <v>43373</v>
      </c>
      <c r="D7" s="411">
        <v>100</v>
      </c>
      <c r="E7" s="412" t="str">
        <f>土地案例!H4</f>
        <v>2018-01-04</v>
      </c>
      <c r="F7" s="413">
        <f>SUMIF(70:70,YEAR(E7)&amp;"-"&amp;INT((MONTH(E7)+2)/3),71:71)</f>
        <v>98</v>
      </c>
      <c r="G7" s="2703" t="str">
        <f>土地案例!H6</f>
        <v>2017-07-18</v>
      </c>
      <c r="H7" s="411">
        <f>SUMIF(70:70,YEAR(G7)&amp;"-"&amp;INT((MONTH(G7)+2)/3),71:71)</f>
        <v>96</v>
      </c>
      <c r="I7" s="2703" t="str">
        <f>土地案例!H22</f>
        <v>2018-06-22</v>
      </c>
      <c r="J7" s="411">
        <f>SUMIF(70:70,YEAR(I7)&amp;"-"&amp;INT((MONTH(I7)+2)/3),71:71)</f>
        <v>99</v>
      </c>
      <c r="K7" s="611"/>
      <c r="L7" s="1135"/>
      <c r="M7" s="1136"/>
      <c r="N7" s="1136"/>
      <c r="O7" s="1136"/>
      <c r="P7" s="3579" t="s">
        <v>2553</v>
      </c>
      <c r="Q7" s="3581"/>
      <c r="R7" s="770" t="s">
        <v>17</v>
      </c>
      <c r="S7" s="771">
        <f t="shared" ref="S7:S15" si="0">F7</f>
        <v>98</v>
      </c>
      <c r="T7" s="770" t="s">
        <v>17</v>
      </c>
      <c r="U7" s="771">
        <f t="shared" ref="U7:U15" si="1">H7</f>
        <v>96</v>
      </c>
      <c r="V7" s="770" t="s">
        <v>17</v>
      </c>
      <c r="W7" s="771">
        <f t="shared" ref="W7:W15" si="2">J7</f>
        <v>99</v>
      </c>
      <c r="X7" s="772"/>
      <c r="Y7" s="3579" t="s">
        <v>2553</v>
      </c>
      <c r="Z7" s="3580"/>
      <c r="AA7" s="773">
        <f>D7/F7</f>
        <v>1.0204081632653061</v>
      </c>
      <c r="AB7" s="773">
        <f>D7/H7</f>
        <v>1.0416666666666667</v>
      </c>
      <c r="AC7" s="773">
        <f>D7/J7</f>
        <v>1.0101010101010102</v>
      </c>
    </row>
    <row r="8" spans="1:30" s="117" customFormat="1" ht="15.75" thickBot="1">
      <c r="A8" s="408" t="s">
        <v>2554</v>
      </c>
      <c r="B8" s="409"/>
      <c r="C8" s="414" t="s">
        <v>2555</v>
      </c>
      <c r="D8" s="411">
        <v>100</v>
      </c>
      <c r="E8" s="414" t="s">
        <v>3421</v>
      </c>
      <c r="F8" s="413">
        <f>SUMIF(73:73,E8,74:74)-SUMIF(73:73,C8,74:74)+100</f>
        <v>100</v>
      </c>
      <c r="G8" s="414" t="s">
        <v>3421</v>
      </c>
      <c r="H8" s="411">
        <f>SUMIF(73:73,G8,74:74)-SUMIF(73:73,C8,74:74)+100</f>
        <v>100</v>
      </c>
      <c r="I8" s="414" t="s">
        <v>3421</v>
      </c>
      <c r="J8" s="411">
        <f>SUMIF(73:73,I8,74:74)-SUMIF(73:73,C8,74:74)+100</f>
        <v>100</v>
      </c>
      <c r="K8" s="611"/>
      <c r="L8" s="1135"/>
      <c r="M8" s="1136"/>
      <c r="N8" s="1136"/>
      <c r="O8" s="1136"/>
      <c r="P8" s="3579" t="s">
        <v>2556</v>
      </c>
      <c r="Q8" s="3580"/>
      <c r="R8" s="770" t="s">
        <v>17</v>
      </c>
      <c r="S8" s="771">
        <f t="shared" si="0"/>
        <v>100</v>
      </c>
      <c r="T8" s="770" t="s">
        <v>17</v>
      </c>
      <c r="U8" s="771">
        <f t="shared" si="1"/>
        <v>100</v>
      </c>
      <c r="V8" s="770" t="s">
        <v>17</v>
      </c>
      <c r="W8" s="771">
        <f t="shared" si="2"/>
        <v>100</v>
      </c>
      <c r="X8" s="772"/>
      <c r="Y8" s="3579" t="s">
        <v>2556</v>
      </c>
      <c r="Z8" s="3580"/>
      <c r="AA8" s="773">
        <f t="shared" ref="AA8:AA45" si="3">D8/F8</f>
        <v>1</v>
      </c>
      <c r="AB8" s="773">
        <f t="shared" ref="AB8:AB45" si="4">D8/H8</f>
        <v>1</v>
      </c>
      <c r="AC8" s="773">
        <f t="shared" ref="AC8:AC45" si="5">D8/J8</f>
        <v>1</v>
      </c>
    </row>
    <row r="9" spans="1:30" s="117" customFormat="1">
      <c r="A9" s="415" t="s">
        <v>2557</v>
      </c>
      <c r="B9" s="71" t="s">
        <v>2558</v>
      </c>
      <c r="C9" s="2706" t="s">
        <v>3422</v>
      </c>
      <c r="D9" s="135">
        <v>100</v>
      </c>
      <c r="E9" s="2706" t="s">
        <v>3422</v>
      </c>
      <c r="F9" s="135">
        <f>SUMIF(75:75,E9,76:76)-SUMIF(75:75,C9,76:76)+100</f>
        <v>100</v>
      </c>
      <c r="G9" s="2706" t="s">
        <v>3422</v>
      </c>
      <c r="H9" s="135">
        <f>SUMIF(75:75,G9,76:76)-SUMIF(75:75,C9,76:76)+100</f>
        <v>100</v>
      </c>
      <c r="I9" s="2706" t="s">
        <v>3422</v>
      </c>
      <c r="J9" s="135">
        <f>SUMIF(75:75,I9,76:76)-SUMIF(75:75,C9,76:76)+100</f>
        <v>100</v>
      </c>
      <c r="K9" s="611"/>
      <c r="L9" s="1135"/>
      <c r="M9" s="1136"/>
      <c r="N9" s="1136"/>
      <c r="O9" s="1137"/>
      <c r="P9" s="3550"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550"/>
      <c r="Q10" s="1798" t="str">
        <f t="shared" si="6"/>
        <v>土地使用年限（年）</v>
      </c>
      <c r="R10" s="770" t="s">
        <v>17</v>
      </c>
      <c r="S10" s="771">
        <f t="shared" si="0"/>
        <v>101</v>
      </c>
      <c r="T10" s="770" t="s">
        <v>17</v>
      </c>
      <c r="U10" s="771">
        <f t="shared" si="1"/>
        <v>101</v>
      </c>
      <c r="V10" s="770" t="s">
        <v>17</v>
      </c>
      <c r="W10" s="771">
        <f t="shared" si="2"/>
        <v>101</v>
      </c>
      <c r="X10" s="772"/>
      <c r="Y10" s="3398"/>
      <c r="Z10" s="55" t="str">
        <f t="shared" si="7"/>
        <v>土地使用年限（年）</v>
      </c>
      <c r="AA10" s="773">
        <f t="shared" si="3"/>
        <v>0.99009900990099009</v>
      </c>
      <c r="AB10" s="773">
        <f t="shared" si="4"/>
        <v>0.99009900990099009</v>
      </c>
      <c r="AC10" s="773">
        <f t="shared" si="5"/>
        <v>0.99009900990099009</v>
      </c>
    </row>
    <row r="11" spans="1:30" ht="15">
      <c r="A11" s="428"/>
      <c r="B11" s="422" t="s">
        <v>2562</v>
      </c>
      <c r="C11" s="429">
        <v>3</v>
      </c>
      <c r="D11" s="136">
        <v>100</v>
      </c>
      <c r="E11" s="429">
        <v>1.9</v>
      </c>
      <c r="F11" s="136">
        <f>LOOKUP(E11,80:80,81:81)-LOOKUP(C11,80:80,81:81)+100</f>
        <v>106</v>
      </c>
      <c r="G11" s="430">
        <v>3</v>
      </c>
      <c r="H11" s="136">
        <f>LOOKUP(G11,80:80,81:81)-LOOKUP(C11,80:80,81:81)+100</f>
        <v>100</v>
      </c>
      <c r="I11" s="429">
        <v>1.96</v>
      </c>
      <c r="J11" s="136">
        <f>LOOKUP(I11,80:80,81:81)-LOOKUP(C11,80:80,81:81)+100</f>
        <v>106</v>
      </c>
      <c r="K11" s="673">
        <v>3</v>
      </c>
      <c r="L11" s="1141"/>
      <c r="M11" s="1134"/>
      <c r="N11" s="1134"/>
      <c r="O11" s="1142"/>
      <c r="P11" s="3550"/>
      <c r="Q11" s="1798" t="str">
        <f t="shared" si="6"/>
        <v>容积率</v>
      </c>
      <c r="R11" s="770" t="s">
        <v>17</v>
      </c>
      <c r="S11" s="771">
        <f t="shared" si="0"/>
        <v>106</v>
      </c>
      <c r="T11" s="770" t="s">
        <v>17</v>
      </c>
      <c r="U11" s="771">
        <f t="shared" si="1"/>
        <v>100</v>
      </c>
      <c r="V11" s="770" t="s">
        <v>17</v>
      </c>
      <c r="W11" s="771">
        <f t="shared" si="2"/>
        <v>106</v>
      </c>
      <c r="X11" s="772"/>
      <c r="Y11" s="3398"/>
      <c r="Z11" s="55" t="str">
        <f t="shared" si="7"/>
        <v>容积率</v>
      </c>
      <c r="AA11" s="773">
        <f t="shared" si="3"/>
        <v>0.94339622641509435</v>
      </c>
      <c r="AB11" s="773">
        <f t="shared" si="4"/>
        <v>1</v>
      </c>
      <c r="AC11" s="773">
        <f t="shared" si="5"/>
        <v>0.94339622641509435</v>
      </c>
    </row>
    <row r="12" spans="1:30" s="117" customFormat="1" ht="15">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50"/>
      <c r="Q12" s="1798" t="str">
        <f t="shared" si="6"/>
        <v>配建</v>
      </c>
      <c r="R12" s="770" t="s">
        <v>17</v>
      </c>
      <c r="S12" s="771">
        <f t="shared" si="0"/>
        <v>100</v>
      </c>
      <c r="T12" s="770" t="s">
        <v>17</v>
      </c>
      <c r="U12" s="771">
        <f t="shared" si="1"/>
        <v>100</v>
      </c>
      <c r="V12" s="770" t="s">
        <v>17</v>
      </c>
      <c r="W12" s="771">
        <f t="shared" si="2"/>
        <v>100</v>
      </c>
      <c r="X12" s="772"/>
      <c r="Y12" s="339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50"/>
      <c r="Q13" s="1798">
        <f t="shared" si="6"/>
        <v>111</v>
      </c>
      <c r="R13" s="770" t="s">
        <v>17</v>
      </c>
      <c r="S13" s="771">
        <f t="shared" si="0"/>
        <v>100</v>
      </c>
      <c r="T13" s="770" t="s">
        <v>17</v>
      </c>
      <c r="U13" s="771">
        <f t="shared" si="1"/>
        <v>100</v>
      </c>
      <c r="V13" s="770" t="s">
        <v>17</v>
      </c>
      <c r="W13" s="771">
        <f t="shared" si="2"/>
        <v>100</v>
      </c>
      <c r="X13" s="772"/>
      <c r="Y13" s="339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50"/>
      <c r="Q14" s="1798">
        <f t="shared" si="6"/>
        <v>111</v>
      </c>
      <c r="R14" s="770" t="s">
        <v>17</v>
      </c>
      <c r="S14" s="771">
        <f t="shared" si="0"/>
        <v>100</v>
      </c>
      <c r="T14" s="770" t="s">
        <v>17</v>
      </c>
      <c r="U14" s="771">
        <f t="shared" si="1"/>
        <v>100</v>
      </c>
      <c r="V14" s="770" t="s">
        <v>17</v>
      </c>
      <c r="W14" s="771">
        <f t="shared" si="2"/>
        <v>100</v>
      </c>
      <c r="X14" s="772"/>
      <c r="Y14" s="3398"/>
      <c r="Z14" s="55">
        <f t="shared" si="7"/>
        <v>111</v>
      </c>
      <c r="AA14" s="773">
        <f>D14/F14</f>
        <v>1</v>
      </c>
      <c r="AB14" s="773">
        <f>D14/H14</f>
        <v>1</v>
      </c>
      <c r="AC14" s="773">
        <f>D14/J14</f>
        <v>1</v>
      </c>
    </row>
    <row r="15" spans="1:30" ht="99.75">
      <c r="A15" s="440" t="s">
        <v>2563</v>
      </c>
      <c r="B15" s="69" t="s">
        <v>2090</v>
      </c>
      <c r="C15" s="2610" t="str">
        <f>估价对象房地状况!C15</f>
        <v>估价对象周边居住用地比例、居住小区规模和社区发展完善程度，综合评价居住社区成熟度一般</v>
      </c>
      <c r="D15" s="441">
        <v>100</v>
      </c>
      <c r="E15" s="442"/>
      <c r="F15" s="441">
        <f>SUMIF(88:88,E16,89:89)-SUMIF(88:88,C16,89:89)+100</f>
        <v>97</v>
      </c>
      <c r="G15" s="442"/>
      <c r="H15" s="441">
        <f>SUMIF(88:88,G16,89:89)-SUMIF(88:88,C16,89:89)+100</f>
        <v>97</v>
      </c>
      <c r="I15" s="444"/>
      <c r="J15" s="441">
        <f>SUMIF(88:88,I16,89:89)-SUMIF(88:88,C16,89:89)+100</f>
        <v>100</v>
      </c>
      <c r="K15" s="673">
        <v>3</v>
      </c>
      <c r="L15" s="1143"/>
      <c r="M15" s="1134"/>
      <c r="N15" s="1134"/>
      <c r="O15" s="1142"/>
      <c r="P15" s="3552" t="s">
        <v>2564</v>
      </c>
      <c r="Q15" s="1813" t="str">
        <f t="shared" si="6"/>
        <v>居住社区成熟度</v>
      </c>
      <c r="R15" s="774" t="s">
        <v>17</v>
      </c>
      <c r="S15" s="775">
        <f t="shared" si="0"/>
        <v>97</v>
      </c>
      <c r="T15" s="774" t="s">
        <v>17</v>
      </c>
      <c r="U15" s="775">
        <f t="shared" si="1"/>
        <v>97</v>
      </c>
      <c r="V15" s="774" t="s">
        <v>17</v>
      </c>
      <c r="W15" s="775">
        <f t="shared" si="2"/>
        <v>100</v>
      </c>
      <c r="X15" s="1816"/>
      <c r="Y15" s="3552" t="s">
        <v>2564</v>
      </c>
      <c r="Z15" s="1817" t="str">
        <f t="shared" si="7"/>
        <v>居住社区成熟度</v>
      </c>
      <c r="AA15" s="1814">
        <f t="shared" si="3"/>
        <v>1.0309278350515463</v>
      </c>
      <c r="AB15" s="1814">
        <f t="shared" si="4"/>
        <v>1.0309278350515463</v>
      </c>
      <c r="AC15" s="1814">
        <f t="shared" si="5"/>
        <v>1</v>
      </c>
    </row>
    <row r="16" spans="1:30" ht="15">
      <c r="A16" s="428"/>
      <c r="B16" s="446"/>
      <c r="C16" s="2618" t="s">
        <v>3094</v>
      </c>
      <c r="D16" s="448"/>
      <c r="E16" s="2611" t="s">
        <v>3101</v>
      </c>
      <c r="F16" s="448"/>
      <c r="G16" s="2611" t="s">
        <v>3101</v>
      </c>
      <c r="H16" s="450"/>
      <c r="I16" s="2618" t="s">
        <v>3094</v>
      </c>
      <c r="J16" s="448"/>
      <c r="K16" s="672"/>
      <c r="L16" s="1143"/>
      <c r="M16" s="1134"/>
      <c r="N16" s="1134"/>
      <c r="O16" s="1142"/>
      <c r="P16" s="3553"/>
      <c r="Q16" s="1813"/>
      <c r="R16" s="774"/>
      <c r="S16" s="775"/>
      <c r="T16" s="774"/>
      <c r="U16" s="775"/>
      <c r="V16" s="774"/>
      <c r="W16" s="775"/>
      <c r="X16" s="1816"/>
      <c r="Y16" s="3553"/>
      <c r="Z16" s="1817"/>
      <c r="AA16" s="1814">
        <v>1</v>
      </c>
      <c r="AB16" s="1814">
        <v>1</v>
      </c>
      <c r="AC16" s="1814">
        <v>1</v>
      </c>
    </row>
    <row r="17" spans="1:29" ht="71.25">
      <c r="A17" s="428"/>
      <c r="B17" s="451" t="s">
        <v>2657</v>
      </c>
      <c r="C17" s="2671" t="str">
        <f>估价对象房地状况!C16</f>
        <v>估价对象位于XX商圈，周边商业氛围成熟，人流量大，商业繁华度好</v>
      </c>
      <c r="D17" s="450">
        <v>100</v>
      </c>
      <c r="E17" s="452"/>
      <c r="F17" s="450">
        <f>SUMIF(90:90,E18,91:91)-SUMIF(90:90,C18,91:91)+100</f>
        <v>98</v>
      </c>
      <c r="G17" s="452"/>
      <c r="H17" s="455">
        <f>SUMIF(90:90,G18,91:91)-SUMIF(90:90,C18,91:91)+100</f>
        <v>98</v>
      </c>
      <c r="I17" s="454"/>
      <c r="J17" s="455">
        <f>SUMIF(90:90,I18,91:91)-SUMIF(90:90,C18,91:91)+100</f>
        <v>100</v>
      </c>
      <c r="K17" s="673">
        <v>2</v>
      </c>
      <c r="L17" s="1143"/>
      <c r="M17" s="1134"/>
      <c r="N17" s="1134"/>
      <c r="O17" s="1142"/>
      <c r="P17" s="3553"/>
      <c r="Q17" s="1813" t="str">
        <f>B17</f>
        <v>商业繁华度</v>
      </c>
      <c r="R17" s="774" t="s">
        <v>17</v>
      </c>
      <c r="S17" s="775">
        <f>F17</f>
        <v>98</v>
      </c>
      <c r="T17" s="774" t="s">
        <v>17</v>
      </c>
      <c r="U17" s="775">
        <f>H17</f>
        <v>98</v>
      </c>
      <c r="V17" s="774" t="s">
        <v>17</v>
      </c>
      <c r="W17" s="775">
        <f>J17</f>
        <v>100</v>
      </c>
      <c r="X17" s="1816"/>
      <c r="Y17" s="3553"/>
      <c r="Z17" s="1817" t="str">
        <f>Q17</f>
        <v>商业繁华度</v>
      </c>
      <c r="AA17" s="1814">
        <f t="shared" si="3"/>
        <v>1.0204081632653061</v>
      </c>
      <c r="AB17" s="1814">
        <f t="shared" si="4"/>
        <v>1.0204081632653061</v>
      </c>
      <c r="AC17" s="1814">
        <f t="shared" si="5"/>
        <v>1</v>
      </c>
    </row>
    <row r="18" spans="1:29" ht="15">
      <c r="A18" s="428"/>
      <c r="B18" s="456"/>
      <c r="C18" s="2611" t="s">
        <v>3101</v>
      </c>
      <c r="D18" s="450"/>
      <c r="E18" s="2611" t="s">
        <v>3102</v>
      </c>
      <c r="F18" s="450"/>
      <c r="G18" s="2611" t="s">
        <v>3102</v>
      </c>
      <c r="H18" s="448"/>
      <c r="I18" s="2611" t="s">
        <v>3101</v>
      </c>
      <c r="J18" s="448"/>
      <c r="K18" s="672"/>
      <c r="L18" s="1143"/>
      <c r="M18" s="1134"/>
      <c r="N18" s="1134"/>
      <c r="O18" s="1142"/>
      <c r="P18" s="3553"/>
      <c r="Q18" s="1813"/>
      <c r="R18" s="774"/>
      <c r="S18" s="775"/>
      <c r="T18" s="774"/>
      <c r="U18" s="775"/>
      <c r="V18" s="774"/>
      <c r="W18" s="775"/>
      <c r="X18" s="1816"/>
      <c r="Y18" s="3553"/>
      <c r="Z18" s="1817"/>
      <c r="AA18" s="1814">
        <v>1</v>
      </c>
      <c r="AB18" s="1814">
        <v>1</v>
      </c>
      <c r="AC18" s="1814">
        <v>1</v>
      </c>
    </row>
    <row r="19" spans="1:29" ht="71.25">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553"/>
      <c r="Q19" s="1813" t="str">
        <f>B19</f>
        <v>办公集聚程度</v>
      </c>
      <c r="R19" s="774" t="s">
        <v>17</v>
      </c>
      <c r="S19" s="775">
        <f>F19</f>
        <v>100</v>
      </c>
      <c r="T19" s="774" t="s">
        <v>17</v>
      </c>
      <c r="U19" s="775">
        <f>H19</f>
        <v>100</v>
      </c>
      <c r="V19" s="774" t="s">
        <v>17</v>
      </c>
      <c r="W19" s="775">
        <f>J19</f>
        <v>100</v>
      </c>
      <c r="X19" s="1816"/>
      <c r="Y19" s="3553"/>
      <c r="Z19" s="1817" t="str">
        <f>Q19</f>
        <v>办公集聚程度</v>
      </c>
      <c r="AA19" s="1814">
        <f t="shared" si="3"/>
        <v>1</v>
      </c>
      <c r="AB19" s="1814">
        <f t="shared" si="4"/>
        <v>1</v>
      </c>
      <c r="AC19" s="1814">
        <f t="shared" si="5"/>
        <v>1</v>
      </c>
    </row>
    <row r="20" spans="1:29" ht="15">
      <c r="A20" s="428"/>
      <c r="B20" s="456"/>
      <c r="C20" s="447" t="s">
        <v>3102</v>
      </c>
      <c r="D20" s="448"/>
      <c r="E20" s="447" t="s">
        <v>3102</v>
      </c>
      <c r="F20" s="448"/>
      <c r="G20" s="447" t="s">
        <v>3102</v>
      </c>
      <c r="H20" s="448"/>
      <c r="I20" s="447" t="s">
        <v>3102</v>
      </c>
      <c r="J20" s="448"/>
      <c r="K20" s="672"/>
      <c r="L20" s="1143"/>
      <c r="M20" s="1134"/>
      <c r="N20" s="1134"/>
      <c r="O20" s="1142"/>
      <c r="P20" s="3553"/>
      <c r="Q20" s="1813"/>
      <c r="R20" s="774"/>
      <c r="S20" s="775"/>
      <c r="T20" s="774"/>
      <c r="U20" s="775"/>
      <c r="V20" s="774"/>
      <c r="W20" s="775"/>
      <c r="X20" s="1816"/>
      <c r="Y20" s="3553"/>
      <c r="Z20" s="1817"/>
      <c r="AA20" s="1814">
        <v>1</v>
      </c>
      <c r="AB20" s="1814">
        <v>1</v>
      </c>
      <c r="AC20" s="1814">
        <v>1</v>
      </c>
    </row>
    <row r="21" spans="1:29" ht="85.5">
      <c r="A21" s="428"/>
      <c r="B21" s="451" t="s">
        <v>2713</v>
      </c>
      <c r="C21" s="2614"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100</v>
      </c>
      <c r="K21" s="673">
        <v>3</v>
      </c>
      <c r="L21" s="1143"/>
      <c r="M21" s="1134"/>
      <c r="N21" s="1134"/>
      <c r="O21" s="1142"/>
      <c r="P21" s="3553"/>
      <c r="Q21" s="1813" t="str">
        <f>B21</f>
        <v>交通便捷度</v>
      </c>
      <c r="R21" s="774" t="s">
        <v>17</v>
      </c>
      <c r="S21" s="775">
        <f>F21</f>
        <v>97</v>
      </c>
      <c r="T21" s="774" t="s">
        <v>17</v>
      </c>
      <c r="U21" s="775">
        <f>H21</f>
        <v>97</v>
      </c>
      <c r="V21" s="774" t="s">
        <v>17</v>
      </c>
      <c r="W21" s="775">
        <f>J21</f>
        <v>100</v>
      </c>
      <c r="X21" s="1816"/>
      <c r="Y21" s="3553"/>
      <c r="Z21" s="1817" t="str">
        <f>Q21</f>
        <v>交通便捷度</v>
      </c>
      <c r="AA21" s="1814">
        <f t="shared" si="3"/>
        <v>1.0309278350515463</v>
      </c>
      <c r="AB21" s="1814">
        <f t="shared" si="4"/>
        <v>1.0309278350515463</v>
      </c>
      <c r="AC21" s="1814">
        <f t="shared" si="5"/>
        <v>1</v>
      </c>
    </row>
    <row r="22" spans="1:29" ht="15">
      <c r="A22" s="428"/>
      <c r="B22" s="1387"/>
      <c r="C22" s="2618" t="s">
        <v>3094</v>
      </c>
      <c r="D22" s="450"/>
      <c r="E22" s="2612" t="s">
        <v>3101</v>
      </c>
      <c r="F22" s="448"/>
      <c r="G22" s="2612" t="s">
        <v>3101</v>
      </c>
      <c r="H22" s="448"/>
      <c r="I22" s="2618" t="s">
        <v>3094</v>
      </c>
      <c r="J22" s="448"/>
      <c r="K22" s="672"/>
      <c r="L22" s="1143"/>
      <c r="M22" s="1134"/>
      <c r="N22" s="1134"/>
      <c r="O22" s="1142"/>
      <c r="P22" s="3553"/>
      <c r="Q22" s="1813"/>
      <c r="R22" s="774"/>
      <c r="S22" s="775"/>
      <c r="T22" s="774"/>
      <c r="U22" s="775"/>
      <c r="V22" s="774"/>
      <c r="W22" s="775"/>
      <c r="X22" s="1816"/>
      <c r="Y22" s="3553"/>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53"/>
      <c r="Q23" s="1813" t="str">
        <f t="shared" ref="Q23:Q37" si="8">B23</f>
        <v>区域土地利用方向</v>
      </c>
      <c r="R23" s="774" t="s">
        <v>17</v>
      </c>
      <c r="S23" s="775">
        <f>F23</f>
        <v>100</v>
      </c>
      <c r="T23" s="774" t="s">
        <v>17</v>
      </c>
      <c r="U23" s="775">
        <f>H23</f>
        <v>100</v>
      </c>
      <c r="V23" s="774" t="s">
        <v>17</v>
      </c>
      <c r="W23" s="775">
        <f>J23</f>
        <v>100</v>
      </c>
      <c r="X23" s="1816"/>
      <c r="Y23" s="3553"/>
      <c r="Z23" s="1817" t="str">
        <f>Q23</f>
        <v>区域土地利用方向</v>
      </c>
      <c r="AA23" s="1814">
        <f t="shared" si="3"/>
        <v>1</v>
      </c>
      <c r="AB23" s="1814">
        <f t="shared" si="4"/>
        <v>1</v>
      </c>
      <c r="AC23" s="1814">
        <f t="shared" si="5"/>
        <v>1</v>
      </c>
    </row>
    <row r="24" spans="1:29" ht="15">
      <c r="A24" s="404"/>
      <c r="B24" s="456"/>
      <c r="C24" s="2618" t="s">
        <v>3101</v>
      </c>
      <c r="D24" s="448"/>
      <c r="E24" s="2618" t="s">
        <v>3101</v>
      </c>
      <c r="F24" s="448"/>
      <c r="G24" s="2618" t="s">
        <v>3101</v>
      </c>
      <c r="H24" s="448"/>
      <c r="I24" s="2618" t="s">
        <v>3101</v>
      </c>
      <c r="J24" s="448"/>
      <c r="K24" s="812"/>
      <c r="L24" s="1143"/>
      <c r="M24" s="1134"/>
      <c r="N24" s="1134"/>
      <c r="O24" s="1142"/>
      <c r="P24" s="3553"/>
      <c r="Q24" s="1813"/>
      <c r="R24" s="774"/>
      <c r="S24" s="775"/>
      <c r="T24" s="774"/>
      <c r="U24" s="775"/>
      <c r="V24" s="774"/>
      <c r="W24" s="775"/>
      <c r="X24" s="1816"/>
      <c r="Y24" s="3553"/>
      <c r="Z24" s="1817"/>
      <c r="AA24" s="1814"/>
      <c r="AB24" s="1814"/>
      <c r="AC24" s="1814"/>
    </row>
    <row r="25" spans="1:29" ht="57">
      <c r="A25" s="404"/>
      <c r="B25" s="1387" t="s">
        <v>2753</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553"/>
      <c r="Q25" s="1813" t="str">
        <f t="shared" si="8"/>
        <v>自然及人文环境状况</v>
      </c>
      <c r="R25" s="774" t="s">
        <v>17</v>
      </c>
      <c r="S25" s="775">
        <f>F25</f>
        <v>100</v>
      </c>
      <c r="T25" s="774" t="s">
        <v>17</v>
      </c>
      <c r="U25" s="775">
        <f>H25</f>
        <v>100</v>
      </c>
      <c r="V25" s="774" t="s">
        <v>17</v>
      </c>
      <c r="W25" s="775">
        <f>J25</f>
        <v>100</v>
      </c>
      <c r="X25" s="1816"/>
      <c r="Y25" s="3553"/>
      <c r="Z25" s="1817" t="str">
        <f>Q25</f>
        <v>自然及人文环境状况</v>
      </c>
      <c r="AA25" s="1814">
        <f t="shared" si="3"/>
        <v>1</v>
      </c>
      <c r="AB25" s="1814">
        <f t="shared" si="4"/>
        <v>1</v>
      </c>
      <c r="AC25" s="1814">
        <f t="shared" si="5"/>
        <v>1</v>
      </c>
    </row>
    <row r="26" spans="1:29" ht="15">
      <c r="A26" s="404"/>
      <c r="B26" s="456"/>
      <c r="C26" s="447" t="s">
        <v>3102</v>
      </c>
      <c r="D26" s="448"/>
      <c r="E26" s="447" t="s">
        <v>3102</v>
      </c>
      <c r="F26" s="448"/>
      <c r="G26" s="447" t="s">
        <v>3102</v>
      </c>
      <c r="H26" s="448"/>
      <c r="I26" s="447" t="s">
        <v>3102</v>
      </c>
      <c r="J26" s="448"/>
      <c r="K26" s="672"/>
      <c r="L26" s="1143"/>
      <c r="M26" s="1134"/>
      <c r="N26" s="1134"/>
      <c r="O26" s="1142"/>
      <c r="P26" s="3553"/>
      <c r="Q26" s="1813"/>
      <c r="R26" s="774"/>
      <c r="S26" s="775"/>
      <c r="T26" s="774"/>
      <c r="U26" s="775"/>
      <c r="V26" s="774"/>
      <c r="W26" s="775"/>
      <c r="X26" s="1816"/>
      <c r="Y26" s="3553"/>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97</v>
      </c>
      <c r="G27" s="452"/>
      <c r="H27" s="450">
        <f>SUMIF(100:100,G28,101:101)-SUMIF(100:100,C28,101:101)+100</f>
        <v>97</v>
      </c>
      <c r="I27" s="454"/>
      <c r="J27" s="450">
        <f>SUMIF(100:100,I28,101:101)-SUMIF(100:100,C28,101:101)+100</f>
        <v>100</v>
      </c>
      <c r="K27" s="673">
        <v>3</v>
      </c>
      <c r="L27" s="1135"/>
      <c r="M27" s="1136"/>
      <c r="N27" s="1136"/>
      <c r="O27" s="1137"/>
      <c r="P27" s="3553"/>
      <c r="Q27" s="1798" t="str">
        <f t="shared" si="8"/>
        <v>公共配套设施</v>
      </c>
      <c r="R27" s="770" t="s">
        <v>17</v>
      </c>
      <c r="S27" s="771">
        <f>F27</f>
        <v>97</v>
      </c>
      <c r="T27" s="770" t="s">
        <v>17</v>
      </c>
      <c r="U27" s="771">
        <f>H27</f>
        <v>97</v>
      </c>
      <c r="V27" s="770" t="s">
        <v>17</v>
      </c>
      <c r="W27" s="771">
        <f>J27</f>
        <v>100</v>
      </c>
      <c r="X27" s="772"/>
      <c r="Y27" s="3553"/>
      <c r="Z27" s="55" t="str">
        <f>Q27</f>
        <v>公共配套设施</v>
      </c>
      <c r="AA27" s="1814">
        <f>D27/F27</f>
        <v>1.0309278350515463</v>
      </c>
      <c r="AB27" s="1814">
        <f>D27/H27</f>
        <v>1.0309278350515463</v>
      </c>
      <c r="AC27" s="1814">
        <f>D27/J27</f>
        <v>1</v>
      </c>
    </row>
    <row r="28" spans="1:29" s="117" customFormat="1" ht="15">
      <c r="A28" s="649"/>
      <c r="B28" s="456"/>
      <c r="C28" s="2707" t="s">
        <v>3094</v>
      </c>
      <c r="D28" s="448"/>
      <c r="E28" s="2618" t="s">
        <v>3101</v>
      </c>
      <c r="F28" s="448"/>
      <c r="G28" s="2618" t="s">
        <v>3101</v>
      </c>
      <c r="H28" s="448"/>
      <c r="I28" s="447" t="s">
        <v>3094</v>
      </c>
      <c r="J28" s="448"/>
      <c r="K28" s="672"/>
      <c r="L28" s="1135"/>
      <c r="M28" s="1136"/>
      <c r="N28" s="1136"/>
      <c r="O28" s="1137"/>
      <c r="P28" s="3553"/>
      <c r="Q28" s="1798"/>
      <c r="R28" s="770"/>
      <c r="S28" s="771"/>
      <c r="T28" s="770"/>
      <c r="U28" s="771"/>
      <c r="V28" s="770"/>
      <c r="W28" s="771"/>
      <c r="X28" s="772"/>
      <c r="Y28" s="3553"/>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553"/>
      <c r="Q29" s="1798" t="str">
        <f t="shared" ref="Q29" si="9">B29</f>
        <v>基础设施水平</v>
      </c>
      <c r="R29" s="770" t="s">
        <v>17</v>
      </c>
      <c r="S29" s="771">
        <f>F29</f>
        <v>100</v>
      </c>
      <c r="T29" s="770" t="s">
        <v>17</v>
      </c>
      <c r="U29" s="771">
        <f>H29</f>
        <v>100</v>
      </c>
      <c r="V29" s="770" t="s">
        <v>17</v>
      </c>
      <c r="W29" s="771">
        <f>J29</f>
        <v>100</v>
      </c>
      <c r="X29" s="772"/>
      <c r="Y29" s="3553"/>
      <c r="Z29" s="55" t="str">
        <f>Q29</f>
        <v>基础设施水平</v>
      </c>
      <c r="AA29" s="1814">
        <f>D29/F29</f>
        <v>1</v>
      </c>
      <c r="AB29" s="1814">
        <f>D29/H29</f>
        <v>1</v>
      </c>
      <c r="AC29" s="1814">
        <f>D29/J29</f>
        <v>1</v>
      </c>
    </row>
    <row r="30" spans="1:29" s="117" customFormat="1" ht="15">
      <c r="A30" s="649"/>
      <c r="B30" s="456"/>
      <c r="C30" s="2708" t="s">
        <v>3095</v>
      </c>
      <c r="D30" s="448"/>
      <c r="E30" s="2707" t="s">
        <v>3095</v>
      </c>
      <c r="F30" s="448"/>
      <c r="G30" s="2708" t="s">
        <v>3095</v>
      </c>
      <c r="H30" s="448"/>
      <c r="I30" s="2708" t="s">
        <v>3095</v>
      </c>
      <c r="J30" s="448"/>
      <c r="K30" s="672"/>
      <c r="L30" s="1135"/>
      <c r="M30" s="1136"/>
      <c r="N30" s="1136"/>
      <c r="O30" s="1137"/>
      <c r="P30" s="3553"/>
      <c r="Q30" s="1798"/>
      <c r="R30" s="770"/>
      <c r="S30" s="771"/>
      <c r="T30" s="770"/>
      <c r="U30" s="771"/>
      <c r="V30" s="770"/>
      <c r="W30" s="771"/>
      <c r="X30" s="772"/>
      <c r="Y30" s="3553"/>
      <c r="Z30" s="55"/>
      <c r="AA30" s="1814">
        <v>1</v>
      </c>
      <c r="AB30" s="1814">
        <v>1</v>
      </c>
      <c r="AC30" s="1814">
        <v>1</v>
      </c>
    </row>
    <row r="31" spans="1:29" ht="15">
      <c r="A31" s="428"/>
      <c r="B31" s="456" t="s">
        <v>2660</v>
      </c>
      <c r="C31" s="634" t="s">
        <v>3096</v>
      </c>
      <c r="D31" s="435">
        <v>100</v>
      </c>
      <c r="E31" s="616" t="s">
        <v>3096</v>
      </c>
      <c r="F31" s="435">
        <f>SUMIF(104:104,E31,105:105)-SUMIF(104:104,C31,105:105)+100</f>
        <v>100</v>
      </c>
      <c r="G31" s="634" t="s">
        <v>3096</v>
      </c>
      <c r="H31" s="435">
        <f>SUMIF(104:104,G31,105:105)-SUMIF(104:104,C31,105:105)+100</f>
        <v>100</v>
      </c>
      <c r="I31" s="634" t="s">
        <v>3096</v>
      </c>
      <c r="J31" s="435">
        <f>SUMIF(104:104,I31,105:105)-SUMIF(104:104,C31,105:105)+100</f>
        <v>100</v>
      </c>
      <c r="K31" s="673">
        <v>3</v>
      </c>
      <c r="L31" s="1143"/>
      <c r="M31" s="1134"/>
      <c r="N31" s="1134"/>
      <c r="O31" s="1142"/>
      <c r="P31" s="355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553"/>
      <c r="Z31" s="1817" t="str">
        <f t="shared" ref="Z31:Z45" si="13">Q31</f>
        <v>临街状况</v>
      </c>
      <c r="AA31" s="1814">
        <f t="shared" si="3"/>
        <v>1</v>
      </c>
      <c r="AB31" s="1814">
        <f t="shared" si="4"/>
        <v>1</v>
      </c>
      <c r="AC31" s="1814">
        <f t="shared" si="5"/>
        <v>1</v>
      </c>
    </row>
    <row r="32" spans="1:29" ht="27">
      <c r="A32" s="428"/>
      <c r="B32" s="1387" t="s">
        <v>2695</v>
      </c>
      <c r="C32" s="2956" t="s">
        <v>3097</v>
      </c>
      <c r="D32" s="450">
        <v>100</v>
      </c>
      <c r="E32" s="2957" t="s">
        <v>3098</v>
      </c>
      <c r="F32" s="450">
        <f>SUMIF(106:106,E33,107:107)-SUMIF(106:106,C33,107:107)+100</f>
        <v>100</v>
      </c>
      <c r="G32" s="2956" t="s">
        <v>3099</v>
      </c>
      <c r="H32" s="450">
        <f>SUMIF(106:106,G33,107:107)-SUMIF(106:106,C33,107:107)+100</f>
        <v>102</v>
      </c>
      <c r="I32" s="2957" t="s">
        <v>3100</v>
      </c>
      <c r="J32" s="450">
        <f>SUMIF(106:106,I33,107:107)-SUMIF(106:106,C33,107:107)+100</f>
        <v>100</v>
      </c>
      <c r="K32" s="673">
        <v>1</v>
      </c>
      <c r="L32" s="1143"/>
      <c r="M32" s="1134"/>
      <c r="N32" s="1134"/>
      <c r="O32" s="1142"/>
      <c r="P32" s="3553"/>
      <c r="Q32" s="1813" t="str">
        <f t="shared" si="8"/>
        <v>毗邻道路的类型与等级</v>
      </c>
      <c r="R32" s="774" t="s">
        <v>17</v>
      </c>
      <c r="S32" s="775">
        <f t="shared" si="10"/>
        <v>100</v>
      </c>
      <c r="T32" s="774" t="s">
        <v>17</v>
      </c>
      <c r="U32" s="775">
        <f t="shared" si="11"/>
        <v>102</v>
      </c>
      <c r="V32" s="774" t="s">
        <v>17</v>
      </c>
      <c r="W32" s="775">
        <f t="shared" si="12"/>
        <v>100</v>
      </c>
      <c r="X32" s="1816"/>
      <c r="Y32" s="3553"/>
      <c r="Z32" s="1817" t="str">
        <f t="shared" si="13"/>
        <v>毗邻道路的类型与等级</v>
      </c>
      <c r="AA32" s="1814">
        <f t="shared" si="3"/>
        <v>1</v>
      </c>
      <c r="AB32" s="1814">
        <f t="shared" si="4"/>
        <v>0.98039215686274506</v>
      </c>
      <c r="AC32" s="1814">
        <f t="shared" si="5"/>
        <v>1</v>
      </c>
    </row>
    <row r="33" spans="1:29" ht="15">
      <c r="A33" s="428"/>
      <c r="B33" s="456"/>
      <c r="C33" s="2618" t="s">
        <v>3082</v>
      </c>
      <c r="D33" s="448"/>
      <c r="E33" s="447" t="s">
        <v>3082</v>
      </c>
      <c r="F33" s="448"/>
      <c r="G33" s="2618" t="s">
        <v>3080</v>
      </c>
      <c r="H33" s="448"/>
      <c r="I33" s="447" t="s">
        <v>3082</v>
      </c>
      <c r="J33" s="448"/>
      <c r="K33" s="613"/>
      <c r="L33" s="1143"/>
      <c r="M33" s="1134"/>
      <c r="N33" s="1134"/>
      <c r="O33" s="1142"/>
      <c r="P33" s="3553"/>
      <c r="Q33" s="1813"/>
      <c r="R33" s="774"/>
      <c r="S33" s="775"/>
      <c r="T33" s="774"/>
      <c r="U33" s="775"/>
      <c r="V33" s="774"/>
      <c r="W33" s="775"/>
      <c r="X33" s="1816"/>
      <c r="Y33" s="3553"/>
      <c r="Z33" s="1817"/>
      <c r="AA33" s="1814">
        <v>1</v>
      </c>
      <c r="AB33" s="1814">
        <v>1</v>
      </c>
      <c r="AC33" s="1814">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53"/>
      <c r="Q34" s="1813" t="str">
        <f t="shared" si="8"/>
        <v>土地级别</v>
      </c>
      <c r="R34" s="774" t="s">
        <v>17</v>
      </c>
      <c r="S34" s="775">
        <f t="shared" si="10"/>
        <v>100</v>
      </c>
      <c r="T34" s="774" t="s">
        <v>17</v>
      </c>
      <c r="U34" s="775">
        <f t="shared" si="11"/>
        <v>100</v>
      </c>
      <c r="V34" s="774" t="s">
        <v>17</v>
      </c>
      <c r="W34" s="775">
        <f t="shared" si="12"/>
        <v>100</v>
      </c>
      <c r="X34" s="1816"/>
      <c r="Y34" s="355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53"/>
      <c r="Q35" s="1813">
        <f t="shared" si="8"/>
        <v>111</v>
      </c>
      <c r="R35" s="774" t="s">
        <v>17</v>
      </c>
      <c r="S35" s="775">
        <f t="shared" si="10"/>
        <v>100</v>
      </c>
      <c r="T35" s="774" t="s">
        <v>17</v>
      </c>
      <c r="U35" s="775">
        <f t="shared" si="11"/>
        <v>100</v>
      </c>
      <c r="V35" s="774" t="s">
        <v>17</v>
      </c>
      <c r="W35" s="775">
        <f t="shared" si="12"/>
        <v>100</v>
      </c>
      <c r="X35" s="1816"/>
      <c r="Y35" s="355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54" t="s">
        <v>2569</v>
      </c>
      <c r="Q36" s="1813">
        <f t="shared" si="8"/>
        <v>111</v>
      </c>
      <c r="R36" s="774" t="s">
        <v>17</v>
      </c>
      <c r="S36" s="775">
        <f t="shared" si="10"/>
        <v>100</v>
      </c>
      <c r="T36" s="774" t="s">
        <v>17</v>
      </c>
      <c r="U36" s="775">
        <f t="shared" si="11"/>
        <v>100</v>
      </c>
      <c r="V36" s="774" t="s">
        <v>17</v>
      </c>
      <c r="W36" s="775">
        <f t="shared" si="12"/>
        <v>100</v>
      </c>
      <c r="X36" s="1816"/>
      <c r="Y36" s="3555" t="s">
        <v>2569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55"/>
      <c r="Q37" s="1813">
        <f t="shared" si="8"/>
        <v>111</v>
      </c>
      <c r="R37" s="777" t="s">
        <v>17</v>
      </c>
      <c r="S37" s="778">
        <f t="shared" si="10"/>
        <v>100</v>
      </c>
      <c r="T37" s="777" t="s">
        <v>17</v>
      </c>
      <c r="U37" s="778">
        <f t="shared" si="11"/>
        <v>100</v>
      </c>
      <c r="V37" s="777" t="s">
        <v>17</v>
      </c>
      <c r="W37" s="778">
        <f t="shared" si="12"/>
        <v>100</v>
      </c>
      <c r="X37" s="779"/>
      <c r="Y37" s="3555"/>
      <c r="Z37" s="780">
        <f t="shared" si="13"/>
        <v>111</v>
      </c>
      <c r="AA37" s="1814">
        <f t="shared" si="3"/>
        <v>1</v>
      </c>
      <c r="AB37" s="1814">
        <f t="shared" si="4"/>
        <v>1</v>
      </c>
      <c r="AC37" s="1814">
        <f t="shared" si="5"/>
        <v>1</v>
      </c>
    </row>
    <row r="38" spans="1:29" ht="15">
      <c r="A38" s="472" t="s">
        <v>2567</v>
      </c>
      <c r="B38" s="456" t="s">
        <v>2755</v>
      </c>
      <c r="C38" s="679">
        <v>8845.48</v>
      </c>
      <c r="D38" s="467">
        <v>100</v>
      </c>
      <c r="E38" s="679">
        <f>土地案例!D4</f>
        <v>21975.01</v>
      </c>
      <c r="F38" s="467">
        <f>LOOKUP(E38,117:117,118:118)-LOOKUP(C38,117:117,118:118)+100</f>
        <v>100</v>
      </c>
      <c r="G38" s="679">
        <f>土地案例!D6</f>
        <v>65649.87</v>
      </c>
      <c r="H38" s="467">
        <f>LOOKUP(G38,117:117,118:118)-LOOKUP(C38,117:117,118:118)+100</f>
        <v>102</v>
      </c>
      <c r="I38" s="530">
        <f>土地案例!D22</f>
        <v>151738.6</v>
      </c>
      <c r="J38" s="467">
        <f>LOOKUP(I38,117:117,118:118)-LOOKUP(C38,117:117,118:118)+100</f>
        <v>105</v>
      </c>
      <c r="K38" s="613"/>
      <c r="L38" s="1143"/>
      <c r="M38" s="1134"/>
      <c r="N38" s="1134"/>
      <c r="O38" s="1142"/>
      <c r="P38" s="3555"/>
      <c r="Q38" s="1813" t="str">
        <f>B38</f>
        <v>宗地面积</v>
      </c>
      <c r="R38" s="774" t="s">
        <v>17</v>
      </c>
      <c r="S38" s="775">
        <f t="shared" si="10"/>
        <v>100</v>
      </c>
      <c r="T38" s="774" t="s">
        <v>17</v>
      </c>
      <c r="U38" s="775">
        <f t="shared" si="11"/>
        <v>102</v>
      </c>
      <c r="V38" s="774" t="s">
        <v>17</v>
      </c>
      <c r="W38" s="775">
        <f t="shared" si="12"/>
        <v>105</v>
      </c>
      <c r="X38" s="1816"/>
      <c r="Y38" s="3555"/>
      <c r="Z38" s="1817" t="str">
        <f t="shared" si="13"/>
        <v>宗地面积</v>
      </c>
      <c r="AA38" s="1814">
        <f t="shared" si="3"/>
        <v>1</v>
      </c>
      <c r="AB38" s="1814">
        <f t="shared" si="4"/>
        <v>0.98039215686274506</v>
      </c>
      <c r="AC38" s="1814">
        <f t="shared" si="5"/>
        <v>0.95238095238095233</v>
      </c>
    </row>
    <row r="39" spans="1:29" ht="15">
      <c r="A39" s="472"/>
      <c r="B39" s="422" t="s">
        <v>2756</v>
      </c>
      <c r="C39" s="2620" t="s">
        <v>3423</v>
      </c>
      <c r="D39" s="435">
        <v>100</v>
      </c>
      <c r="E39" s="2620" t="s">
        <v>3423</v>
      </c>
      <c r="F39" s="435">
        <f>SUMIF(119:119,E39,120:120)-SUMIF(119:119,C39,120:120)+100</f>
        <v>100</v>
      </c>
      <c r="G39" s="2620" t="s">
        <v>3423</v>
      </c>
      <c r="H39" s="435">
        <f>SUMIF(119:119,G39,120:120)-SUMIF(119:119,C39,120:120)+100</f>
        <v>100</v>
      </c>
      <c r="I39" s="2620" t="s">
        <v>3423</v>
      </c>
      <c r="J39" s="435">
        <f>SUMIF(119:119,I39,120:120)-SUMIF(119:119,C39,120:120)+100</f>
        <v>100</v>
      </c>
      <c r="K39" s="612">
        <v>1</v>
      </c>
      <c r="L39" s="1143"/>
      <c r="M39" s="1134"/>
      <c r="N39" s="1134"/>
      <c r="O39" s="1142"/>
      <c r="P39" s="3555"/>
      <c r="Q39" s="1813" t="str">
        <f t="shared" ref="Q39:Q45" si="14">B39</f>
        <v>宗地形状</v>
      </c>
      <c r="R39" s="774" t="s">
        <v>17</v>
      </c>
      <c r="S39" s="775">
        <f t="shared" si="10"/>
        <v>100</v>
      </c>
      <c r="T39" s="774" t="s">
        <v>17</v>
      </c>
      <c r="U39" s="775">
        <f t="shared" si="11"/>
        <v>100</v>
      </c>
      <c r="V39" s="774" t="s">
        <v>17</v>
      </c>
      <c r="W39" s="775">
        <f t="shared" si="12"/>
        <v>100</v>
      </c>
      <c r="X39" s="1816"/>
      <c r="Y39" s="3555"/>
      <c r="Z39" s="1817" t="str">
        <f t="shared" si="13"/>
        <v>宗地形状</v>
      </c>
      <c r="AA39" s="1814">
        <f t="shared" si="3"/>
        <v>1</v>
      </c>
      <c r="AB39" s="1814">
        <f t="shared" si="4"/>
        <v>1</v>
      </c>
      <c r="AC39" s="1814">
        <f t="shared" si="5"/>
        <v>1</v>
      </c>
    </row>
    <row r="40" spans="1:29" ht="15">
      <c r="A40" s="472"/>
      <c r="B40" s="422" t="s">
        <v>2757</v>
      </c>
      <c r="C40" s="2620" t="s">
        <v>3424</v>
      </c>
      <c r="D40" s="435">
        <v>100</v>
      </c>
      <c r="E40" s="2620" t="s">
        <v>3424</v>
      </c>
      <c r="F40" s="435">
        <f>SUMIF(121:121,E40,122:122)-SUMIF(121:121,C40,122:122)+100</f>
        <v>100</v>
      </c>
      <c r="G40" s="2620" t="s">
        <v>3424</v>
      </c>
      <c r="H40" s="435">
        <f>SUMIF(121:121,G40,122:122)-SUMIF(121:121,C40,122:122)+100</f>
        <v>100</v>
      </c>
      <c r="I40" s="2620" t="s">
        <v>3424</v>
      </c>
      <c r="J40" s="435">
        <f>SUMIF(121:121,I40,122:122)-SUMIF(121:121,C40,122:122)+100</f>
        <v>100</v>
      </c>
      <c r="K40" s="612">
        <v>1</v>
      </c>
      <c r="L40" s="1143"/>
      <c r="M40" s="1134"/>
      <c r="N40" s="1134"/>
      <c r="O40" s="1142"/>
      <c r="P40" s="3555"/>
      <c r="Q40" s="1813" t="str">
        <f t="shared" si="14"/>
        <v>临街宽度及深度</v>
      </c>
      <c r="R40" s="774" t="s">
        <v>17</v>
      </c>
      <c r="S40" s="775">
        <f t="shared" si="10"/>
        <v>100</v>
      </c>
      <c r="T40" s="774" t="s">
        <v>17</v>
      </c>
      <c r="U40" s="775">
        <f t="shared" si="11"/>
        <v>100</v>
      </c>
      <c r="V40" s="774" t="s">
        <v>17</v>
      </c>
      <c r="W40" s="775">
        <f t="shared" si="12"/>
        <v>100</v>
      </c>
      <c r="X40" s="1816"/>
      <c r="Y40" s="3555"/>
      <c r="Z40" s="1817" t="str">
        <f t="shared" si="13"/>
        <v>临街宽度及深度</v>
      </c>
      <c r="AA40" s="1814">
        <f t="shared" si="3"/>
        <v>1</v>
      </c>
      <c r="AB40" s="1814">
        <f t="shared" si="4"/>
        <v>1</v>
      </c>
      <c r="AC40" s="1814">
        <f t="shared" si="5"/>
        <v>1</v>
      </c>
    </row>
    <row r="41" spans="1:29" s="117" customFormat="1" ht="15">
      <c r="A41" s="473"/>
      <c r="B41" s="422" t="s">
        <v>2758</v>
      </c>
      <c r="C41" s="2709" t="s">
        <v>3425</v>
      </c>
      <c r="D41" s="136">
        <v>100</v>
      </c>
      <c r="E41" s="2709" t="s">
        <v>3425</v>
      </c>
      <c r="F41" s="435">
        <f>SUMIF(123:123,E41,124:124)-SUMIF(123:123,C41,124:124)+100</f>
        <v>100</v>
      </c>
      <c r="G41" s="2709" t="s">
        <v>3095</v>
      </c>
      <c r="H41" s="435">
        <f>SUMIF(123:123,G41,124:124)-SUMIF(123:123,C41,124:124)+100</f>
        <v>104</v>
      </c>
      <c r="I41" s="2709" t="s">
        <v>3425</v>
      </c>
      <c r="J41" s="435">
        <f>SUMIF(123:123,I41,124:124)-SUMIF(123:123,C41,124:124)+100</f>
        <v>100</v>
      </c>
      <c r="K41" s="612">
        <v>1</v>
      </c>
      <c r="L41" s="1135"/>
      <c r="M41" s="1136"/>
      <c r="N41" s="1136"/>
      <c r="O41" s="1137"/>
      <c r="P41" s="3555"/>
      <c r="Q41" s="1813" t="str">
        <f t="shared" si="14"/>
        <v>宗地开发程度</v>
      </c>
      <c r="R41" s="770" t="s">
        <v>17</v>
      </c>
      <c r="S41" s="771">
        <f t="shared" si="10"/>
        <v>100</v>
      </c>
      <c r="T41" s="770" t="s">
        <v>17</v>
      </c>
      <c r="U41" s="771">
        <f t="shared" si="11"/>
        <v>104</v>
      </c>
      <c r="V41" s="770" t="s">
        <v>17</v>
      </c>
      <c r="W41" s="771">
        <f t="shared" si="12"/>
        <v>100</v>
      </c>
      <c r="X41" s="772"/>
      <c r="Y41" s="3555"/>
      <c r="Z41" s="55" t="str">
        <f t="shared" si="13"/>
        <v>宗地开发程度</v>
      </c>
      <c r="AA41" s="773">
        <f t="shared" si="3"/>
        <v>1</v>
      </c>
      <c r="AB41" s="773">
        <f t="shared" si="4"/>
        <v>0.96153846153846156</v>
      </c>
      <c r="AC41" s="773">
        <f t="shared" si="5"/>
        <v>1</v>
      </c>
    </row>
    <row r="42" spans="1:29" ht="15">
      <c r="A42" s="472"/>
      <c r="B42" s="422" t="s">
        <v>2759</v>
      </c>
      <c r="C42" s="2620" t="s">
        <v>3101</v>
      </c>
      <c r="D42" s="435">
        <v>100</v>
      </c>
      <c r="E42" s="2620" t="s">
        <v>3101</v>
      </c>
      <c r="F42" s="435">
        <f>SUMIF(125:125,E42,126:126)-SUMIF(125:125,C42,126:126)+100</f>
        <v>100</v>
      </c>
      <c r="G42" s="2620" t="s">
        <v>3101</v>
      </c>
      <c r="H42" s="435">
        <f>SUMIF(125:125,G42,126:126)-SUMIF(125:125,C42,126:126)+100</f>
        <v>100</v>
      </c>
      <c r="I42" s="2620" t="s">
        <v>3101</v>
      </c>
      <c r="J42" s="435">
        <f>SUMIF(125:125,I42,126:126)-SUMIF(125:125,C42,126:126)+100</f>
        <v>100</v>
      </c>
      <c r="K42" s="612">
        <v>1</v>
      </c>
      <c r="L42" s="1143"/>
      <c r="M42" s="1134"/>
      <c r="N42" s="1134"/>
      <c r="O42" s="1142"/>
      <c r="P42" s="3555" t="s">
        <v>2569</v>
      </c>
      <c r="Q42" s="1813" t="str">
        <f t="shared" si="14"/>
        <v>工程地质条件</v>
      </c>
      <c r="R42" s="774" t="s">
        <v>17</v>
      </c>
      <c r="S42" s="775">
        <f t="shared" si="10"/>
        <v>100</v>
      </c>
      <c r="T42" s="774" t="s">
        <v>17</v>
      </c>
      <c r="U42" s="775">
        <f t="shared" si="11"/>
        <v>100</v>
      </c>
      <c r="V42" s="774" t="s">
        <v>17</v>
      </c>
      <c r="W42" s="775">
        <f t="shared" si="12"/>
        <v>100</v>
      </c>
      <c r="X42" s="1816"/>
      <c r="Y42" s="3555" t="s">
        <v>2569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55"/>
      <c r="Q43" s="1813">
        <f t="shared" si="14"/>
        <v>111</v>
      </c>
      <c r="R43" s="774" t="s">
        <v>17</v>
      </c>
      <c r="S43" s="775">
        <f t="shared" si="10"/>
        <v>100</v>
      </c>
      <c r="T43" s="774" t="s">
        <v>17</v>
      </c>
      <c r="U43" s="775">
        <f t="shared" si="11"/>
        <v>100</v>
      </c>
      <c r="V43" s="774" t="s">
        <v>17</v>
      </c>
      <c r="W43" s="775">
        <f t="shared" si="12"/>
        <v>100</v>
      </c>
      <c r="X43" s="1816"/>
      <c r="Y43" s="355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55"/>
      <c r="Q44" s="1813">
        <f t="shared" si="14"/>
        <v>111</v>
      </c>
      <c r="R44" s="774" t="s">
        <v>17</v>
      </c>
      <c r="S44" s="775">
        <f t="shared" si="10"/>
        <v>100</v>
      </c>
      <c r="T44" s="774" t="s">
        <v>17</v>
      </c>
      <c r="U44" s="775">
        <f t="shared" si="11"/>
        <v>100</v>
      </c>
      <c r="V44" s="774" t="s">
        <v>17</v>
      </c>
      <c r="W44" s="775">
        <f t="shared" si="12"/>
        <v>100</v>
      </c>
      <c r="X44" s="1816"/>
      <c r="Y44" s="3555"/>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55"/>
      <c r="Q45" s="1813">
        <f t="shared" si="14"/>
        <v>111</v>
      </c>
      <c r="R45" s="777" t="s">
        <v>17</v>
      </c>
      <c r="S45" s="778">
        <f t="shared" si="10"/>
        <v>100</v>
      </c>
      <c r="T45" s="777" t="s">
        <v>17</v>
      </c>
      <c r="U45" s="778">
        <f t="shared" si="11"/>
        <v>100</v>
      </c>
      <c r="V45" s="777" t="s">
        <v>17</v>
      </c>
      <c r="W45" s="778">
        <f t="shared" si="12"/>
        <v>100</v>
      </c>
      <c r="X45" s="779"/>
      <c r="Y45" s="3555"/>
      <c r="Z45" s="780">
        <f t="shared" si="13"/>
        <v>111</v>
      </c>
      <c r="AA45" s="1814">
        <f t="shared" si="3"/>
        <v>1</v>
      </c>
      <c r="AB45" s="1814">
        <f t="shared" si="4"/>
        <v>1</v>
      </c>
      <c r="AC45" s="1814">
        <f t="shared" si="5"/>
        <v>1</v>
      </c>
    </row>
    <row r="46" spans="1:29" ht="15">
      <c r="A46" s="479" t="s">
        <v>2724</v>
      </c>
      <c r="B46" s="2711" t="s">
        <v>3427</v>
      </c>
      <c r="C46" s="682" t="s">
        <v>1</v>
      </c>
      <c r="D46" s="481"/>
      <c r="E46" s="482">
        <v>40164</v>
      </c>
      <c r="F46" s="483"/>
      <c r="G46" s="484">
        <v>40599</v>
      </c>
      <c r="H46" s="485"/>
      <c r="I46" s="482">
        <v>44981</v>
      </c>
      <c r="J46" s="485"/>
      <c r="K46" s="783"/>
      <c r="L46" s="1146"/>
      <c r="M46" s="1147"/>
      <c r="N46" s="1134"/>
      <c r="O46" s="1147"/>
      <c r="P46" s="3550" t="str">
        <f>A46</f>
        <v>成交单价</v>
      </c>
      <c r="Q46" s="3550"/>
      <c r="R46" s="3556">
        <f>E46</f>
        <v>40164</v>
      </c>
      <c r="S46" s="3556"/>
      <c r="T46" s="3556">
        <f>G46</f>
        <v>40599</v>
      </c>
      <c r="U46" s="3556"/>
      <c r="V46" s="3556">
        <f>I46</f>
        <v>44981</v>
      </c>
      <c r="W46" s="3556"/>
      <c r="X46" s="759"/>
      <c r="Y46" s="781"/>
      <c r="Z46" s="759"/>
      <c r="AA46" s="759"/>
      <c r="AB46" s="759"/>
      <c r="AC46" s="759"/>
    </row>
    <row r="47" spans="1:29" ht="15.75" thickBot="1">
      <c r="A47" s="486" t="s">
        <v>2673</v>
      </c>
      <c r="B47" s="683"/>
      <c r="C47" s="490">
        <f>R48</f>
        <v>42161</v>
      </c>
      <c r="D47" s="489"/>
      <c r="E47" s="490">
        <f>R47</f>
        <v>42800</v>
      </c>
      <c r="F47" s="491"/>
      <c r="G47" s="488">
        <f>T47</f>
        <v>43266</v>
      </c>
      <c r="H47" s="489"/>
      <c r="I47" s="490">
        <f>V47</f>
        <v>40418</v>
      </c>
      <c r="J47" s="489"/>
      <c r="K47" s="784"/>
      <c r="L47" s="1146"/>
      <c r="M47" s="1147"/>
      <c r="N47" s="1147"/>
      <c r="O47" s="1147"/>
      <c r="P47" s="3550" t="str">
        <f>A47</f>
        <v>比较价值（元/平方米）</v>
      </c>
      <c r="Q47" s="3550"/>
      <c r="R47" s="3543">
        <f>ROUND(PRODUCT(R46,AA7:AA45),0)</f>
        <v>42800</v>
      </c>
      <c r="S47" s="3543"/>
      <c r="T47" s="3543">
        <f>ROUND(PRODUCT(T46,AB7:AB45),0)</f>
        <v>43266</v>
      </c>
      <c r="U47" s="3543"/>
      <c r="V47" s="3543">
        <f>ROUND(PRODUCT(V46,AC7:AC45),0)</f>
        <v>40418</v>
      </c>
      <c r="W47" s="3543"/>
      <c r="X47" s="759"/>
      <c r="Y47" s="759"/>
      <c r="Z47" s="759"/>
      <c r="AA47" s="759"/>
      <c r="AB47" s="759"/>
      <c r="AC47" s="759"/>
    </row>
    <row r="48" spans="1:29" ht="15.75" thickBot="1">
      <c r="A48" s="492" t="s">
        <v>2760</v>
      </c>
      <c r="B48" s="493"/>
      <c r="C48" s="494">
        <f>R48</f>
        <v>42161</v>
      </c>
      <c r="D48" s="494"/>
      <c r="E48" s="494"/>
      <c r="F48" s="494"/>
      <c r="G48" s="494"/>
      <c r="H48" s="494"/>
      <c r="I48" s="494"/>
      <c r="J48" s="494"/>
      <c r="K48" s="785"/>
      <c r="L48" s="1146"/>
      <c r="M48" s="1147"/>
      <c r="N48" s="1147"/>
      <c r="O48" s="1147"/>
      <c r="P48" s="3544" t="str">
        <f>A48</f>
        <v>估价对象XX用房的比较价值（楼面单价，元/平方米）</v>
      </c>
      <c r="Q48" s="3545"/>
      <c r="R48" s="3546">
        <f>ROUND(AVERAGE(R47:V47),0)</f>
        <v>42161</v>
      </c>
      <c r="S48" s="3546"/>
      <c r="T48" s="3546"/>
      <c r="U48" s="3546"/>
      <c r="V48" s="3546"/>
      <c r="W48" s="354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6.5630913255651846E-2</v>
      </c>
      <c r="F51" s="500" t="str">
        <f>IF(OR(E51&gt;=0.3,E51&lt;=-0.3),"超过30%","")</f>
        <v/>
      </c>
      <c r="G51" s="499">
        <f>IF(G46&lt;G47,G47/G46-1,G46/G47-1)</f>
        <v>6.5691273184068644E-2</v>
      </c>
      <c r="H51" s="500" t="str">
        <f>IF(OR(G51&gt;=0.3,G51&lt;=-0.3),"超过30%","")</f>
        <v/>
      </c>
      <c r="I51" s="499">
        <f>IF(I46&lt;I47,I47/I46-1,I46/I47-1)</f>
        <v>0.11289524469295853</v>
      </c>
      <c r="J51" s="500" t="str">
        <f>IF(OR(I51&gt;=0.3,I51&lt;=-0.3),"超过30%","")</f>
        <v/>
      </c>
      <c r="K51" s="1108"/>
      <c r="L51" s="1109"/>
      <c r="M51" s="1147"/>
      <c r="N51" s="1147"/>
      <c r="O51" s="1147"/>
    </row>
    <row r="52" spans="1:15" ht="13.5" customHeight="1">
      <c r="A52" s="1147"/>
      <c r="B52" s="1147"/>
      <c r="C52" s="497" t="s">
        <v>2676</v>
      </c>
      <c r="D52" s="501"/>
      <c r="E52" s="499">
        <f>IF(E47&lt;G47,G47/E47-1,E47/G47-1)</f>
        <v>1.0887850467289795E-2</v>
      </c>
      <c r="F52" s="500" t="str">
        <f>IF(OR(E52&gt;=0.2,E52&lt;=-0.2),"超过20%","")</f>
        <v/>
      </c>
      <c r="G52" s="499">
        <f>IF(G47&lt;I47,I47/G47-1,G47/I47-1)</f>
        <v>7.0463654807264131E-2</v>
      </c>
      <c r="H52" s="500" t="str">
        <f>IF(OR(G52&gt;=0.2,G52&lt;=-0.2),"超过20%","")</f>
        <v/>
      </c>
      <c r="I52" s="499">
        <f>IF(I47&lt;E47,E47/I47-1,I47/E47-1)</f>
        <v>5.893413825523286E-2</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1.0830594562294626E-2</v>
      </c>
      <c r="F53" s="500" t="str">
        <f>IF(OR(E53&gt;=0.3,E53&lt;=-0.3),"超过30%","")</f>
        <v/>
      </c>
      <c r="G53" s="499">
        <f>IF(G46&lt;I46,I46/G46-1,G46/I46-1)</f>
        <v>0.10793369294810207</v>
      </c>
      <c r="H53" s="500" t="str">
        <f>IF(OR(G53&gt;=0.3,G53&lt;=-0.3),"超过30%","")</f>
        <v/>
      </c>
      <c r="I53" s="499">
        <f>IF(I46&lt;E46,E46/I46-1,I46/E46-1)</f>
        <v>0.11993327357832895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3426</v>
      </c>
      <c r="D55" s="2713" t="s">
        <v>2764</v>
      </c>
      <c r="E55" s="686" t="s">
        <v>2765</v>
      </c>
      <c r="F55" s="1110" t="s">
        <v>2766</v>
      </c>
      <c r="G55" s="3547" t="s">
        <v>2767</v>
      </c>
      <c r="H55" s="3548"/>
      <c r="I55" s="144" t="s">
        <v>2768</v>
      </c>
      <c r="J55" s="2714">
        <f>项目基本情况!F35</f>
        <v>0</v>
      </c>
      <c r="K55" s="2715" t="s">
        <v>2769</v>
      </c>
      <c r="L55" s="1109"/>
      <c r="M55" s="1147"/>
      <c r="N55" s="1147"/>
      <c r="O55" s="1147"/>
    </row>
    <row r="56" spans="1:15" s="692" customFormat="1">
      <c r="A56" s="688" t="s">
        <v>2770</v>
      </c>
      <c r="B56" s="689">
        <f>C48</f>
        <v>42161</v>
      </c>
      <c r="C56" s="690">
        <v>1</v>
      </c>
      <c r="D56" s="1166">
        <v>1</v>
      </c>
      <c r="E56" s="690">
        <f>'数据-汇总表'!E8+'数据-汇总表'!E9</f>
        <v>21264.71</v>
      </c>
      <c r="F56" s="1106">
        <f t="shared" ref="F56:F65" si="15">ROUND(B56*E56/10000,0)</f>
        <v>89654</v>
      </c>
      <c r="G56" s="3549"/>
      <c r="H56" s="3550"/>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551"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551"/>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551"/>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551"/>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6" t="s">
        <v>2777</v>
      </c>
      <c r="H61" s="1107">
        <f>项目基本情况!C37</f>
        <v>0</v>
      </c>
      <c r="I61" s="1111">
        <f>SUMIF(修正!A45:A56,H61,修正!F45:F56)</f>
        <v>0</v>
      </c>
      <c r="J61" s="1115"/>
      <c r="K61" s="1147"/>
      <c r="L61" s="944"/>
      <c r="M61" s="944"/>
      <c r="N61" s="944"/>
      <c r="O61" s="944"/>
    </row>
    <row r="62" spans="1:15" s="692" customFormat="1">
      <c r="A62" s="693" t="s">
        <v>2778</v>
      </c>
      <c r="B62" s="262">
        <f t="shared" si="17"/>
        <v>2635</v>
      </c>
      <c r="C62" s="200">
        <f t="shared" si="16"/>
        <v>0.25</v>
      </c>
      <c r="D62" s="1167">
        <v>0.25</v>
      </c>
      <c r="E62" s="261">
        <f>'数据-汇总表'!E12</f>
        <v>591.26</v>
      </c>
      <c r="F62" s="1106">
        <f t="shared" si="15"/>
        <v>156</v>
      </c>
      <c r="G62" s="1112" t="s">
        <v>3057</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2780</v>
      </c>
      <c r="B63" s="262">
        <f t="shared" si="17"/>
        <v>0</v>
      </c>
      <c r="C63" s="200">
        <f t="shared" si="16"/>
        <v>0</v>
      </c>
      <c r="D63" s="1167">
        <v>0.25</v>
      </c>
      <c r="E63" s="261">
        <f>'数据-汇总表'!E13</f>
        <v>0</v>
      </c>
      <c r="F63" s="1106">
        <f t="shared" si="15"/>
        <v>0</v>
      </c>
      <c r="G63" s="1112" t="s">
        <v>3057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6"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21855.969999999998</v>
      </c>
      <c r="F66" s="697">
        <f>IF(B46="楼面地价",SUM(F56:F65),ROUND(C48*E66/10000,0))</f>
        <v>89810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9" t="s">
        <v>2786</v>
      </c>
      <c r="B71" s="332" t="str">
        <f>"北京市平均增长率"&amp;TEXT(SUMIF(基准地价修正!N21:N25,A71,基准地价修正!P21:P25),"0.00%")</f>
        <v>北京市平均增长率2.53%</v>
      </c>
      <c r="C71" s="603">
        <v>100</v>
      </c>
      <c r="D71" s="595">
        <v>99</v>
      </c>
      <c r="E71" s="595">
        <v>98</v>
      </c>
      <c r="F71" s="595">
        <v>97</v>
      </c>
      <c r="G71" s="595">
        <v>96</v>
      </c>
      <c r="H71" s="595">
        <v>95</v>
      </c>
      <c r="I71" s="595">
        <v>94</v>
      </c>
      <c r="J71" s="595">
        <v>93</v>
      </c>
      <c r="K71" s="595">
        <v>92</v>
      </c>
      <c r="L71" s="595">
        <v>91</v>
      </c>
      <c r="M71" s="595">
        <v>90</v>
      </c>
      <c r="N71" s="595">
        <v>89</v>
      </c>
      <c r="O71" s="1571"/>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2952" t="s">
        <v>3074</v>
      </c>
      <c r="D75" s="2952" t="s">
        <v>3075</v>
      </c>
      <c r="E75" s="530"/>
      <c r="F75" s="530"/>
      <c r="G75" s="530"/>
      <c r="H75" s="530"/>
      <c r="I75" s="530"/>
      <c r="J75" s="530"/>
      <c r="K75" s="531"/>
      <c r="L75" s="532"/>
      <c r="M75" s="533"/>
      <c r="N75" s="1155"/>
      <c r="O75" s="1155"/>
      <c r="P75" s="45"/>
      <c r="Q75" s="504"/>
    </row>
    <row r="76" spans="1:17" ht="15.75" thickBot="1">
      <c r="A76" s="534"/>
      <c r="B76" s="535"/>
      <c r="C76" s="536">
        <v>100</v>
      </c>
      <c r="D76" s="536">
        <v>97</v>
      </c>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2953" t="s">
        <v>3076</v>
      </c>
      <c r="D82" s="2954" t="s">
        <v>3077</v>
      </c>
      <c r="E82" s="554"/>
      <c r="F82" s="554"/>
      <c r="G82" s="554"/>
      <c r="H82" s="555"/>
      <c r="I82" s="555"/>
      <c r="J82" s="555"/>
      <c r="K82" s="555"/>
      <c r="L82" s="556"/>
      <c r="M82" s="557"/>
      <c r="N82" s="1157"/>
      <c r="O82" s="1157"/>
      <c r="P82" s="558"/>
      <c r="Q82" s="559"/>
    </row>
    <row r="83" spans="1:17" s="471" customFormat="1" ht="15.75" thickBot="1">
      <c r="A83" s="553"/>
      <c r="B83" s="543"/>
      <c r="C83" s="560">
        <v>100</v>
      </c>
      <c r="D83" s="536">
        <v>115</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2695</v>
      </c>
      <c r="C106" s="554" t="s">
        <v>3078</v>
      </c>
      <c r="D106" s="554" t="s">
        <v>3079</v>
      </c>
      <c r="E106" s="554" t="s">
        <v>3080</v>
      </c>
      <c r="F106" s="554" t="s">
        <v>3081</v>
      </c>
      <c r="G106" s="554" t="s">
        <v>3082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2567</v>
      </c>
      <c r="B116" s="528" t="s">
        <v>2794</v>
      </c>
      <c r="C116" s="529" t="str">
        <f>C117&amp;"(含)"&amp;"-"&amp;D117</f>
        <v>0(含)-30000</v>
      </c>
      <c r="D116" s="529" t="str">
        <f t="shared" ref="D116:M116" si="25">D117&amp;"(含)"&amp;"-"&amp;E117</f>
        <v>30000(含)-60000</v>
      </c>
      <c r="E116" s="529" t="str">
        <f t="shared" si="25"/>
        <v>60000(含)-90000</v>
      </c>
      <c r="F116" s="529" t="str">
        <f t="shared" si="25"/>
        <v>90000(含)-120000</v>
      </c>
      <c r="G116" s="529" t="str">
        <f t="shared" si="25"/>
        <v>120000(含)-150000</v>
      </c>
      <c r="H116" s="529" t="str">
        <f t="shared" si="25"/>
        <v>150000(含)-200000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30000</v>
      </c>
      <c r="E117" s="595">
        <v>60000</v>
      </c>
      <c r="F117" s="595">
        <v>90000</v>
      </c>
      <c r="G117" s="595">
        <v>120000</v>
      </c>
      <c r="H117" s="595">
        <v>150000</v>
      </c>
      <c r="I117" s="595">
        <v>200000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2795</v>
      </c>
      <c r="C119" s="2955" t="s">
        <v>3083</v>
      </c>
      <c r="D119" s="2955" t="s">
        <v>3084</v>
      </c>
      <c r="E119" s="2955" t="s">
        <v>3085</v>
      </c>
      <c r="F119" s="2955" t="s">
        <v>3086</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2796</v>
      </c>
      <c r="C121" s="2953" t="s">
        <v>3087</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2797</v>
      </c>
      <c r="C123" s="2954" t="s">
        <v>3088</v>
      </c>
      <c r="D123" s="2954" t="s">
        <v>3089</v>
      </c>
      <c r="E123" s="2954" t="s">
        <v>3090</v>
      </c>
      <c r="F123" s="2954" t="s">
        <v>3091</v>
      </c>
      <c r="G123" s="2954" t="s">
        <v>3092</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2798</v>
      </c>
      <c r="C125" s="2953" t="s">
        <v>3093</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4"/>
  <sheetViews>
    <sheetView zoomScaleNormal="100" workbookViewId="0">
      <selection activeCell="G263" sqref="G263"/>
    </sheetView>
  </sheetViews>
  <sheetFormatPr defaultRowHeight="13.5"/>
  <cols>
    <col min="1" max="1" width="46.25" style="2964" customWidth="1"/>
    <col min="2" max="2" width="9" style="2964"/>
    <col min="3" max="3" width="14.625" style="2964" customWidth="1"/>
    <col min="4" max="7" width="9" style="2964"/>
    <col min="8" max="8" width="10.875" style="2964" customWidth="1"/>
    <col min="9" max="16384" width="9" style="2964"/>
  </cols>
  <sheetData>
    <row r="1" spans="1:14" s="2958" customFormat="1">
      <c r="A1" s="2958" t="s">
        <v>3103</v>
      </c>
      <c r="B1" s="2958" t="s">
        <v>3104</v>
      </c>
      <c r="C1" s="2958" t="s">
        <v>3105</v>
      </c>
      <c r="D1" s="2958" t="s">
        <v>3106</v>
      </c>
      <c r="E1" s="2958" t="s">
        <v>3107</v>
      </c>
      <c r="F1" s="2958" t="s">
        <v>3108</v>
      </c>
      <c r="G1" s="2958" t="s">
        <v>3109</v>
      </c>
      <c r="H1" s="2958" t="s">
        <v>3110</v>
      </c>
      <c r="I1" s="2958" t="s">
        <v>3111</v>
      </c>
      <c r="J1" s="2958" t="s">
        <v>3112</v>
      </c>
      <c r="K1" s="2958" t="s">
        <v>3113</v>
      </c>
      <c r="L1" s="2959" t="s">
        <v>3114</v>
      </c>
      <c r="M1" s="2958" t="s">
        <v>3115</v>
      </c>
      <c r="N1" s="2958" t="s">
        <v>3116</v>
      </c>
    </row>
    <row r="2" spans="1:14" s="2958" customFormat="1">
      <c r="A2" s="2958" t="s">
        <v>3117</v>
      </c>
      <c r="B2" s="2958" t="s">
        <v>3062</v>
      </c>
      <c r="C2" s="2958" t="s">
        <v>3118</v>
      </c>
      <c r="D2" s="2958">
        <v>90247.13</v>
      </c>
      <c r="E2" s="2958">
        <v>290836</v>
      </c>
      <c r="F2" s="2958">
        <v>3.2229999999999999</v>
      </c>
      <c r="G2" s="2958" t="s">
        <v>3119</v>
      </c>
      <c r="H2" s="2958" t="s">
        <v>3120</v>
      </c>
      <c r="I2" s="2958">
        <v>498000</v>
      </c>
      <c r="J2" s="2958">
        <v>498000</v>
      </c>
      <c r="K2" s="2958">
        <v>17123.04</v>
      </c>
      <c r="L2" s="2958">
        <f>ROUND(J2*10000/D2,0)</f>
        <v>55182</v>
      </c>
      <c r="M2" s="2958">
        <v>0</v>
      </c>
      <c r="N2" s="2958" t="s">
        <v>3121</v>
      </c>
    </row>
    <row r="3" spans="1:14" s="2960" customFormat="1">
      <c r="A3" s="2960" t="s">
        <v>3122</v>
      </c>
      <c r="B3" s="2960" t="s">
        <v>3062</v>
      </c>
      <c r="C3" s="2960" t="s">
        <v>3123</v>
      </c>
      <c r="D3" s="2960">
        <v>27200</v>
      </c>
      <c r="E3" s="2960">
        <v>76160</v>
      </c>
      <c r="F3" s="2960">
        <v>2.8</v>
      </c>
      <c r="G3" s="2960" t="s">
        <v>3119</v>
      </c>
      <c r="H3" s="2960" t="s">
        <v>3124</v>
      </c>
      <c r="I3" s="2960">
        <v>298100</v>
      </c>
      <c r="J3" s="2960">
        <v>312500</v>
      </c>
      <c r="K3" s="2960">
        <v>41032.04</v>
      </c>
      <c r="L3" s="2960">
        <f t="shared" ref="L3:L66" si="0">ROUND(J3*10000/D3,0)</f>
        <v>114890</v>
      </c>
      <c r="M3" s="2960">
        <v>4.83</v>
      </c>
      <c r="N3" s="2960" t="s">
        <v>3125</v>
      </c>
    </row>
    <row r="4" spans="1:14" s="2961" customFormat="1">
      <c r="A4" s="2961" t="s">
        <v>3126</v>
      </c>
      <c r="B4" s="2961" t="s">
        <v>3062</v>
      </c>
      <c r="C4" s="2961" t="s">
        <v>3118</v>
      </c>
      <c r="D4" s="2961">
        <v>21975.01</v>
      </c>
      <c r="E4" s="2961">
        <v>41704</v>
      </c>
      <c r="F4" s="2961">
        <v>1.9</v>
      </c>
      <c r="G4" s="2961" t="s">
        <v>3119</v>
      </c>
      <c r="H4" s="2961" t="s">
        <v>3127</v>
      </c>
      <c r="I4" s="2961">
        <v>135000</v>
      </c>
      <c r="J4" s="2961">
        <v>167500</v>
      </c>
      <c r="K4" s="2961">
        <v>40164.01</v>
      </c>
      <c r="L4" s="2961">
        <f t="shared" si="0"/>
        <v>76223</v>
      </c>
      <c r="M4" s="2961">
        <v>24.07</v>
      </c>
      <c r="N4" s="2961" t="s">
        <v>3128</v>
      </c>
    </row>
    <row r="5" spans="1:14" s="2958" customFormat="1">
      <c r="A5" s="2958" t="s">
        <v>3129</v>
      </c>
      <c r="B5" s="2958" t="s">
        <v>3062</v>
      </c>
      <c r="C5" s="2958" t="s">
        <v>3123</v>
      </c>
      <c r="D5" s="2958">
        <v>36708.14</v>
      </c>
      <c r="E5" s="2958">
        <v>102783</v>
      </c>
      <c r="F5" s="2958">
        <v>2.8</v>
      </c>
      <c r="G5" s="2958" t="s">
        <v>3119</v>
      </c>
      <c r="H5" s="2958" t="s">
        <v>3130</v>
      </c>
      <c r="I5" s="2958">
        <v>420000</v>
      </c>
      <c r="J5" s="2958">
        <v>626000</v>
      </c>
      <c r="K5" s="2958">
        <v>60905.01</v>
      </c>
      <c r="L5" s="2958">
        <f t="shared" si="0"/>
        <v>170534</v>
      </c>
      <c r="M5" s="2958">
        <v>49.05</v>
      </c>
      <c r="N5" s="2958" t="s">
        <v>3131</v>
      </c>
    </row>
    <row r="6" spans="1:14" s="2961" customFormat="1">
      <c r="A6" s="2961" t="s">
        <v>3132</v>
      </c>
      <c r="B6" s="2961" t="s">
        <v>3062</v>
      </c>
      <c r="C6" s="2961" t="s">
        <v>3118</v>
      </c>
      <c r="D6" s="2961">
        <v>65649.87</v>
      </c>
      <c r="E6" s="2961">
        <v>193846</v>
      </c>
      <c r="F6" s="2961" t="s">
        <v>3133</v>
      </c>
      <c r="G6" s="2961" t="s">
        <v>3119</v>
      </c>
      <c r="H6" s="2961" t="s">
        <v>3134</v>
      </c>
      <c r="I6" s="2961">
        <v>525000</v>
      </c>
      <c r="J6" s="2961">
        <v>787000</v>
      </c>
      <c r="K6" s="2961">
        <v>40599.230000000003</v>
      </c>
      <c r="L6" s="2961">
        <f t="shared" si="0"/>
        <v>119878</v>
      </c>
      <c r="M6" s="2961">
        <v>49.9</v>
      </c>
      <c r="N6" s="2961" t="s">
        <v>3135</v>
      </c>
    </row>
    <row r="7" spans="1:14" s="2962" customFormat="1">
      <c r="A7" s="2962" t="s">
        <v>3136</v>
      </c>
      <c r="B7" s="2962" t="s">
        <v>3062</v>
      </c>
      <c r="C7" s="2962" t="s">
        <v>3118</v>
      </c>
      <c r="D7" s="2962">
        <v>35982.400000000001</v>
      </c>
      <c r="E7" s="2962">
        <v>86965</v>
      </c>
      <c r="F7" s="2962">
        <v>2.4</v>
      </c>
      <c r="G7" s="2962" t="s">
        <v>3119</v>
      </c>
      <c r="H7" s="2962" t="s">
        <v>3137</v>
      </c>
      <c r="I7" s="2962">
        <v>230000</v>
      </c>
      <c r="J7" s="2962">
        <v>286000</v>
      </c>
      <c r="K7" s="2962">
        <v>32886.79</v>
      </c>
      <c r="L7" s="2962">
        <f t="shared" si="0"/>
        <v>79483</v>
      </c>
      <c r="M7" s="2962">
        <v>24.35</v>
      </c>
      <c r="N7" s="2962" t="s">
        <v>3138</v>
      </c>
    </row>
    <row r="8" spans="1:14" s="2958" customFormat="1">
      <c r="A8" s="2958" t="s">
        <v>3139</v>
      </c>
      <c r="B8" s="2958" t="s">
        <v>3062</v>
      </c>
      <c r="C8" s="2958" t="s">
        <v>3118</v>
      </c>
      <c r="D8" s="2958">
        <v>75405.59</v>
      </c>
      <c r="E8" s="2958">
        <v>163968</v>
      </c>
      <c r="F8" s="2958">
        <v>2.2000000000000002</v>
      </c>
      <c r="G8" s="2958" t="s">
        <v>3119</v>
      </c>
      <c r="H8" s="2958" t="s">
        <v>3140</v>
      </c>
      <c r="I8" s="2958">
        <v>415000</v>
      </c>
      <c r="J8" s="2958">
        <v>415000</v>
      </c>
      <c r="K8" s="2958">
        <v>25309.81</v>
      </c>
      <c r="L8" s="2958">
        <f t="shared" si="0"/>
        <v>55036</v>
      </c>
      <c r="M8" s="2958">
        <v>0</v>
      </c>
      <c r="N8" s="2958" t="s">
        <v>3141</v>
      </c>
    </row>
    <row r="9" spans="1:14" s="2958" customFormat="1">
      <c r="A9" s="2958" t="s">
        <v>3142</v>
      </c>
      <c r="B9" s="2958" t="s">
        <v>3062</v>
      </c>
      <c r="C9" s="2958" t="s">
        <v>3123</v>
      </c>
      <c r="D9" s="2958">
        <v>53213.75</v>
      </c>
      <c r="E9" s="2958">
        <v>100410</v>
      </c>
      <c r="F9" s="2958">
        <v>1.9</v>
      </c>
      <c r="G9" s="2958" t="s">
        <v>3119</v>
      </c>
      <c r="H9" s="2958" t="s">
        <v>3143</v>
      </c>
      <c r="I9" s="2958">
        <v>235000</v>
      </c>
      <c r="J9" s="2958">
        <v>289000</v>
      </c>
      <c r="K9" s="2958">
        <v>28781.99</v>
      </c>
      <c r="L9" s="2958">
        <f t="shared" si="0"/>
        <v>54309</v>
      </c>
      <c r="M9" s="2958">
        <v>22.98</v>
      </c>
      <c r="N9" s="2958" t="s">
        <v>3144</v>
      </c>
    </row>
    <row r="10" spans="1:14" s="2958" customFormat="1">
      <c r="A10" s="2958" t="s">
        <v>3145</v>
      </c>
      <c r="B10" s="2958" t="s">
        <v>3062</v>
      </c>
      <c r="C10" s="2958" t="s">
        <v>3118</v>
      </c>
      <c r="D10" s="2958">
        <v>230355.9</v>
      </c>
      <c r="E10" s="2958">
        <v>249999</v>
      </c>
      <c r="F10" s="2958">
        <v>1.0900000000000001</v>
      </c>
      <c r="G10" s="2958" t="s">
        <v>3119</v>
      </c>
      <c r="H10" s="2958" t="s">
        <v>3146</v>
      </c>
      <c r="I10" s="2958">
        <v>500000</v>
      </c>
      <c r="J10" s="2958">
        <v>585000</v>
      </c>
      <c r="K10" s="2958">
        <v>23400.09</v>
      </c>
      <c r="L10" s="2958">
        <f t="shared" si="0"/>
        <v>25395</v>
      </c>
      <c r="M10" s="2958">
        <v>17</v>
      </c>
      <c r="N10" s="2958" t="s">
        <v>3147</v>
      </c>
    </row>
    <row r="11" spans="1:14" s="2958" customFormat="1">
      <c r="A11" s="2958" t="s">
        <v>3148</v>
      </c>
      <c r="B11" s="2958" t="s">
        <v>3062</v>
      </c>
      <c r="C11" s="2958" t="s">
        <v>3118</v>
      </c>
      <c r="D11" s="2958">
        <v>59264.17</v>
      </c>
      <c r="E11" s="2958">
        <v>160140</v>
      </c>
      <c r="F11" s="2958">
        <v>2.7</v>
      </c>
      <c r="G11" s="2958" t="s">
        <v>3149</v>
      </c>
      <c r="H11" s="2958" t="s">
        <v>3150</v>
      </c>
      <c r="I11" s="2958" t="s">
        <v>1331</v>
      </c>
      <c r="J11" s="2958" t="s">
        <v>1331</v>
      </c>
      <c r="K11" s="2958" t="s">
        <v>1331</v>
      </c>
      <c r="L11" s="2958" t="e">
        <f t="shared" si="0"/>
        <v>#VALUE!</v>
      </c>
      <c r="M11" s="2958" t="s">
        <v>1331</v>
      </c>
      <c r="N11" s="2958" t="s">
        <v>3151</v>
      </c>
    </row>
    <row r="12" spans="1:14" s="2958" customFormat="1">
      <c r="A12" s="2958" t="s">
        <v>3152</v>
      </c>
      <c r="B12" s="2958" t="s">
        <v>3062</v>
      </c>
      <c r="C12" s="2958" t="s">
        <v>3118</v>
      </c>
      <c r="D12" s="2958">
        <v>117633.1</v>
      </c>
      <c r="E12" s="2958">
        <v>239373</v>
      </c>
      <c r="F12" s="2958">
        <v>2.0299999999999998</v>
      </c>
      <c r="G12" s="2958" t="s">
        <v>3119</v>
      </c>
      <c r="H12" s="2958" t="s">
        <v>3153</v>
      </c>
      <c r="I12" s="2958">
        <v>556000</v>
      </c>
      <c r="J12" s="2958">
        <v>834000</v>
      </c>
      <c r="K12" s="2958">
        <v>34841.01</v>
      </c>
      <c r="L12" s="2958">
        <f t="shared" si="0"/>
        <v>70898</v>
      </c>
      <c r="M12" s="2958">
        <v>50</v>
      </c>
      <c r="N12" s="2958" t="s">
        <v>3154</v>
      </c>
    </row>
    <row r="13" spans="1:14" s="2958" customFormat="1">
      <c r="A13" s="2958" t="s">
        <v>3155</v>
      </c>
      <c r="B13" s="2958" t="s">
        <v>3062</v>
      </c>
      <c r="C13" s="2958" t="s">
        <v>3118</v>
      </c>
      <c r="D13" s="2958">
        <v>132433.29999999999</v>
      </c>
      <c r="E13" s="2958">
        <v>254197</v>
      </c>
      <c r="F13" s="2958">
        <v>1.92</v>
      </c>
      <c r="G13" s="2958" t="s">
        <v>3119</v>
      </c>
      <c r="H13" s="2958" t="s">
        <v>3156</v>
      </c>
      <c r="I13" s="2958">
        <v>573000</v>
      </c>
      <c r="J13" s="2958">
        <v>859500</v>
      </c>
      <c r="K13" s="2958">
        <v>33812.36</v>
      </c>
      <c r="L13" s="2958">
        <f t="shared" si="0"/>
        <v>64901</v>
      </c>
      <c r="M13" s="2958">
        <v>50</v>
      </c>
      <c r="N13" s="2958" t="s">
        <v>3157</v>
      </c>
    </row>
    <row r="14" spans="1:14" s="2958" customFormat="1">
      <c r="A14" s="2958" t="s">
        <v>3158</v>
      </c>
      <c r="B14" s="2958" t="s">
        <v>3062</v>
      </c>
      <c r="C14" s="2958" t="s">
        <v>3118</v>
      </c>
      <c r="D14" s="2958">
        <v>104578</v>
      </c>
      <c r="E14" s="2958">
        <v>203821</v>
      </c>
      <c r="F14" s="2958">
        <v>1.95</v>
      </c>
      <c r="G14" s="2958" t="s">
        <v>3119</v>
      </c>
      <c r="H14" s="2958" t="s">
        <v>3159</v>
      </c>
      <c r="I14" s="2958">
        <v>330000</v>
      </c>
      <c r="J14" s="2958">
        <v>495000</v>
      </c>
      <c r="K14" s="2958">
        <v>24286.02</v>
      </c>
      <c r="L14" s="2958">
        <f t="shared" si="0"/>
        <v>47333</v>
      </c>
      <c r="M14" s="2958">
        <v>50</v>
      </c>
      <c r="N14" s="2958" t="s">
        <v>3160</v>
      </c>
    </row>
    <row r="15" spans="1:14" s="2963" customFormat="1">
      <c r="A15" s="2963" t="s">
        <v>3161</v>
      </c>
      <c r="B15" s="2963" t="s">
        <v>3062</v>
      </c>
      <c r="C15" s="2963" t="s">
        <v>3118</v>
      </c>
      <c r="D15" s="2963">
        <v>84985.06</v>
      </c>
      <c r="E15" s="2963">
        <v>166387</v>
      </c>
      <c r="F15" s="2963">
        <v>1.96</v>
      </c>
      <c r="G15" s="2963" t="s">
        <v>3119</v>
      </c>
      <c r="H15" s="2963" t="s">
        <v>3162</v>
      </c>
      <c r="I15" s="2963">
        <v>335000</v>
      </c>
      <c r="J15" s="2963">
        <v>502500</v>
      </c>
      <c r="K15" s="2963">
        <v>30200.68</v>
      </c>
      <c r="L15" s="2963">
        <f t="shared" si="0"/>
        <v>59128</v>
      </c>
      <c r="M15" s="2963">
        <v>50</v>
      </c>
      <c r="N15" s="2963" t="s">
        <v>3163</v>
      </c>
    </row>
    <row r="16" spans="1:14" s="2958" customFormat="1">
      <c r="A16" s="2958" t="s">
        <v>3164</v>
      </c>
      <c r="B16" s="2958" t="s">
        <v>3062</v>
      </c>
      <c r="C16" s="2958" t="s">
        <v>3118</v>
      </c>
      <c r="D16" s="2958">
        <v>93400</v>
      </c>
      <c r="E16" s="2958">
        <v>290000</v>
      </c>
      <c r="F16" s="2958" t="s">
        <v>3165</v>
      </c>
      <c r="G16" s="2958" t="s">
        <v>3149</v>
      </c>
      <c r="H16" s="2958" t="s">
        <v>3166</v>
      </c>
      <c r="I16" s="2958" t="s">
        <v>1331</v>
      </c>
      <c r="J16" s="2958">
        <v>485745</v>
      </c>
      <c r="K16" s="2958">
        <v>16749.830000000002</v>
      </c>
      <c r="L16" s="2958">
        <f t="shared" si="0"/>
        <v>52007</v>
      </c>
      <c r="M16" s="2958" t="s">
        <v>1331</v>
      </c>
      <c r="N16" s="2958" t="s">
        <v>3167</v>
      </c>
    </row>
    <row r="17" spans="1:14">
      <c r="L17" s="2958"/>
    </row>
    <row r="18" spans="1:14" s="2958" customFormat="1">
      <c r="A18" s="2958" t="s">
        <v>3168</v>
      </c>
      <c r="B18" s="2958" t="s">
        <v>3062</v>
      </c>
      <c r="C18" s="2958" t="s">
        <v>3118</v>
      </c>
      <c r="D18" s="2958">
        <v>74979.98</v>
      </c>
      <c r="E18" s="2958">
        <v>84324</v>
      </c>
      <c r="F18" s="2958">
        <v>1.1246201986183511</v>
      </c>
      <c r="G18" s="2958" t="s">
        <v>3119</v>
      </c>
      <c r="H18" s="2958" t="s">
        <v>3169</v>
      </c>
      <c r="I18" s="2958">
        <v>205000</v>
      </c>
      <c r="J18" s="2958">
        <v>291000</v>
      </c>
      <c r="K18" s="2958">
        <v>34509.75</v>
      </c>
      <c r="L18" s="2958">
        <f t="shared" si="0"/>
        <v>38810</v>
      </c>
      <c r="M18" s="2958">
        <v>41.95</v>
      </c>
      <c r="N18" s="2958" t="s">
        <v>3170</v>
      </c>
    </row>
    <row r="19" spans="1:14" s="2958" customFormat="1">
      <c r="A19" s="2958" t="s">
        <v>3171</v>
      </c>
      <c r="B19" s="2958" t="s">
        <v>3062</v>
      </c>
      <c r="C19" s="2958" t="s">
        <v>3118</v>
      </c>
      <c r="D19" s="2958">
        <v>53689</v>
      </c>
      <c r="E19" s="2958">
        <v>110976</v>
      </c>
      <c r="F19" s="2958">
        <v>2.0670155897856168</v>
      </c>
      <c r="G19" s="2958" t="s">
        <v>3119</v>
      </c>
      <c r="H19" s="2958" t="s">
        <v>3172</v>
      </c>
      <c r="I19" s="2958">
        <v>206000</v>
      </c>
      <c r="J19" s="2958">
        <v>208000</v>
      </c>
      <c r="K19" s="2958">
        <v>18742.79</v>
      </c>
      <c r="L19" s="2958">
        <f t="shared" si="0"/>
        <v>38742</v>
      </c>
      <c r="M19" s="2958">
        <v>0.97</v>
      </c>
      <c r="N19" s="2958" t="s">
        <v>3173</v>
      </c>
    </row>
    <row r="20" spans="1:14" s="2958" customFormat="1">
      <c r="A20" s="2958" t="s">
        <v>3174</v>
      </c>
      <c r="B20" s="2958" t="s">
        <v>3062</v>
      </c>
      <c r="C20" s="2958" t="s">
        <v>3123</v>
      </c>
      <c r="D20" s="2958">
        <v>39735</v>
      </c>
      <c r="E20" s="2958">
        <v>87417</v>
      </c>
      <c r="F20" s="2958">
        <v>2.2000000000000002</v>
      </c>
      <c r="G20" s="2958" t="s">
        <v>3119</v>
      </c>
      <c r="H20" s="2958" t="s">
        <v>3172</v>
      </c>
      <c r="I20" s="2958">
        <v>170000</v>
      </c>
      <c r="J20" s="2958">
        <v>172700</v>
      </c>
      <c r="K20" s="2958">
        <v>19755.88</v>
      </c>
      <c r="L20" s="2958">
        <f t="shared" si="0"/>
        <v>43463</v>
      </c>
      <c r="M20" s="2958">
        <v>1.59</v>
      </c>
      <c r="N20" s="2958" t="s">
        <v>3170</v>
      </c>
    </row>
    <row r="21" spans="1:14" s="2958" customFormat="1">
      <c r="A21" s="2958" t="s">
        <v>3175</v>
      </c>
      <c r="B21" s="2958" t="s">
        <v>3062</v>
      </c>
      <c r="C21" s="2958" t="s">
        <v>3123</v>
      </c>
      <c r="D21" s="2958">
        <v>36365.370000000003</v>
      </c>
      <c r="E21" s="2958">
        <v>65458</v>
      </c>
      <c r="F21" s="2958">
        <v>1.8</v>
      </c>
      <c r="G21" s="2958" t="s">
        <v>3119</v>
      </c>
      <c r="H21" s="2958" t="s">
        <v>3176</v>
      </c>
      <c r="I21" s="2958">
        <v>180000</v>
      </c>
      <c r="J21" s="2958">
        <v>260000</v>
      </c>
      <c r="K21" s="2958">
        <v>39720.120000000003</v>
      </c>
      <c r="L21" s="2958">
        <f t="shared" si="0"/>
        <v>71497</v>
      </c>
      <c r="M21" s="2958">
        <v>44.44</v>
      </c>
      <c r="N21" s="2958" t="s">
        <v>3177</v>
      </c>
    </row>
    <row r="22" spans="1:14" s="2961" customFormat="1">
      <c r="A22" s="2961" t="s">
        <v>3178</v>
      </c>
      <c r="B22" s="2961" t="s">
        <v>3062</v>
      </c>
      <c r="C22" s="2961" t="s">
        <v>3118</v>
      </c>
      <c r="D22" s="2961">
        <v>151738.6</v>
      </c>
      <c r="E22" s="2961">
        <v>152374</v>
      </c>
      <c r="F22" s="2961">
        <v>1.004</v>
      </c>
      <c r="G22" s="2961" t="s">
        <v>3119</v>
      </c>
      <c r="H22" s="2961" t="s">
        <v>3120</v>
      </c>
      <c r="I22" s="2961">
        <v>460000</v>
      </c>
      <c r="J22" s="2961">
        <v>685400</v>
      </c>
      <c r="K22" s="2961">
        <v>44981.43</v>
      </c>
      <c r="L22" s="2961">
        <f t="shared" si="0"/>
        <v>45170</v>
      </c>
      <c r="M22" s="2961">
        <v>49</v>
      </c>
      <c r="N22" s="2961" t="s">
        <v>3179</v>
      </c>
    </row>
    <row r="23" spans="1:14" s="2958" customFormat="1">
      <c r="A23" s="2958" t="s">
        <v>3180</v>
      </c>
      <c r="B23" s="2958" t="s">
        <v>3062</v>
      </c>
      <c r="C23" s="2958" t="s">
        <v>3123</v>
      </c>
      <c r="D23" s="2958">
        <v>39199.449999999997</v>
      </c>
      <c r="E23" s="2958">
        <v>97998</v>
      </c>
      <c r="F23" s="2958">
        <v>2.5</v>
      </c>
      <c r="G23" s="2958" t="s">
        <v>3119</v>
      </c>
      <c r="H23" s="2958" t="s">
        <v>3181</v>
      </c>
      <c r="I23" s="2958">
        <v>117500</v>
      </c>
      <c r="J23" s="2958">
        <v>157000</v>
      </c>
      <c r="K23" s="2958">
        <v>16020.73</v>
      </c>
      <c r="L23" s="2958">
        <f t="shared" si="0"/>
        <v>40052</v>
      </c>
      <c r="M23" s="2958">
        <v>33.619999999999997</v>
      </c>
      <c r="N23" s="2958" t="s">
        <v>3182</v>
      </c>
    </row>
    <row r="24" spans="1:14" s="2958" customFormat="1">
      <c r="A24" s="2958" t="s">
        <v>3183</v>
      </c>
      <c r="B24" s="2958" t="s">
        <v>3062</v>
      </c>
      <c r="C24" s="2958" t="s">
        <v>3118</v>
      </c>
      <c r="D24" s="2958">
        <v>32797.360000000001</v>
      </c>
      <c r="E24" s="2958">
        <v>91833</v>
      </c>
      <c r="F24" s="2958">
        <v>2.8</v>
      </c>
      <c r="G24" s="2958" t="s">
        <v>3119</v>
      </c>
      <c r="H24" s="2958" t="s">
        <v>3181</v>
      </c>
      <c r="I24" s="2958">
        <v>165000</v>
      </c>
      <c r="J24" s="2958">
        <v>165000</v>
      </c>
      <c r="K24" s="2958">
        <v>17967.400000000001</v>
      </c>
      <c r="L24" s="2958">
        <f t="shared" si="0"/>
        <v>50309</v>
      </c>
      <c r="M24" s="2958">
        <v>0</v>
      </c>
      <c r="N24" s="2958" t="s">
        <v>3179</v>
      </c>
    </row>
    <row r="25" spans="1:14" s="2958" customFormat="1">
      <c r="A25" s="2958" t="s">
        <v>3184</v>
      </c>
      <c r="B25" s="2958" t="s">
        <v>3062</v>
      </c>
      <c r="C25" s="2958" t="s">
        <v>3123</v>
      </c>
      <c r="D25" s="2958">
        <v>82458.61</v>
      </c>
      <c r="E25" s="2958">
        <v>99309</v>
      </c>
      <c r="F25" s="2958">
        <v>1.2</v>
      </c>
      <c r="G25" s="2958" t="s">
        <v>3119</v>
      </c>
      <c r="H25" s="2958" t="s">
        <v>3185</v>
      </c>
      <c r="I25" s="2958">
        <v>267800</v>
      </c>
      <c r="J25" s="2958">
        <v>345000</v>
      </c>
      <c r="K25" s="2958">
        <v>34740.050000000003</v>
      </c>
      <c r="L25" s="2958">
        <f t="shared" si="0"/>
        <v>41839</v>
      </c>
      <c r="M25" s="2958">
        <v>28.83</v>
      </c>
      <c r="N25" s="2958" t="s">
        <v>3186</v>
      </c>
    </row>
    <row r="26" spans="1:14" s="2958" customFormat="1">
      <c r="A26" s="2958" t="s">
        <v>3187</v>
      </c>
      <c r="B26" s="2958" t="s">
        <v>3062</v>
      </c>
      <c r="C26" s="2958" t="s">
        <v>3123</v>
      </c>
      <c r="D26" s="2958">
        <v>74464</v>
      </c>
      <c r="E26" s="2958">
        <v>119142</v>
      </c>
      <c r="F26" s="2958">
        <v>1.6</v>
      </c>
      <c r="G26" s="2958" t="s">
        <v>3119</v>
      </c>
      <c r="H26" s="2958" t="s">
        <v>3185</v>
      </c>
      <c r="I26" s="2958">
        <v>230000</v>
      </c>
      <c r="J26" s="2958">
        <v>327500</v>
      </c>
      <c r="K26" s="2958">
        <v>27488.2</v>
      </c>
      <c r="L26" s="2958">
        <f t="shared" si="0"/>
        <v>43981</v>
      </c>
      <c r="M26" s="2958">
        <v>42.39</v>
      </c>
      <c r="N26" s="2958" t="s">
        <v>3170</v>
      </c>
    </row>
    <row r="27" spans="1:14" s="2958" customFormat="1">
      <c r="A27" s="2958" t="s">
        <v>3188</v>
      </c>
      <c r="B27" s="2958" t="s">
        <v>3062</v>
      </c>
      <c r="C27" s="2958" t="s">
        <v>3118</v>
      </c>
      <c r="D27" s="2958">
        <v>315990.3</v>
      </c>
      <c r="E27" s="2958">
        <v>272690</v>
      </c>
      <c r="F27" s="2958">
        <v>0.86</v>
      </c>
      <c r="G27" s="2958" t="s">
        <v>3119</v>
      </c>
      <c r="H27" s="2958" t="s">
        <v>3185</v>
      </c>
      <c r="I27" s="2958">
        <v>465000</v>
      </c>
      <c r="J27" s="2958">
        <v>465000</v>
      </c>
      <c r="K27" s="2958">
        <v>17052.330000000002</v>
      </c>
      <c r="L27" s="2958">
        <f t="shared" si="0"/>
        <v>14716</v>
      </c>
      <c r="M27" s="2958">
        <v>0</v>
      </c>
      <c r="N27" s="2958" t="s">
        <v>3189</v>
      </c>
    </row>
    <row r="28" spans="1:14" s="2958" customFormat="1">
      <c r="A28" s="2958" t="s">
        <v>3190</v>
      </c>
      <c r="B28" s="2958" t="s">
        <v>3062</v>
      </c>
      <c r="C28" s="2958" t="s">
        <v>3118</v>
      </c>
      <c r="D28" s="2958">
        <v>39491.11</v>
      </c>
      <c r="E28" s="2958">
        <v>98728</v>
      </c>
      <c r="F28" s="2958">
        <v>2.5</v>
      </c>
      <c r="G28" s="2958" t="s">
        <v>3119</v>
      </c>
      <c r="H28" s="2958" t="s">
        <v>3124</v>
      </c>
      <c r="I28" s="2958">
        <v>266000</v>
      </c>
      <c r="J28" s="2958">
        <v>302500</v>
      </c>
      <c r="K28" s="2958">
        <v>30639.74</v>
      </c>
      <c r="L28" s="2958">
        <f t="shared" si="0"/>
        <v>76600</v>
      </c>
      <c r="M28" s="2958">
        <v>13.72</v>
      </c>
      <c r="N28" s="2958" t="s">
        <v>3191</v>
      </c>
    </row>
    <row r="29" spans="1:14" s="2958" customFormat="1">
      <c r="A29" s="2958" t="s">
        <v>3192</v>
      </c>
      <c r="B29" s="2958" t="s">
        <v>3062</v>
      </c>
      <c r="C29" s="2958" t="s">
        <v>3118</v>
      </c>
      <c r="D29" s="2958">
        <v>55477.35</v>
      </c>
      <c r="E29" s="2958">
        <v>87924</v>
      </c>
      <c r="F29" s="2958">
        <v>1.58</v>
      </c>
      <c r="G29" s="2958" t="s">
        <v>3119</v>
      </c>
      <c r="H29" s="2958" t="s">
        <v>3193</v>
      </c>
      <c r="I29" s="2958">
        <v>150000</v>
      </c>
      <c r="J29" s="2958">
        <v>168000</v>
      </c>
      <c r="K29" s="2958">
        <v>19107.400000000001</v>
      </c>
      <c r="L29" s="2958">
        <f t="shared" si="0"/>
        <v>30283</v>
      </c>
      <c r="M29" s="2958">
        <v>12</v>
      </c>
      <c r="N29" s="2958" t="s">
        <v>3194</v>
      </c>
    </row>
    <row r="30" spans="1:14" s="2958" customFormat="1">
      <c r="A30" s="2958" t="s">
        <v>3195</v>
      </c>
      <c r="B30" s="2958" t="s">
        <v>3062</v>
      </c>
      <c r="C30" s="2958" t="s">
        <v>3123</v>
      </c>
      <c r="D30" s="2958">
        <v>20291.37</v>
      </c>
      <c r="E30" s="2958">
        <v>36524</v>
      </c>
      <c r="F30" s="2958">
        <v>1.8</v>
      </c>
      <c r="G30" s="2958" t="s">
        <v>3149</v>
      </c>
      <c r="H30" s="2958" t="s">
        <v>3196</v>
      </c>
      <c r="I30" s="2958" t="s">
        <v>1331</v>
      </c>
      <c r="J30" s="2958">
        <v>62800</v>
      </c>
      <c r="K30" s="2958">
        <v>17194.16</v>
      </c>
      <c r="L30" s="2958">
        <f t="shared" si="0"/>
        <v>30949</v>
      </c>
      <c r="M30" s="2958" t="s">
        <v>1331</v>
      </c>
      <c r="N30" s="2958" t="s">
        <v>3197</v>
      </c>
    </row>
    <row r="31" spans="1:14" s="2958" customFormat="1">
      <c r="A31" s="2958" t="s">
        <v>3198</v>
      </c>
      <c r="B31" s="2958" t="s">
        <v>3062</v>
      </c>
      <c r="C31" s="2958" t="s">
        <v>3118</v>
      </c>
      <c r="D31" s="2958">
        <v>175114.7</v>
      </c>
      <c r="E31" s="2958">
        <v>299579</v>
      </c>
      <c r="F31" s="2958">
        <v>1.7</v>
      </c>
      <c r="G31" s="2958" t="s">
        <v>3119</v>
      </c>
      <c r="H31" s="2958" t="s">
        <v>3199</v>
      </c>
      <c r="I31" s="2958">
        <v>453000</v>
      </c>
      <c r="J31" s="2958">
        <v>545000</v>
      </c>
      <c r="K31" s="2958">
        <v>18192.2</v>
      </c>
      <c r="L31" s="2958">
        <f t="shared" si="0"/>
        <v>31122</v>
      </c>
      <c r="M31" s="2958">
        <v>20.309999999999999</v>
      </c>
      <c r="N31" s="2958" t="s">
        <v>3170</v>
      </c>
    </row>
    <row r="32" spans="1:14" s="2958" customFormat="1">
      <c r="A32" s="2958" t="s">
        <v>3200</v>
      </c>
      <c r="B32" s="2958" t="s">
        <v>3062</v>
      </c>
      <c r="C32" s="2958" t="s">
        <v>3123</v>
      </c>
      <c r="D32" s="2958">
        <v>53525.81</v>
      </c>
      <c r="E32" s="2958">
        <v>58878</v>
      </c>
      <c r="F32" s="2958">
        <v>1.1000000000000001</v>
      </c>
      <c r="G32" s="2958" t="s">
        <v>3119</v>
      </c>
      <c r="H32" s="2958" t="s">
        <v>3199</v>
      </c>
      <c r="I32" s="2958">
        <v>333100</v>
      </c>
      <c r="J32" s="2958">
        <v>336500</v>
      </c>
      <c r="K32" s="2958">
        <v>57152.08</v>
      </c>
      <c r="L32" s="2958">
        <f t="shared" si="0"/>
        <v>62867</v>
      </c>
      <c r="M32" s="2958">
        <v>1.02</v>
      </c>
      <c r="N32" s="2958" t="s">
        <v>3201</v>
      </c>
    </row>
    <row r="33" spans="1:14" s="2958" customFormat="1">
      <c r="A33" s="2958" t="s">
        <v>3202</v>
      </c>
      <c r="B33" s="2958" t="s">
        <v>3062</v>
      </c>
      <c r="C33" s="2958" t="s">
        <v>3118</v>
      </c>
      <c r="D33" s="2958">
        <v>122262</v>
      </c>
      <c r="E33" s="2958">
        <v>285496</v>
      </c>
      <c r="F33" s="2958">
        <v>2.335</v>
      </c>
      <c r="G33" s="2958" t="s">
        <v>3119</v>
      </c>
      <c r="H33" s="2958" t="s">
        <v>3203</v>
      </c>
      <c r="I33" s="2958">
        <v>328500</v>
      </c>
      <c r="J33" s="2958">
        <v>328500</v>
      </c>
      <c r="K33" s="2958">
        <v>11506.29</v>
      </c>
      <c r="L33" s="2958">
        <f t="shared" si="0"/>
        <v>26869</v>
      </c>
      <c r="M33" s="2958">
        <v>0</v>
      </c>
      <c r="N33" s="2958" t="s">
        <v>3204</v>
      </c>
    </row>
    <row r="34" spans="1:14" s="2958" customFormat="1">
      <c r="A34" s="2958" t="s">
        <v>3205</v>
      </c>
      <c r="B34" s="2958" t="s">
        <v>3062</v>
      </c>
      <c r="C34" s="2958" t="s">
        <v>3123</v>
      </c>
      <c r="D34" s="2958">
        <v>74772.84</v>
      </c>
      <c r="E34" s="2958">
        <v>134591</v>
      </c>
      <c r="F34" s="2958">
        <v>1.8</v>
      </c>
      <c r="G34" s="2958" t="s">
        <v>3119</v>
      </c>
      <c r="H34" s="2958" t="s">
        <v>3203</v>
      </c>
      <c r="I34" s="2958">
        <v>472300</v>
      </c>
      <c r="J34" s="2958">
        <v>550000</v>
      </c>
      <c r="K34" s="2958">
        <v>40864.550000000003</v>
      </c>
      <c r="L34" s="2958">
        <f t="shared" si="0"/>
        <v>73556</v>
      </c>
      <c r="M34" s="2958">
        <v>16.45</v>
      </c>
      <c r="N34" s="2958" t="s">
        <v>3160</v>
      </c>
    </row>
    <row r="35" spans="1:14" s="2958" customFormat="1">
      <c r="A35" s="2958" t="s">
        <v>3206</v>
      </c>
      <c r="B35" s="2958" t="s">
        <v>3062</v>
      </c>
      <c r="C35" s="2958" t="s">
        <v>3123</v>
      </c>
      <c r="D35" s="2958">
        <v>90394.02</v>
      </c>
      <c r="E35" s="2958">
        <v>99433</v>
      </c>
      <c r="F35" s="2958">
        <v>1.1000000000000001</v>
      </c>
      <c r="G35" s="2958" t="s">
        <v>3119</v>
      </c>
      <c r="H35" s="2958" t="s">
        <v>3127</v>
      </c>
      <c r="I35" s="2958">
        <v>557900</v>
      </c>
      <c r="J35" s="2958">
        <v>610000</v>
      </c>
      <c r="K35" s="2958">
        <v>61347.83</v>
      </c>
      <c r="L35" s="2958">
        <f t="shared" si="0"/>
        <v>67482</v>
      </c>
      <c r="M35" s="2958">
        <v>9.34</v>
      </c>
      <c r="N35" s="2958" t="s">
        <v>3207</v>
      </c>
    </row>
    <row r="36" spans="1:14" s="2958" customFormat="1">
      <c r="A36" s="2958" t="s">
        <v>3208</v>
      </c>
      <c r="B36" s="2958" t="s">
        <v>3062</v>
      </c>
      <c r="C36" s="2958" t="s">
        <v>3123</v>
      </c>
      <c r="D36" s="2958">
        <v>6180.98</v>
      </c>
      <c r="E36" s="2958">
        <v>32400</v>
      </c>
      <c r="F36" s="2958">
        <v>5.24</v>
      </c>
      <c r="G36" s="2958" t="s">
        <v>3149</v>
      </c>
      <c r="H36" s="2958" t="s">
        <v>3209</v>
      </c>
      <c r="I36" s="2958" t="s">
        <v>1331</v>
      </c>
      <c r="J36" s="2958" t="s">
        <v>1331</v>
      </c>
      <c r="K36" s="2958" t="s">
        <v>1331</v>
      </c>
      <c r="L36" s="2958" t="e">
        <f t="shared" si="0"/>
        <v>#VALUE!</v>
      </c>
      <c r="M36" s="2958" t="s">
        <v>1331</v>
      </c>
      <c r="N36" s="2958" t="s">
        <v>3210</v>
      </c>
    </row>
    <row r="37" spans="1:14" s="2958" customFormat="1">
      <c r="A37" s="2958" t="s">
        <v>3211</v>
      </c>
      <c r="B37" s="2958" t="s">
        <v>3062</v>
      </c>
      <c r="C37" s="2958" t="s">
        <v>3118</v>
      </c>
      <c r="D37" s="2958">
        <v>71022.78</v>
      </c>
      <c r="E37" s="2958">
        <v>170414</v>
      </c>
      <c r="F37" s="2958">
        <v>2.4</v>
      </c>
      <c r="G37" s="2958" t="s">
        <v>3119</v>
      </c>
      <c r="H37" s="2958" t="s">
        <v>3212</v>
      </c>
      <c r="I37" s="2958">
        <v>450000</v>
      </c>
      <c r="J37" s="2958">
        <v>648000</v>
      </c>
      <c r="K37" s="2958">
        <v>38025.040000000001</v>
      </c>
      <c r="L37" s="2958">
        <f t="shared" si="0"/>
        <v>91238</v>
      </c>
      <c r="M37" s="2958">
        <v>44</v>
      </c>
      <c r="N37" s="2958" t="s">
        <v>3213</v>
      </c>
    </row>
    <row r="38" spans="1:14" s="2958" customFormat="1">
      <c r="A38" s="2958" t="s">
        <v>3214</v>
      </c>
      <c r="B38" s="2958" t="s">
        <v>3062</v>
      </c>
      <c r="C38" s="2958" t="s">
        <v>3118</v>
      </c>
      <c r="D38" s="2958">
        <v>132352.79999999999</v>
      </c>
      <c r="E38" s="2958">
        <v>201775</v>
      </c>
      <c r="F38" s="2958">
        <v>1.52</v>
      </c>
      <c r="G38" s="2958" t="s">
        <v>3119</v>
      </c>
      <c r="H38" s="2958" t="s">
        <v>3215</v>
      </c>
      <c r="I38" s="2958">
        <v>365000</v>
      </c>
      <c r="J38" s="2958">
        <v>380000</v>
      </c>
      <c r="K38" s="2958">
        <v>18832.86</v>
      </c>
      <c r="L38" s="2958">
        <f t="shared" si="0"/>
        <v>28711</v>
      </c>
      <c r="M38" s="2958">
        <v>4.1100000000000003</v>
      </c>
      <c r="N38" s="2958" t="s">
        <v>3216</v>
      </c>
    </row>
    <row r="39" spans="1:14" s="2958" customFormat="1">
      <c r="A39" s="2958" t="s">
        <v>3217</v>
      </c>
      <c r="B39" s="2958" t="s">
        <v>3062</v>
      </c>
      <c r="C39" s="2958" t="s">
        <v>3123</v>
      </c>
      <c r="D39" s="2958">
        <v>35847.35</v>
      </c>
      <c r="E39" s="2958">
        <v>75279</v>
      </c>
      <c r="F39" s="2958">
        <v>2.1</v>
      </c>
      <c r="G39" s="2958" t="s">
        <v>3119</v>
      </c>
      <c r="H39" s="2958" t="s">
        <v>3215</v>
      </c>
      <c r="I39" s="2958">
        <v>170000</v>
      </c>
      <c r="J39" s="2958">
        <v>186000</v>
      </c>
      <c r="K39" s="2958">
        <v>24708.09</v>
      </c>
      <c r="L39" s="2958">
        <f t="shared" si="0"/>
        <v>51887</v>
      </c>
      <c r="M39" s="2958">
        <v>9.41</v>
      </c>
      <c r="N39" s="2958" t="s">
        <v>3218</v>
      </c>
    </row>
    <row r="40" spans="1:14" s="2958" customFormat="1">
      <c r="A40" s="2958" t="s">
        <v>3219</v>
      </c>
      <c r="B40" s="2958" t="s">
        <v>3062</v>
      </c>
      <c r="C40" s="2958" t="s">
        <v>3118</v>
      </c>
      <c r="D40" s="2958">
        <v>105309.9</v>
      </c>
      <c r="E40" s="2958">
        <v>201320</v>
      </c>
      <c r="F40" s="2958">
        <v>1.9116899999999999</v>
      </c>
      <c r="G40" s="2958" t="s">
        <v>3119</v>
      </c>
      <c r="H40" s="2958" t="s">
        <v>3220</v>
      </c>
      <c r="I40" s="2958">
        <v>692500</v>
      </c>
      <c r="J40" s="2958">
        <v>762000</v>
      </c>
      <c r="K40" s="2958">
        <v>37850.19</v>
      </c>
      <c r="L40" s="2958">
        <f t="shared" si="0"/>
        <v>72358</v>
      </c>
      <c r="M40" s="2958">
        <v>10.039999999999999</v>
      </c>
      <c r="N40" s="2958" t="s">
        <v>3221</v>
      </c>
    </row>
    <row r="41" spans="1:14" s="2958" customFormat="1">
      <c r="A41" s="2958" t="s">
        <v>3222</v>
      </c>
      <c r="B41" s="2958" t="s">
        <v>3062</v>
      </c>
      <c r="C41" s="2958" t="s">
        <v>3118</v>
      </c>
      <c r="D41" s="2958">
        <v>202550.5</v>
      </c>
      <c r="E41" s="2958">
        <v>346496</v>
      </c>
      <c r="F41" s="2958">
        <v>1.7</v>
      </c>
      <c r="G41" s="2958" t="s">
        <v>3119</v>
      </c>
      <c r="H41" s="2958" t="s">
        <v>3223</v>
      </c>
      <c r="I41" s="2958">
        <v>694000</v>
      </c>
      <c r="J41" s="2958">
        <v>780000</v>
      </c>
      <c r="K41" s="2958">
        <v>22511.08</v>
      </c>
      <c r="L41" s="2958">
        <f t="shared" si="0"/>
        <v>38509</v>
      </c>
      <c r="M41" s="2958">
        <v>12.39</v>
      </c>
      <c r="N41" s="2958" t="s">
        <v>3224</v>
      </c>
    </row>
    <row r="42" spans="1:14" s="2958" customFormat="1">
      <c r="A42" s="2958" t="s">
        <v>3225</v>
      </c>
      <c r="B42" s="2958" t="s">
        <v>3062</v>
      </c>
      <c r="C42" s="2958" t="s">
        <v>3123</v>
      </c>
      <c r="D42" s="2958">
        <v>95947</v>
      </c>
      <c r="E42" s="2958">
        <v>211083</v>
      </c>
      <c r="F42" s="2958">
        <v>2.2000000000000002</v>
      </c>
      <c r="G42" s="2958" t="s">
        <v>3119</v>
      </c>
      <c r="H42" s="2958" t="s">
        <v>3226</v>
      </c>
      <c r="I42" s="2958">
        <v>370000</v>
      </c>
      <c r="J42" s="2958">
        <v>370000</v>
      </c>
      <c r="K42" s="2958">
        <v>17528.650000000001</v>
      </c>
      <c r="L42" s="2958">
        <f t="shared" si="0"/>
        <v>38563</v>
      </c>
      <c r="M42" s="2958">
        <v>0</v>
      </c>
      <c r="N42" s="2958" t="s">
        <v>3227</v>
      </c>
    </row>
    <row r="43" spans="1:14" s="2958" customFormat="1">
      <c r="A43" s="2958" t="s">
        <v>3228</v>
      </c>
      <c r="B43" s="2958" t="s">
        <v>3062</v>
      </c>
      <c r="C43" s="2958" t="s">
        <v>3123</v>
      </c>
      <c r="D43" s="2958">
        <v>66465.42</v>
      </c>
      <c r="E43" s="2958">
        <v>99698</v>
      </c>
      <c r="F43" s="2958">
        <v>1.5</v>
      </c>
      <c r="G43" s="2958" t="s">
        <v>3119</v>
      </c>
      <c r="H43" s="2958" t="s">
        <v>3226</v>
      </c>
      <c r="I43" s="2958">
        <v>185000</v>
      </c>
      <c r="J43" s="2958">
        <v>190000</v>
      </c>
      <c r="K43" s="2958">
        <v>19057.54</v>
      </c>
      <c r="L43" s="2958">
        <f t="shared" si="0"/>
        <v>28586</v>
      </c>
      <c r="M43" s="2958">
        <v>2.7</v>
      </c>
      <c r="N43" s="2958" t="s">
        <v>3204</v>
      </c>
    </row>
    <row r="44" spans="1:14" s="2958" customFormat="1">
      <c r="A44" s="2958" t="s">
        <v>3229</v>
      </c>
      <c r="B44" s="2958" t="s">
        <v>3062</v>
      </c>
      <c r="C44" s="2958" t="s">
        <v>3118</v>
      </c>
      <c r="D44" s="2958">
        <v>216429.7</v>
      </c>
      <c r="E44" s="2958">
        <v>347895</v>
      </c>
      <c r="F44" s="2958">
        <v>1.607</v>
      </c>
      <c r="G44" s="2958" t="s">
        <v>3119</v>
      </c>
      <c r="H44" s="2958" t="s">
        <v>3226</v>
      </c>
      <c r="I44" s="2958">
        <v>719000</v>
      </c>
      <c r="J44" s="2958">
        <v>860000</v>
      </c>
      <c r="K44" s="2958">
        <v>24720.09</v>
      </c>
      <c r="L44" s="2958">
        <f t="shared" si="0"/>
        <v>39736</v>
      </c>
      <c r="M44" s="2958">
        <v>19.61</v>
      </c>
      <c r="N44" s="2958" t="s">
        <v>3230</v>
      </c>
    </row>
    <row r="45" spans="1:14" s="2958" customFormat="1">
      <c r="A45" s="2958" t="s">
        <v>3231</v>
      </c>
      <c r="B45" s="2958" t="s">
        <v>3062</v>
      </c>
      <c r="C45" s="2958" t="s">
        <v>3123</v>
      </c>
      <c r="D45" s="2958">
        <v>77973.48</v>
      </c>
      <c r="E45" s="2958">
        <v>194934</v>
      </c>
      <c r="F45" s="2958">
        <v>2.5</v>
      </c>
      <c r="G45" s="2958" t="s">
        <v>3119</v>
      </c>
      <c r="H45" s="2958" t="s">
        <v>3232</v>
      </c>
      <c r="I45" s="2958">
        <v>498000</v>
      </c>
      <c r="J45" s="2958">
        <v>498000</v>
      </c>
      <c r="K45" s="2958">
        <v>25547.11</v>
      </c>
      <c r="L45" s="2958">
        <f t="shared" si="0"/>
        <v>63868</v>
      </c>
      <c r="M45" s="2958">
        <v>0</v>
      </c>
      <c r="N45" s="2958" t="s">
        <v>3233</v>
      </c>
    </row>
    <row r="46" spans="1:14" s="2958" customFormat="1">
      <c r="A46" s="2958" t="s">
        <v>3234</v>
      </c>
      <c r="B46" s="2958" t="s">
        <v>3062</v>
      </c>
      <c r="C46" s="2958" t="s">
        <v>3123</v>
      </c>
      <c r="D46" s="2958">
        <v>84786.55</v>
      </c>
      <c r="E46" s="2958">
        <v>186530</v>
      </c>
      <c r="F46" s="2958">
        <v>2.2000000000000002</v>
      </c>
      <c r="G46" s="2958" t="s">
        <v>3119</v>
      </c>
      <c r="H46" s="2958" t="s">
        <v>3232</v>
      </c>
      <c r="I46" s="2958">
        <v>532800</v>
      </c>
      <c r="J46" s="2958">
        <v>535500</v>
      </c>
      <c r="K46" s="2958">
        <v>28708.52</v>
      </c>
      <c r="L46" s="2958">
        <f t="shared" si="0"/>
        <v>63159</v>
      </c>
      <c r="M46" s="2958">
        <v>0.51</v>
      </c>
      <c r="N46" s="2958" t="s">
        <v>3235</v>
      </c>
    </row>
    <row r="47" spans="1:14" s="2958" customFormat="1">
      <c r="A47" s="2958" t="s">
        <v>3236</v>
      </c>
      <c r="B47" s="2958" t="s">
        <v>3062</v>
      </c>
      <c r="C47" s="2958" t="s">
        <v>3118</v>
      </c>
      <c r="D47" s="2958">
        <v>65602.95</v>
      </c>
      <c r="E47" s="2958">
        <v>120165</v>
      </c>
      <c r="F47" s="2958">
        <v>1.83</v>
      </c>
      <c r="G47" s="2958" t="s">
        <v>3119</v>
      </c>
      <c r="H47" s="2958" t="s">
        <v>3237</v>
      </c>
      <c r="I47" s="2958">
        <v>330000</v>
      </c>
      <c r="J47" s="2958">
        <v>495000</v>
      </c>
      <c r="K47" s="2958">
        <v>41193.360000000001</v>
      </c>
      <c r="L47" s="2958">
        <f t="shared" si="0"/>
        <v>75454</v>
      </c>
      <c r="M47" s="2958">
        <v>50</v>
      </c>
      <c r="N47" s="2958" t="s">
        <v>3238</v>
      </c>
    </row>
    <row r="48" spans="1:14" s="2958" customFormat="1">
      <c r="A48" s="2958" t="s">
        <v>3239</v>
      </c>
      <c r="B48" s="2958" t="s">
        <v>3062</v>
      </c>
      <c r="C48" s="2958" t="s">
        <v>3118</v>
      </c>
      <c r="D48" s="2958">
        <v>90424</v>
      </c>
      <c r="E48" s="2958">
        <v>220105</v>
      </c>
      <c r="F48" s="2958">
        <v>2.4300000000000002</v>
      </c>
      <c r="G48" s="2958" t="s">
        <v>3119</v>
      </c>
      <c r="H48" s="2958" t="s">
        <v>3237</v>
      </c>
      <c r="I48" s="2958">
        <v>360000</v>
      </c>
      <c r="J48" s="2958">
        <v>360000</v>
      </c>
      <c r="K48" s="2958">
        <v>16355.82</v>
      </c>
      <c r="L48" s="2958">
        <f t="shared" si="0"/>
        <v>39812</v>
      </c>
      <c r="M48" s="2958">
        <v>0</v>
      </c>
      <c r="N48" s="2958" t="s">
        <v>3240</v>
      </c>
    </row>
    <row r="49" spans="1:14" s="2958" customFormat="1">
      <c r="A49" s="2958" t="s">
        <v>3241</v>
      </c>
      <c r="B49" s="2958" t="s">
        <v>3062</v>
      </c>
      <c r="C49" s="2958" t="s">
        <v>3118</v>
      </c>
      <c r="D49" s="2958">
        <v>37662.699999999997</v>
      </c>
      <c r="E49" s="2958">
        <v>69250.399999999994</v>
      </c>
      <c r="F49" s="2958">
        <v>1.84</v>
      </c>
      <c r="G49" s="2958" t="s">
        <v>3119</v>
      </c>
      <c r="H49" s="2958" t="s">
        <v>3242</v>
      </c>
      <c r="I49" s="2958">
        <v>181000</v>
      </c>
      <c r="J49" s="2958">
        <v>246000</v>
      </c>
      <c r="K49" s="2958">
        <v>35523.26</v>
      </c>
      <c r="L49" s="2958">
        <f t="shared" si="0"/>
        <v>65317</v>
      </c>
      <c r="M49" s="2958">
        <v>35.909999999999997</v>
      </c>
      <c r="N49" s="2958" t="s">
        <v>3243</v>
      </c>
    </row>
    <row r="50" spans="1:14" s="2958" customFormat="1">
      <c r="A50" s="2958" t="s">
        <v>3244</v>
      </c>
      <c r="B50" s="2958" t="s">
        <v>3062</v>
      </c>
      <c r="C50" s="2958" t="s">
        <v>3123</v>
      </c>
      <c r="D50" s="2958">
        <v>30890.99</v>
      </c>
      <c r="E50" s="2958">
        <v>67960</v>
      </c>
      <c r="F50" s="2958">
        <v>2.2000000000000002</v>
      </c>
      <c r="G50" s="2958" t="s">
        <v>3119</v>
      </c>
      <c r="H50" s="2958" t="s">
        <v>3242</v>
      </c>
      <c r="I50" s="2958">
        <v>160000</v>
      </c>
      <c r="J50" s="2958">
        <v>238000</v>
      </c>
      <c r="K50" s="2958">
        <v>35020.589999999997</v>
      </c>
      <c r="L50" s="2958">
        <f t="shared" si="0"/>
        <v>77045</v>
      </c>
      <c r="M50" s="2958">
        <v>48.75</v>
      </c>
      <c r="N50" s="2958" t="s">
        <v>3245</v>
      </c>
    </row>
    <row r="51" spans="1:14" s="2958" customFormat="1">
      <c r="A51" s="2958" t="s">
        <v>3246</v>
      </c>
      <c r="B51" s="2958" t="s">
        <v>3062</v>
      </c>
      <c r="C51" s="2958" t="s">
        <v>3118</v>
      </c>
      <c r="D51" s="2958">
        <v>48377.1</v>
      </c>
      <c r="E51" s="2958">
        <v>87296.2</v>
      </c>
      <c r="F51" s="2958">
        <v>1.8</v>
      </c>
      <c r="G51" s="2958" t="s">
        <v>3119</v>
      </c>
      <c r="H51" s="2958" t="s">
        <v>3242</v>
      </c>
      <c r="I51" s="2958">
        <v>160000</v>
      </c>
      <c r="J51" s="2958">
        <v>222000</v>
      </c>
      <c r="K51" s="2958">
        <v>25430.65</v>
      </c>
      <c r="L51" s="2958">
        <f t="shared" si="0"/>
        <v>45889</v>
      </c>
      <c r="M51" s="2958">
        <v>38.75</v>
      </c>
      <c r="N51" s="2958" t="s">
        <v>3247</v>
      </c>
    </row>
    <row r="52" spans="1:14" s="2958" customFormat="1">
      <c r="A52" s="2958" t="s">
        <v>3248</v>
      </c>
      <c r="B52" s="2958" t="s">
        <v>3062</v>
      </c>
      <c r="C52" s="2958" t="s">
        <v>3123</v>
      </c>
      <c r="D52" s="2958">
        <v>92065.1</v>
      </c>
      <c r="E52" s="2958">
        <v>165717.20000000001</v>
      </c>
      <c r="F52" s="2958">
        <v>1.8</v>
      </c>
      <c r="G52" s="2958" t="s">
        <v>3119</v>
      </c>
      <c r="H52" s="2958" t="s">
        <v>3249</v>
      </c>
      <c r="I52" s="2958">
        <v>464000</v>
      </c>
      <c r="J52" s="2958">
        <v>629000</v>
      </c>
      <c r="K52" s="2958">
        <v>37956.230000000003</v>
      </c>
      <c r="L52" s="2958">
        <f t="shared" si="0"/>
        <v>68321</v>
      </c>
      <c r="M52" s="2958">
        <v>35.56</v>
      </c>
      <c r="N52" s="2958" t="s">
        <v>3250</v>
      </c>
    </row>
    <row r="53" spans="1:14" s="2958" customFormat="1">
      <c r="A53" s="2958" t="s">
        <v>3251</v>
      </c>
      <c r="B53" s="2958" t="s">
        <v>3062</v>
      </c>
      <c r="C53" s="2958" t="s">
        <v>3123</v>
      </c>
      <c r="D53" s="2958">
        <v>10423.85</v>
      </c>
      <c r="E53" s="2958">
        <v>31272</v>
      </c>
      <c r="F53" s="2958">
        <v>3</v>
      </c>
      <c r="G53" s="2958" t="s">
        <v>3119</v>
      </c>
      <c r="H53" s="2958" t="s">
        <v>3249</v>
      </c>
      <c r="I53" s="2958">
        <v>123600</v>
      </c>
      <c r="J53" s="2958">
        <v>165000</v>
      </c>
      <c r="K53" s="2958">
        <v>52762.84</v>
      </c>
      <c r="L53" s="2958">
        <f t="shared" si="0"/>
        <v>158291</v>
      </c>
      <c r="M53" s="2958">
        <v>33.5</v>
      </c>
      <c r="N53" s="2958" t="s">
        <v>3252</v>
      </c>
    </row>
    <row r="54" spans="1:14" s="2958" customFormat="1">
      <c r="A54" s="2958" t="s">
        <v>3253</v>
      </c>
      <c r="B54" s="2958" t="s">
        <v>3062</v>
      </c>
      <c r="C54" s="2958" t="s">
        <v>3118</v>
      </c>
      <c r="D54" s="2958">
        <v>81664.259999999995</v>
      </c>
      <c r="E54" s="2958">
        <v>97997</v>
      </c>
      <c r="F54" s="2958">
        <v>1.2</v>
      </c>
      <c r="G54" s="2958" t="s">
        <v>3119</v>
      </c>
      <c r="H54" s="2958" t="s">
        <v>3249</v>
      </c>
      <c r="I54" s="2958">
        <v>90000</v>
      </c>
      <c r="J54" s="2958">
        <v>125000</v>
      </c>
      <c r="K54" s="2958">
        <v>12755.48</v>
      </c>
      <c r="L54" s="2958">
        <f t="shared" si="0"/>
        <v>15307</v>
      </c>
      <c r="M54" s="2958">
        <v>38.89</v>
      </c>
      <c r="N54" s="2958" t="s">
        <v>3254</v>
      </c>
    </row>
    <row r="55" spans="1:14" s="2958" customFormat="1">
      <c r="A55" s="2958" t="s">
        <v>3255</v>
      </c>
      <c r="B55" s="2958" t="s">
        <v>3062</v>
      </c>
      <c r="C55" s="2958" t="s">
        <v>3123</v>
      </c>
      <c r="D55" s="2958">
        <v>65516.160000000003</v>
      </c>
      <c r="E55" s="2958">
        <v>163790</v>
      </c>
      <c r="F55" s="2958">
        <v>2.5</v>
      </c>
      <c r="G55" s="2958" t="s">
        <v>3119</v>
      </c>
      <c r="H55" s="2958" t="s">
        <v>3130</v>
      </c>
      <c r="I55" s="2958">
        <v>190100</v>
      </c>
      <c r="J55" s="2958">
        <v>240000</v>
      </c>
      <c r="K55" s="2958">
        <v>14652.9</v>
      </c>
      <c r="L55" s="2958">
        <f t="shared" si="0"/>
        <v>36632</v>
      </c>
      <c r="M55" s="2958">
        <v>26.25</v>
      </c>
      <c r="N55" s="2958" t="s">
        <v>3256</v>
      </c>
    </row>
    <row r="56" spans="1:14" s="2958" customFormat="1">
      <c r="A56" s="2958" t="s">
        <v>3257</v>
      </c>
      <c r="B56" s="2958" t="s">
        <v>3062</v>
      </c>
      <c r="C56" s="2958" t="s">
        <v>3123</v>
      </c>
      <c r="D56" s="2958">
        <v>25399.58</v>
      </c>
      <c r="E56" s="2958">
        <v>71267</v>
      </c>
      <c r="F56" s="2958">
        <v>2.8</v>
      </c>
      <c r="G56" s="2958" t="s">
        <v>3119</v>
      </c>
      <c r="H56" s="2958" t="s">
        <v>3258</v>
      </c>
      <c r="I56" s="2958">
        <v>160000</v>
      </c>
      <c r="J56" s="2958">
        <v>206500</v>
      </c>
      <c r="K56" s="2958">
        <v>28975.54</v>
      </c>
      <c r="L56" s="2958">
        <f t="shared" si="0"/>
        <v>81301</v>
      </c>
      <c r="M56" s="2958">
        <v>29.06</v>
      </c>
      <c r="N56" s="2958" t="s">
        <v>3259</v>
      </c>
    </row>
    <row r="57" spans="1:14" s="2965" customFormat="1">
      <c r="A57" s="2965" t="s">
        <v>3260</v>
      </c>
      <c r="B57" s="2965" t="s">
        <v>3062</v>
      </c>
      <c r="C57" s="2965" t="s">
        <v>3118</v>
      </c>
      <c r="D57" s="2965">
        <v>99921.81</v>
      </c>
      <c r="E57" s="2965">
        <v>109014</v>
      </c>
      <c r="F57" s="2965">
        <v>1.1000000000000001</v>
      </c>
      <c r="G57" s="2965" t="s">
        <v>3119</v>
      </c>
      <c r="H57" s="2965" t="s">
        <v>3261</v>
      </c>
      <c r="I57" s="2965">
        <v>400000</v>
      </c>
      <c r="J57" s="2965">
        <v>596000</v>
      </c>
      <c r="K57" s="2965">
        <v>54671.87</v>
      </c>
      <c r="L57" s="2965">
        <f t="shared" si="0"/>
        <v>59647</v>
      </c>
      <c r="M57" s="2965">
        <v>49</v>
      </c>
      <c r="N57" s="2965" t="s">
        <v>3262</v>
      </c>
    </row>
    <row r="58" spans="1:14" s="2958" customFormat="1">
      <c r="A58" s="2958" t="s">
        <v>3263</v>
      </c>
      <c r="B58" s="2958" t="s">
        <v>3062</v>
      </c>
      <c r="C58" s="2958" t="s">
        <v>3123</v>
      </c>
      <c r="D58" s="2958">
        <v>82336.42</v>
      </c>
      <c r="E58" s="2958">
        <v>139022</v>
      </c>
      <c r="F58" s="2958" t="s">
        <v>3264</v>
      </c>
      <c r="G58" s="2958" t="s">
        <v>3119</v>
      </c>
      <c r="H58" s="2958" t="s">
        <v>3265</v>
      </c>
      <c r="I58" s="2958">
        <v>484000</v>
      </c>
      <c r="J58" s="2958">
        <v>580800</v>
      </c>
      <c r="K58" s="2958">
        <v>41777.550000000003</v>
      </c>
      <c r="L58" s="2958">
        <f t="shared" si="0"/>
        <v>70540</v>
      </c>
      <c r="M58" s="2958">
        <v>20</v>
      </c>
      <c r="N58" s="2958" t="s">
        <v>3266</v>
      </c>
    </row>
    <row r="59" spans="1:14" s="2958" customFormat="1">
      <c r="A59" s="2958" t="s">
        <v>3267</v>
      </c>
      <c r="B59" s="2958" t="s">
        <v>3062</v>
      </c>
      <c r="C59" s="2958" t="s">
        <v>3123</v>
      </c>
      <c r="D59" s="2958">
        <v>54881.23</v>
      </c>
      <c r="E59" s="2958">
        <v>104288</v>
      </c>
      <c r="F59" s="2958" t="s">
        <v>3268</v>
      </c>
      <c r="G59" s="2958" t="s">
        <v>3119</v>
      </c>
      <c r="H59" s="2958" t="s">
        <v>3265</v>
      </c>
      <c r="I59" s="2958">
        <v>157000</v>
      </c>
      <c r="J59" s="2958">
        <v>180550</v>
      </c>
      <c r="K59" s="2958">
        <v>17312.63</v>
      </c>
      <c r="L59" s="2958">
        <f t="shared" si="0"/>
        <v>32898</v>
      </c>
      <c r="M59" s="2958">
        <v>15</v>
      </c>
      <c r="N59" s="2958" t="s">
        <v>3269</v>
      </c>
    </row>
    <row r="60" spans="1:14" s="2958" customFormat="1">
      <c r="A60" s="2958" t="s">
        <v>3270</v>
      </c>
      <c r="B60" s="2958" t="s">
        <v>3062</v>
      </c>
      <c r="C60" s="2958" t="s">
        <v>3123</v>
      </c>
      <c r="D60" s="2958">
        <v>76286.2</v>
      </c>
      <c r="E60" s="2958">
        <v>181983.1</v>
      </c>
      <c r="F60" s="2958">
        <v>2.5</v>
      </c>
      <c r="G60" s="2958" t="s">
        <v>3119</v>
      </c>
      <c r="H60" s="2958" t="s">
        <v>3265</v>
      </c>
      <c r="I60" s="2958">
        <v>478000</v>
      </c>
      <c r="J60" s="2958">
        <v>716500</v>
      </c>
      <c r="K60" s="2958">
        <v>39371.79</v>
      </c>
      <c r="L60" s="2958">
        <f t="shared" si="0"/>
        <v>93923</v>
      </c>
      <c r="M60" s="2958">
        <v>49.9</v>
      </c>
      <c r="N60" s="2958" t="s">
        <v>3207</v>
      </c>
    </row>
    <row r="61" spans="1:14" s="2958" customFormat="1">
      <c r="A61" s="2958" t="s">
        <v>3271</v>
      </c>
      <c r="B61" s="2958" t="s">
        <v>3062</v>
      </c>
      <c r="C61" s="2958" t="s">
        <v>3118</v>
      </c>
      <c r="D61" s="2958">
        <v>28212.35</v>
      </c>
      <c r="E61" s="2958">
        <v>70531</v>
      </c>
      <c r="F61" s="2958">
        <v>2.5</v>
      </c>
      <c r="G61" s="2958" t="s">
        <v>3119</v>
      </c>
      <c r="H61" s="2958" t="s">
        <v>3272</v>
      </c>
      <c r="I61" s="2958">
        <v>190000</v>
      </c>
      <c r="J61" s="2958">
        <v>270000</v>
      </c>
      <c r="K61" s="2958">
        <v>38281.040000000001</v>
      </c>
      <c r="L61" s="2958">
        <f t="shared" si="0"/>
        <v>95703</v>
      </c>
      <c r="M61" s="2958">
        <v>42.11</v>
      </c>
      <c r="N61" s="2958" t="s">
        <v>3273</v>
      </c>
    </row>
    <row r="62" spans="1:14" s="2963" customFormat="1">
      <c r="A62" s="2963" t="s">
        <v>3274</v>
      </c>
      <c r="B62" s="2963" t="s">
        <v>3062</v>
      </c>
      <c r="C62" s="2963" t="s">
        <v>3118</v>
      </c>
      <c r="D62" s="2963">
        <v>29269.64</v>
      </c>
      <c r="E62" s="2963">
        <v>73598</v>
      </c>
      <c r="F62" s="2963">
        <v>2.5</v>
      </c>
      <c r="G62" s="2963" t="s">
        <v>3119</v>
      </c>
      <c r="H62" s="2963" t="s">
        <v>3275</v>
      </c>
      <c r="I62" s="2963">
        <v>382000</v>
      </c>
      <c r="J62" s="2963">
        <v>384000</v>
      </c>
      <c r="K62" s="2963">
        <v>52175.33</v>
      </c>
      <c r="L62" s="2963">
        <f t="shared" si="0"/>
        <v>131194</v>
      </c>
      <c r="M62" s="2963">
        <v>0.52</v>
      </c>
      <c r="N62" s="2963" t="s">
        <v>3276</v>
      </c>
    </row>
    <row r="63" spans="1:14" s="2958" customFormat="1">
      <c r="A63" s="2958" t="s">
        <v>3277</v>
      </c>
      <c r="B63" s="2958" t="s">
        <v>3062</v>
      </c>
      <c r="C63" s="2958" t="s">
        <v>3118</v>
      </c>
      <c r="D63" s="2958">
        <v>75065.42</v>
      </c>
      <c r="E63" s="2958">
        <v>133506</v>
      </c>
      <c r="F63" s="2958" t="s">
        <v>3278</v>
      </c>
      <c r="G63" s="2958" t="s">
        <v>3119</v>
      </c>
      <c r="H63" s="2958" t="s">
        <v>3279</v>
      </c>
      <c r="I63" s="2958">
        <v>320000</v>
      </c>
      <c r="J63" s="2958">
        <v>479000</v>
      </c>
      <c r="K63" s="2958">
        <v>35878.54</v>
      </c>
      <c r="L63" s="2958">
        <f t="shared" si="0"/>
        <v>63811</v>
      </c>
      <c r="M63" s="2958">
        <v>49.69</v>
      </c>
      <c r="N63" s="2958" t="s">
        <v>3280</v>
      </c>
    </row>
    <row r="64" spans="1:14" s="2958" customFormat="1">
      <c r="A64" s="2958" t="s">
        <v>3281</v>
      </c>
      <c r="B64" s="2958" t="s">
        <v>3062</v>
      </c>
      <c r="C64" s="2958" t="s">
        <v>3118</v>
      </c>
      <c r="D64" s="2958">
        <v>22717.91</v>
      </c>
      <c r="E64" s="2958">
        <v>56795</v>
      </c>
      <c r="F64" s="2958">
        <v>2.5</v>
      </c>
      <c r="G64" s="2958" t="s">
        <v>3119</v>
      </c>
      <c r="H64" s="2958" t="s">
        <v>3279</v>
      </c>
      <c r="I64" s="2958">
        <v>153000</v>
      </c>
      <c r="J64" s="2958">
        <v>229000</v>
      </c>
      <c r="K64" s="2958">
        <v>40320.44</v>
      </c>
      <c r="L64" s="2958">
        <f t="shared" si="0"/>
        <v>100802</v>
      </c>
      <c r="M64" s="2958">
        <v>49.67</v>
      </c>
      <c r="N64" s="2958" t="s">
        <v>3282</v>
      </c>
    </row>
    <row r="65" spans="1:14" s="2958" customFormat="1">
      <c r="A65" s="2958" t="s">
        <v>3283</v>
      </c>
      <c r="B65" s="2958" t="s">
        <v>3062</v>
      </c>
      <c r="C65" s="2958" t="s">
        <v>3118</v>
      </c>
      <c r="D65" s="2958">
        <v>101259.5</v>
      </c>
      <c r="E65" s="2958">
        <v>202324</v>
      </c>
      <c r="F65" s="2958">
        <v>2</v>
      </c>
      <c r="G65" s="2958" t="s">
        <v>3119</v>
      </c>
      <c r="H65" s="2958" t="s">
        <v>3279</v>
      </c>
      <c r="I65" s="2958">
        <v>370000</v>
      </c>
      <c r="J65" s="2958">
        <v>395000</v>
      </c>
      <c r="K65" s="2958">
        <v>19523.13</v>
      </c>
      <c r="L65" s="2958">
        <f t="shared" si="0"/>
        <v>39009</v>
      </c>
      <c r="M65" s="2958">
        <v>6.76</v>
      </c>
      <c r="N65" s="2958" t="s">
        <v>3284</v>
      </c>
    </row>
    <row r="66" spans="1:14" s="2958" customFormat="1">
      <c r="A66" s="2958" t="s">
        <v>3285</v>
      </c>
      <c r="B66" s="2958" t="s">
        <v>3062</v>
      </c>
      <c r="C66" s="2958" t="s">
        <v>3118</v>
      </c>
      <c r="D66" s="2958">
        <v>31048.69</v>
      </c>
      <c r="E66" s="2958">
        <v>77622</v>
      </c>
      <c r="F66" s="2958">
        <v>2.5</v>
      </c>
      <c r="G66" s="2958" t="s">
        <v>3119</v>
      </c>
      <c r="H66" s="2958" t="s">
        <v>3286</v>
      </c>
      <c r="I66" s="2958">
        <v>145000</v>
      </c>
      <c r="J66" s="2958">
        <v>146500</v>
      </c>
      <c r="K66" s="2958">
        <v>18873.52</v>
      </c>
      <c r="L66" s="2958">
        <f t="shared" si="0"/>
        <v>47184</v>
      </c>
      <c r="M66" s="2958">
        <v>1.03</v>
      </c>
      <c r="N66" s="2958" t="s">
        <v>3287</v>
      </c>
    </row>
    <row r="67" spans="1:14" s="2958" customFormat="1">
      <c r="A67" s="2958" t="s">
        <v>3288</v>
      </c>
      <c r="B67" s="2958" t="s">
        <v>3062</v>
      </c>
      <c r="C67" s="2958" t="s">
        <v>3123</v>
      </c>
      <c r="D67" s="2958">
        <v>44353.34</v>
      </c>
      <c r="E67" s="2958">
        <v>97577</v>
      </c>
      <c r="F67" s="2958">
        <v>2.2000000000000002</v>
      </c>
      <c r="G67" s="2958" t="s">
        <v>3119</v>
      </c>
      <c r="H67" s="2958" t="s">
        <v>3286</v>
      </c>
      <c r="I67" s="2958">
        <v>175000</v>
      </c>
      <c r="J67" s="2958">
        <v>222000</v>
      </c>
      <c r="K67" s="2958">
        <v>22751.25</v>
      </c>
      <c r="L67" s="2958">
        <f t="shared" ref="L67:L117" si="1">ROUND(J67*10000/D67,0)</f>
        <v>50053</v>
      </c>
      <c r="M67" s="2958">
        <v>26.86</v>
      </c>
      <c r="N67" s="2958" t="s">
        <v>3289</v>
      </c>
    </row>
    <row r="68" spans="1:14" s="2958" customFormat="1">
      <c r="A68" s="2958" t="s">
        <v>3290</v>
      </c>
      <c r="B68" s="2958" t="s">
        <v>3062</v>
      </c>
      <c r="C68" s="2958" t="s">
        <v>3118</v>
      </c>
      <c r="D68" s="2958">
        <v>40985.61</v>
      </c>
      <c r="E68" s="2958">
        <v>81971</v>
      </c>
      <c r="F68" s="2958">
        <v>2</v>
      </c>
      <c r="G68" s="2958" t="s">
        <v>3119</v>
      </c>
      <c r="H68" s="2958" t="s">
        <v>3134</v>
      </c>
      <c r="I68" s="2958">
        <v>168000</v>
      </c>
      <c r="J68" s="2958">
        <v>168000</v>
      </c>
      <c r="K68" s="2958">
        <v>20495.04</v>
      </c>
      <c r="L68" s="2958">
        <f t="shared" si="1"/>
        <v>40990</v>
      </c>
      <c r="M68" s="2958">
        <v>0</v>
      </c>
      <c r="N68" s="2958" t="s">
        <v>3291</v>
      </c>
    </row>
    <row r="69" spans="1:14" s="2958" customFormat="1">
      <c r="A69" s="2958" t="s">
        <v>3292</v>
      </c>
      <c r="B69" s="2958" t="s">
        <v>3062</v>
      </c>
      <c r="C69" s="2958" t="s">
        <v>3118</v>
      </c>
      <c r="D69" s="2958">
        <v>151051.70000000001</v>
      </c>
      <c r="E69" s="2958">
        <v>274253</v>
      </c>
      <c r="F69" s="2958" t="s">
        <v>3293</v>
      </c>
      <c r="G69" s="2958" t="s">
        <v>3119</v>
      </c>
      <c r="H69" s="2958" t="s">
        <v>3294</v>
      </c>
      <c r="I69" s="2958">
        <v>385000</v>
      </c>
      <c r="J69" s="2958">
        <v>502000</v>
      </c>
      <c r="K69" s="2958">
        <v>18304.27</v>
      </c>
      <c r="L69" s="2958">
        <f t="shared" si="1"/>
        <v>33234</v>
      </c>
      <c r="M69" s="2958">
        <v>30.39</v>
      </c>
      <c r="N69" s="2958" t="s">
        <v>3179</v>
      </c>
    </row>
    <row r="70" spans="1:14" s="2958" customFormat="1">
      <c r="A70" s="2958" t="s">
        <v>3295</v>
      </c>
      <c r="B70" s="2958" t="s">
        <v>3062</v>
      </c>
      <c r="C70" s="2958" t="s">
        <v>3123</v>
      </c>
      <c r="D70" s="2958">
        <v>155132.79999999999</v>
      </c>
      <c r="E70" s="2958">
        <v>156684</v>
      </c>
      <c r="F70" s="2958">
        <v>1.009999305</v>
      </c>
      <c r="G70" s="2958" t="s">
        <v>3119</v>
      </c>
      <c r="H70" s="2958" t="s">
        <v>3296</v>
      </c>
      <c r="I70" s="2958">
        <v>470000</v>
      </c>
      <c r="J70" s="2958">
        <v>705000</v>
      </c>
      <c r="K70" s="2958">
        <v>44995.01</v>
      </c>
      <c r="L70" s="2958">
        <f t="shared" si="1"/>
        <v>45445</v>
      </c>
      <c r="M70" s="2958">
        <v>50</v>
      </c>
      <c r="N70" s="2958" t="s">
        <v>3297</v>
      </c>
    </row>
    <row r="71" spans="1:14" s="2958" customFormat="1">
      <c r="A71" s="2958" t="s">
        <v>3298</v>
      </c>
      <c r="B71" s="2958" t="s">
        <v>3062</v>
      </c>
      <c r="C71" s="2958" t="s">
        <v>3123</v>
      </c>
      <c r="D71" s="2958">
        <v>59511.18</v>
      </c>
      <c r="E71" s="2958">
        <v>89267</v>
      </c>
      <c r="F71" s="2958">
        <v>1.5</v>
      </c>
      <c r="G71" s="2958" t="s">
        <v>3119</v>
      </c>
      <c r="H71" s="2958" t="s">
        <v>3299</v>
      </c>
      <c r="I71" s="2958">
        <v>349000</v>
      </c>
      <c r="J71" s="2958">
        <v>457500</v>
      </c>
      <c r="K71" s="2958">
        <v>51250.73</v>
      </c>
      <c r="L71" s="2958">
        <f t="shared" si="1"/>
        <v>76876</v>
      </c>
      <c r="M71" s="2958">
        <v>31.09</v>
      </c>
      <c r="N71" s="2958" t="s">
        <v>3300</v>
      </c>
    </row>
    <row r="72" spans="1:14" s="2958" customFormat="1">
      <c r="A72" s="2958" t="s">
        <v>3301</v>
      </c>
      <c r="B72" s="2958" t="s">
        <v>3062</v>
      </c>
      <c r="C72" s="2958" t="s">
        <v>3123</v>
      </c>
      <c r="D72" s="2958">
        <v>41170.230000000003</v>
      </c>
      <c r="E72" s="2958">
        <v>60109</v>
      </c>
      <c r="F72" s="2958">
        <v>1.46</v>
      </c>
      <c r="G72" s="2958" t="s">
        <v>3119</v>
      </c>
      <c r="H72" s="2958" t="s">
        <v>3143</v>
      </c>
      <c r="I72" s="2958">
        <v>88000</v>
      </c>
      <c r="J72" s="2958">
        <v>121000</v>
      </c>
      <c r="K72" s="2958">
        <v>20130.09</v>
      </c>
      <c r="L72" s="2958">
        <f t="shared" si="1"/>
        <v>29390</v>
      </c>
      <c r="M72" s="2958">
        <v>37.5</v>
      </c>
      <c r="N72" s="2958" t="s">
        <v>3144</v>
      </c>
    </row>
    <row r="73" spans="1:14" s="2958" customFormat="1">
      <c r="A73" s="2958" t="s">
        <v>3302</v>
      </c>
      <c r="B73" s="2958" t="s">
        <v>3062</v>
      </c>
      <c r="C73" s="2958" t="s">
        <v>3123</v>
      </c>
      <c r="D73" s="2958">
        <v>45104.74</v>
      </c>
      <c r="E73" s="2958">
        <v>112093</v>
      </c>
      <c r="F73" s="2958">
        <v>2.5</v>
      </c>
      <c r="G73" s="2958" t="s">
        <v>3119</v>
      </c>
      <c r="H73" s="2958" t="s">
        <v>3143</v>
      </c>
      <c r="I73" s="2958">
        <v>130000</v>
      </c>
      <c r="J73" s="2958">
        <v>193000</v>
      </c>
      <c r="K73" s="2958">
        <v>17217.84</v>
      </c>
      <c r="L73" s="2958">
        <f t="shared" si="1"/>
        <v>42789</v>
      </c>
      <c r="M73" s="2958">
        <v>48.46</v>
      </c>
      <c r="N73" s="2958" t="s">
        <v>3303</v>
      </c>
    </row>
    <row r="74" spans="1:14" s="2958" customFormat="1">
      <c r="A74" s="2958" t="s">
        <v>3304</v>
      </c>
      <c r="B74" s="2958" t="s">
        <v>3062</v>
      </c>
      <c r="C74" s="2958" t="s">
        <v>3118</v>
      </c>
      <c r="D74" s="2958">
        <v>32606.69</v>
      </c>
      <c r="E74" s="2958">
        <v>57599</v>
      </c>
      <c r="F74" s="2958" t="s">
        <v>3305</v>
      </c>
      <c r="G74" s="2958" t="s">
        <v>3119</v>
      </c>
      <c r="H74" s="2958" t="s">
        <v>3306</v>
      </c>
      <c r="I74" s="2958">
        <v>77000</v>
      </c>
      <c r="J74" s="2958">
        <v>103000</v>
      </c>
      <c r="K74" s="2958">
        <v>17882.25</v>
      </c>
      <c r="L74" s="2958">
        <f t="shared" si="1"/>
        <v>31589</v>
      </c>
      <c r="M74" s="2958">
        <v>33.770000000000003</v>
      </c>
      <c r="N74" s="2958" t="s">
        <v>3194</v>
      </c>
    </row>
    <row r="75" spans="1:14" s="2958" customFormat="1">
      <c r="A75" s="2958" t="s">
        <v>3307</v>
      </c>
      <c r="B75" s="2958" t="s">
        <v>3062</v>
      </c>
      <c r="C75" s="2958" t="s">
        <v>3123</v>
      </c>
      <c r="D75" s="2958">
        <v>63029.62</v>
      </c>
      <c r="E75" s="2958">
        <v>126059</v>
      </c>
      <c r="F75" s="2958">
        <v>2</v>
      </c>
      <c r="G75" s="2958" t="s">
        <v>3119</v>
      </c>
      <c r="H75" s="2958" t="s">
        <v>3306</v>
      </c>
      <c r="I75" s="2958">
        <v>240000</v>
      </c>
      <c r="J75" s="2958">
        <v>380000</v>
      </c>
      <c r="K75" s="2958">
        <v>30144.61</v>
      </c>
      <c r="L75" s="2958">
        <f t="shared" si="1"/>
        <v>60289</v>
      </c>
      <c r="M75" s="2958">
        <v>58.33</v>
      </c>
      <c r="N75" s="2958" t="s">
        <v>3308</v>
      </c>
    </row>
    <row r="76" spans="1:14" s="2958" customFormat="1">
      <c r="A76" s="2958" t="s">
        <v>3309</v>
      </c>
      <c r="B76" s="2958" t="s">
        <v>3062</v>
      </c>
      <c r="C76" s="2958" t="s">
        <v>3123</v>
      </c>
      <c r="D76" s="2958">
        <v>60374.36</v>
      </c>
      <c r="E76" s="2958">
        <v>102636</v>
      </c>
      <c r="F76" s="2958">
        <v>1.7</v>
      </c>
      <c r="G76" s="2958" t="s">
        <v>3119</v>
      </c>
      <c r="H76" s="2958" t="s">
        <v>3306</v>
      </c>
      <c r="I76" s="2958">
        <v>210000</v>
      </c>
      <c r="J76" s="2958">
        <v>326000</v>
      </c>
      <c r="K76" s="2958">
        <v>31762.720000000001</v>
      </c>
      <c r="L76" s="2958">
        <f t="shared" si="1"/>
        <v>53996</v>
      </c>
      <c r="M76" s="2958">
        <v>55.24</v>
      </c>
      <c r="N76" s="2958" t="s">
        <v>3310</v>
      </c>
    </row>
    <row r="77" spans="1:14" s="2958" customFormat="1">
      <c r="A77" s="2958" t="s">
        <v>3311</v>
      </c>
      <c r="B77" s="2958" t="s">
        <v>3062</v>
      </c>
      <c r="C77" s="2958" t="s">
        <v>3123</v>
      </c>
      <c r="D77" s="2958">
        <v>27130.69</v>
      </c>
      <c r="E77" s="2958">
        <v>43409</v>
      </c>
      <c r="F77" s="2958">
        <v>1.6</v>
      </c>
      <c r="G77" s="2958" t="s">
        <v>3119</v>
      </c>
      <c r="H77" s="2958" t="s">
        <v>3312</v>
      </c>
      <c r="I77" s="2958">
        <v>85000</v>
      </c>
      <c r="J77" s="2958">
        <v>123500</v>
      </c>
      <c r="K77" s="2958">
        <v>28450.31</v>
      </c>
      <c r="L77" s="2958">
        <f t="shared" si="1"/>
        <v>45520</v>
      </c>
      <c r="M77" s="2958">
        <v>45.29</v>
      </c>
      <c r="N77" s="2958" t="s">
        <v>3313</v>
      </c>
    </row>
    <row r="78" spans="1:14" s="2958" customFormat="1">
      <c r="A78" s="2958" t="s">
        <v>3314</v>
      </c>
      <c r="B78" s="2958" t="s">
        <v>3062</v>
      </c>
      <c r="C78" s="2958" t="s">
        <v>3118</v>
      </c>
      <c r="D78" s="2958">
        <v>85956.89</v>
      </c>
      <c r="E78" s="2958">
        <v>182033</v>
      </c>
      <c r="F78" s="2958">
        <v>2.12</v>
      </c>
      <c r="G78" s="2958" t="s">
        <v>3119</v>
      </c>
      <c r="H78" s="2958" t="s">
        <v>3315</v>
      </c>
      <c r="I78" s="2958">
        <v>466000</v>
      </c>
      <c r="J78" s="2958">
        <v>698000</v>
      </c>
      <c r="K78" s="2958">
        <v>38344.69</v>
      </c>
      <c r="L78" s="2958">
        <f t="shared" si="1"/>
        <v>81203</v>
      </c>
      <c r="M78" s="2958">
        <v>49.79</v>
      </c>
      <c r="N78" s="2958" t="s">
        <v>3316</v>
      </c>
    </row>
    <row r="79" spans="1:14" s="2958" customFormat="1">
      <c r="A79" s="2958" t="s">
        <v>3317</v>
      </c>
      <c r="B79" s="2958" t="s">
        <v>3062</v>
      </c>
      <c r="C79" s="2958" t="s">
        <v>3118</v>
      </c>
      <c r="D79" s="2958">
        <v>66379.53</v>
      </c>
      <c r="E79" s="2958">
        <v>146035</v>
      </c>
      <c r="F79" s="2958">
        <v>2.2000000000000002</v>
      </c>
      <c r="G79" s="2958" t="s">
        <v>3119</v>
      </c>
      <c r="H79" s="2958" t="s">
        <v>3315</v>
      </c>
      <c r="I79" s="2958">
        <v>383000</v>
      </c>
      <c r="J79" s="2958">
        <v>574000</v>
      </c>
      <c r="K79" s="2958">
        <v>39305.65</v>
      </c>
      <c r="L79" s="2958">
        <f t="shared" si="1"/>
        <v>86472</v>
      </c>
      <c r="M79" s="2958">
        <v>49.87</v>
      </c>
      <c r="N79" s="2958" t="s">
        <v>3316</v>
      </c>
    </row>
    <row r="80" spans="1:14" s="2958" customFormat="1">
      <c r="A80" s="2958" t="s">
        <v>3318</v>
      </c>
      <c r="B80" s="2958" t="s">
        <v>3062</v>
      </c>
      <c r="C80" s="2958" t="s">
        <v>3123</v>
      </c>
      <c r="D80" s="2958">
        <v>32878.9</v>
      </c>
      <c r="E80" s="2958">
        <v>92061</v>
      </c>
      <c r="F80" s="2958">
        <v>2.8</v>
      </c>
      <c r="G80" s="2958" t="s">
        <v>3119</v>
      </c>
      <c r="H80" s="2958" t="s">
        <v>3319</v>
      </c>
      <c r="I80" s="2958">
        <v>113000</v>
      </c>
      <c r="J80" s="2958">
        <v>158000</v>
      </c>
      <c r="K80" s="2958">
        <v>17162.52</v>
      </c>
      <c r="L80" s="2958">
        <f t="shared" si="1"/>
        <v>48055</v>
      </c>
      <c r="M80" s="2958">
        <v>39.82</v>
      </c>
      <c r="N80" s="2958" t="s">
        <v>3252</v>
      </c>
    </row>
    <row r="81" spans="1:14" s="2958" customFormat="1">
      <c r="A81" s="2958" t="s">
        <v>3320</v>
      </c>
      <c r="B81" s="2958" t="s">
        <v>3062</v>
      </c>
      <c r="C81" s="2958" t="s">
        <v>3118</v>
      </c>
      <c r="D81" s="2958">
        <v>180851</v>
      </c>
      <c r="E81" s="2958">
        <v>238650</v>
      </c>
      <c r="F81" s="2958">
        <v>1.32</v>
      </c>
      <c r="G81" s="2958" t="s">
        <v>3119</v>
      </c>
      <c r="H81" s="2958" t="s">
        <v>3321</v>
      </c>
      <c r="I81" s="2958">
        <v>570000</v>
      </c>
      <c r="J81" s="2958">
        <v>633000</v>
      </c>
      <c r="K81" s="2958">
        <v>26524.2</v>
      </c>
      <c r="L81" s="2958">
        <f t="shared" si="1"/>
        <v>35001</v>
      </c>
      <c r="M81" s="2958">
        <v>11.05</v>
      </c>
      <c r="N81" s="2958" t="s">
        <v>3322</v>
      </c>
    </row>
    <row r="82" spans="1:14" s="2958" customFormat="1">
      <c r="A82" s="2958" t="s">
        <v>3323</v>
      </c>
      <c r="B82" s="2958" t="s">
        <v>3062</v>
      </c>
      <c r="C82" s="2958" t="s">
        <v>3118</v>
      </c>
      <c r="D82" s="2958">
        <v>74677.14</v>
      </c>
      <c r="E82" s="2958">
        <v>237938</v>
      </c>
      <c r="F82" s="2958">
        <v>3.19</v>
      </c>
      <c r="G82" s="2958" t="s">
        <v>3119</v>
      </c>
      <c r="H82" s="2958" t="s">
        <v>3324</v>
      </c>
      <c r="I82" s="2958">
        <v>615200</v>
      </c>
      <c r="J82" s="2958">
        <v>615200</v>
      </c>
      <c r="K82" s="2958">
        <v>25855.47</v>
      </c>
      <c r="L82" s="2958">
        <f t="shared" si="1"/>
        <v>82381</v>
      </c>
      <c r="M82" s="2958">
        <v>0</v>
      </c>
      <c r="N82" s="2958" t="s">
        <v>3325</v>
      </c>
    </row>
    <row r="83" spans="1:14" s="2958" customFormat="1">
      <c r="A83" s="2958" t="s">
        <v>3326</v>
      </c>
      <c r="B83" s="2958" t="s">
        <v>3062</v>
      </c>
      <c r="C83" s="2958" t="s">
        <v>3118</v>
      </c>
      <c r="D83" s="2958">
        <v>51970.99</v>
      </c>
      <c r="E83" s="2958">
        <v>135275</v>
      </c>
      <c r="F83" s="2958">
        <v>2.6</v>
      </c>
      <c r="G83" s="2958" t="s">
        <v>3119</v>
      </c>
      <c r="H83" s="2958" t="s">
        <v>3327</v>
      </c>
      <c r="I83" s="2958">
        <v>248000</v>
      </c>
      <c r="J83" s="2958">
        <v>367500</v>
      </c>
      <c r="K83" s="2958">
        <v>27166.880000000001</v>
      </c>
      <c r="L83" s="2958">
        <f t="shared" si="1"/>
        <v>70713</v>
      </c>
      <c r="M83" s="2958">
        <v>48.19</v>
      </c>
      <c r="N83" s="2958" t="s">
        <v>3194</v>
      </c>
    </row>
    <row r="84" spans="1:14" s="2958" customFormat="1">
      <c r="A84" s="2958" t="s">
        <v>3328</v>
      </c>
      <c r="B84" s="2958" t="s">
        <v>3062</v>
      </c>
      <c r="C84" s="2958" t="s">
        <v>3123</v>
      </c>
      <c r="D84" s="2958">
        <v>83549.62</v>
      </c>
      <c r="E84" s="2958">
        <v>138825</v>
      </c>
      <c r="F84" s="2958">
        <v>1.66</v>
      </c>
      <c r="G84" s="2958" t="s">
        <v>3119</v>
      </c>
      <c r="H84" s="2958" t="s">
        <v>3327</v>
      </c>
      <c r="I84" s="2958">
        <v>384000</v>
      </c>
      <c r="J84" s="2958">
        <v>500000</v>
      </c>
      <c r="K84" s="2958">
        <v>36016.559999999998</v>
      </c>
      <c r="L84" s="2958">
        <f t="shared" si="1"/>
        <v>59845</v>
      </c>
      <c r="M84" s="2958">
        <v>30.21</v>
      </c>
      <c r="N84" s="2958" t="s">
        <v>3329</v>
      </c>
    </row>
    <row r="85" spans="1:14" s="2958" customFormat="1">
      <c r="A85" s="2958" t="s">
        <v>3330</v>
      </c>
      <c r="B85" s="2958" t="s">
        <v>3062</v>
      </c>
      <c r="C85" s="2958" t="s">
        <v>3118</v>
      </c>
      <c r="D85" s="2958">
        <v>85584.57</v>
      </c>
      <c r="E85" s="2958">
        <v>162894</v>
      </c>
      <c r="F85" s="2958">
        <v>1.9</v>
      </c>
      <c r="G85" s="2958" t="s">
        <v>3119</v>
      </c>
      <c r="H85" s="2958" t="s">
        <v>3327</v>
      </c>
      <c r="I85" s="2958">
        <v>440000</v>
      </c>
      <c r="J85" s="2958">
        <v>590000</v>
      </c>
      <c r="K85" s="2958">
        <v>36219.870000000003</v>
      </c>
      <c r="L85" s="2958">
        <f t="shared" si="1"/>
        <v>68938</v>
      </c>
      <c r="M85" s="2958">
        <v>34.090000000000003</v>
      </c>
      <c r="N85" s="2958" t="s">
        <v>3331</v>
      </c>
    </row>
    <row r="86" spans="1:14" s="2958" customFormat="1">
      <c r="A86" s="2958" t="s">
        <v>3332</v>
      </c>
      <c r="B86" s="2958" t="s">
        <v>3062</v>
      </c>
      <c r="C86" s="2958" t="s">
        <v>3118</v>
      </c>
      <c r="D86" s="2958">
        <v>84241.64</v>
      </c>
      <c r="E86" s="2958">
        <v>183336</v>
      </c>
      <c r="F86" s="2958">
        <v>2.1800000000000002</v>
      </c>
      <c r="G86" s="2958" t="s">
        <v>3119</v>
      </c>
      <c r="H86" s="2958" t="s">
        <v>3333</v>
      </c>
      <c r="I86" s="2958">
        <v>390000</v>
      </c>
      <c r="J86" s="2958">
        <v>576000</v>
      </c>
      <c r="K86" s="2958">
        <v>31417.72</v>
      </c>
      <c r="L86" s="2958">
        <f t="shared" si="1"/>
        <v>68375</v>
      </c>
      <c r="M86" s="2958">
        <v>47.69</v>
      </c>
      <c r="N86" s="2958" t="s">
        <v>3334</v>
      </c>
    </row>
    <row r="87" spans="1:14" s="2958" customFormat="1">
      <c r="A87" s="2958" t="s">
        <v>3335</v>
      </c>
      <c r="B87" s="2958" t="s">
        <v>3062</v>
      </c>
      <c r="C87" s="2958" t="s">
        <v>3123</v>
      </c>
      <c r="D87" s="2958">
        <v>43356.75</v>
      </c>
      <c r="E87" s="2958">
        <v>91049</v>
      </c>
      <c r="F87" s="2958">
        <v>2.1</v>
      </c>
      <c r="G87" s="2958" t="s">
        <v>3119</v>
      </c>
      <c r="H87" s="2958" t="s">
        <v>3336</v>
      </c>
      <c r="I87" s="2958">
        <v>199000</v>
      </c>
      <c r="J87" s="2958">
        <v>215000</v>
      </c>
      <c r="K87" s="2958">
        <v>23613.65</v>
      </c>
      <c r="L87" s="2958">
        <f t="shared" si="1"/>
        <v>49589</v>
      </c>
      <c r="M87" s="2958">
        <v>8.0399999999999991</v>
      </c>
      <c r="N87" s="2958" t="s">
        <v>3179</v>
      </c>
    </row>
    <row r="88" spans="1:14" s="2958" customFormat="1">
      <c r="A88" s="2958" t="s">
        <v>3337</v>
      </c>
      <c r="B88" s="2958" t="s">
        <v>3062</v>
      </c>
      <c r="C88" s="2958" t="s">
        <v>3123</v>
      </c>
      <c r="D88" s="2958">
        <v>50662.6</v>
      </c>
      <c r="E88" s="2958">
        <v>101325.2</v>
      </c>
      <c r="F88" s="2958">
        <v>2</v>
      </c>
      <c r="G88" s="2958" t="s">
        <v>3119</v>
      </c>
      <c r="H88" s="2958" t="s">
        <v>3338</v>
      </c>
      <c r="I88" s="2958">
        <v>151000</v>
      </c>
      <c r="J88" s="2958">
        <v>211000</v>
      </c>
      <c r="K88" s="2958">
        <v>20824.04</v>
      </c>
      <c r="L88" s="2958">
        <f t="shared" si="1"/>
        <v>41648</v>
      </c>
      <c r="M88" s="2958">
        <v>39.74</v>
      </c>
      <c r="N88" s="2958" t="s">
        <v>3247</v>
      </c>
    </row>
    <row r="89" spans="1:14" s="2958" customFormat="1">
      <c r="A89" s="2958" t="s">
        <v>3339</v>
      </c>
      <c r="B89" s="2958" t="s">
        <v>3062</v>
      </c>
      <c r="C89" s="2958" t="s">
        <v>3118</v>
      </c>
      <c r="D89" s="2958">
        <v>17756.68</v>
      </c>
      <c r="E89" s="2958">
        <v>39065</v>
      </c>
      <c r="F89" s="2958">
        <v>2.2000000000000002</v>
      </c>
      <c r="G89" s="2958" t="s">
        <v>3119</v>
      </c>
      <c r="H89" s="2958" t="s">
        <v>3340</v>
      </c>
      <c r="I89" s="2958">
        <v>50000</v>
      </c>
      <c r="J89" s="2958">
        <v>75000</v>
      </c>
      <c r="K89" s="2958">
        <v>19198.77</v>
      </c>
      <c r="L89" s="2958">
        <f t="shared" si="1"/>
        <v>42238</v>
      </c>
      <c r="M89" s="2958">
        <v>50</v>
      </c>
      <c r="N89" s="2958" t="s">
        <v>3341</v>
      </c>
    </row>
    <row r="90" spans="1:14" s="2958" customFormat="1">
      <c r="A90" s="2958" t="s">
        <v>3342</v>
      </c>
      <c r="B90" s="2958" t="s">
        <v>3062</v>
      </c>
      <c r="C90" s="2958" t="s">
        <v>3118</v>
      </c>
      <c r="D90" s="2958">
        <v>368800</v>
      </c>
      <c r="E90" s="2958">
        <v>1350000</v>
      </c>
      <c r="F90" s="2958" t="s">
        <v>3343</v>
      </c>
      <c r="G90" s="2958" t="s">
        <v>3149</v>
      </c>
      <c r="H90" s="2958" t="s">
        <v>3344</v>
      </c>
      <c r="I90" s="2958" t="s">
        <v>1331</v>
      </c>
      <c r="J90" s="2958" t="s">
        <v>1331</v>
      </c>
      <c r="K90" s="2958" t="s">
        <v>1331</v>
      </c>
      <c r="L90" s="2958" t="e">
        <f t="shared" si="1"/>
        <v>#VALUE!</v>
      </c>
      <c r="M90" s="2958" t="s">
        <v>1331</v>
      </c>
      <c r="N90" s="2958" t="s">
        <v>3151</v>
      </c>
    </row>
    <row r="91" spans="1:14" s="2958" customFormat="1">
      <c r="A91" s="2958" t="s">
        <v>3345</v>
      </c>
      <c r="B91" s="2958" t="s">
        <v>3062</v>
      </c>
      <c r="C91" s="2958" t="s">
        <v>3118</v>
      </c>
      <c r="D91" s="2958">
        <v>89347.09</v>
      </c>
      <c r="E91" s="2958">
        <v>178694</v>
      </c>
      <c r="F91" s="2958">
        <v>2</v>
      </c>
      <c r="G91" s="2958" t="s">
        <v>3119</v>
      </c>
      <c r="H91" s="2958" t="s">
        <v>3346</v>
      </c>
      <c r="I91" s="2958">
        <v>213000</v>
      </c>
      <c r="J91" s="2958">
        <v>319500</v>
      </c>
      <c r="K91" s="2958">
        <v>17879.72</v>
      </c>
      <c r="L91" s="2958">
        <f t="shared" si="1"/>
        <v>35759</v>
      </c>
      <c r="M91" s="2958">
        <v>50</v>
      </c>
      <c r="N91" s="2958" t="s">
        <v>3347</v>
      </c>
    </row>
    <row r="92" spans="1:14" s="2958" customFormat="1">
      <c r="A92" s="2958" t="s">
        <v>3348</v>
      </c>
      <c r="B92" s="2958" t="s">
        <v>3062</v>
      </c>
      <c r="C92" s="2958" t="s">
        <v>3118</v>
      </c>
      <c r="D92" s="2958">
        <v>83732.679999999993</v>
      </c>
      <c r="E92" s="2958">
        <v>167465</v>
      </c>
      <c r="F92" s="2958">
        <v>2</v>
      </c>
      <c r="G92" s="2958" t="s">
        <v>3119</v>
      </c>
      <c r="H92" s="2958" t="s">
        <v>3346</v>
      </c>
      <c r="I92" s="2958">
        <v>200000</v>
      </c>
      <c r="J92" s="2958">
        <v>300000</v>
      </c>
      <c r="K92" s="2958">
        <v>17914.18</v>
      </c>
      <c r="L92" s="2958">
        <f t="shared" si="1"/>
        <v>35828</v>
      </c>
      <c r="M92" s="2958">
        <v>50</v>
      </c>
      <c r="N92" s="2958" t="s">
        <v>3347</v>
      </c>
    </row>
    <row r="93" spans="1:14" s="2958" customFormat="1">
      <c r="A93" s="2958" t="s">
        <v>3349</v>
      </c>
      <c r="B93" s="2958" t="s">
        <v>3062</v>
      </c>
      <c r="C93" s="2958" t="s">
        <v>3118</v>
      </c>
      <c r="D93" s="2958">
        <v>82624.91</v>
      </c>
      <c r="E93" s="2958">
        <v>263190</v>
      </c>
      <c r="F93" s="2958">
        <v>3.19</v>
      </c>
      <c r="G93" s="2958" t="s">
        <v>3119</v>
      </c>
      <c r="H93" s="2958" t="s">
        <v>3350</v>
      </c>
      <c r="I93" s="2958">
        <v>263200</v>
      </c>
      <c r="J93" s="2958">
        <v>394800</v>
      </c>
      <c r="K93" s="2958">
        <v>15000.56</v>
      </c>
      <c r="L93" s="2958">
        <f t="shared" si="1"/>
        <v>47782</v>
      </c>
      <c r="M93" s="2958">
        <v>50</v>
      </c>
      <c r="N93" s="2958" t="s">
        <v>3351</v>
      </c>
    </row>
    <row r="94" spans="1:14" s="2958" customFormat="1">
      <c r="A94" s="2958" t="s">
        <v>3352</v>
      </c>
      <c r="B94" s="2958" t="s">
        <v>3062</v>
      </c>
      <c r="C94" s="2958" t="s">
        <v>3118</v>
      </c>
      <c r="D94" s="2958">
        <v>45195.85</v>
      </c>
      <c r="E94" s="2958">
        <v>120599</v>
      </c>
      <c r="F94" s="2958">
        <v>2.67</v>
      </c>
      <c r="G94" s="2958" t="s">
        <v>3119</v>
      </c>
      <c r="H94" s="2958" t="s">
        <v>3353</v>
      </c>
      <c r="I94" s="2958">
        <v>260000</v>
      </c>
      <c r="J94" s="2958">
        <v>390000</v>
      </c>
      <c r="K94" s="2958">
        <v>32338.58</v>
      </c>
      <c r="L94" s="2958">
        <f t="shared" si="1"/>
        <v>86291</v>
      </c>
      <c r="M94" s="2958">
        <v>50</v>
      </c>
      <c r="N94" s="2958" t="s">
        <v>3354</v>
      </c>
    </row>
    <row r="95" spans="1:14" s="2958" customFormat="1">
      <c r="A95" s="2958" t="s">
        <v>3355</v>
      </c>
      <c r="B95" s="2958" t="s">
        <v>3062</v>
      </c>
      <c r="C95" s="2958" t="s">
        <v>3118</v>
      </c>
      <c r="D95" s="2958">
        <v>56169.07</v>
      </c>
      <c r="E95" s="2958">
        <v>123983</v>
      </c>
      <c r="F95" s="2958">
        <v>2.21</v>
      </c>
      <c r="G95" s="2958" t="s">
        <v>3119</v>
      </c>
      <c r="H95" s="2958" t="s">
        <v>3356</v>
      </c>
      <c r="I95" s="2958">
        <v>503500</v>
      </c>
      <c r="J95" s="2958">
        <v>513500</v>
      </c>
      <c r="K95" s="2958">
        <v>41416.97</v>
      </c>
      <c r="L95" s="2958">
        <f t="shared" si="1"/>
        <v>91420</v>
      </c>
      <c r="M95" s="2958">
        <v>1.99</v>
      </c>
      <c r="N95" s="2958" t="s">
        <v>3357</v>
      </c>
    </row>
    <row r="96" spans="1:14" s="2958" customFormat="1">
      <c r="A96" s="2958" t="s">
        <v>3358</v>
      </c>
      <c r="B96" s="2958" t="s">
        <v>3062</v>
      </c>
      <c r="C96" s="2958" t="s">
        <v>3118</v>
      </c>
      <c r="D96" s="2958">
        <v>289526.8</v>
      </c>
      <c r="E96" s="2958">
        <v>979900</v>
      </c>
      <c r="F96" s="2958" t="s">
        <v>3359</v>
      </c>
      <c r="G96" s="2958" t="s">
        <v>3149</v>
      </c>
      <c r="H96" s="2958" t="s">
        <v>3360</v>
      </c>
      <c r="I96" s="2958" t="s">
        <v>1331</v>
      </c>
      <c r="J96" s="2958">
        <v>1852637</v>
      </c>
      <c r="K96" s="2958">
        <v>18906.38</v>
      </c>
      <c r="L96" s="2958">
        <f t="shared" si="1"/>
        <v>63988</v>
      </c>
      <c r="M96" s="2958" t="s">
        <v>1331</v>
      </c>
      <c r="N96" s="2958" t="s">
        <v>3361</v>
      </c>
    </row>
    <row r="97" spans="1:14" s="2958" customFormat="1">
      <c r="A97" s="2958" t="s">
        <v>3362</v>
      </c>
      <c r="B97" s="2958" t="s">
        <v>3062</v>
      </c>
      <c r="C97" s="2958" t="s">
        <v>3118</v>
      </c>
      <c r="D97" s="2958">
        <v>74844.53</v>
      </c>
      <c r="E97" s="2958">
        <v>134689</v>
      </c>
      <c r="F97" s="2958">
        <v>1.8</v>
      </c>
      <c r="G97" s="2958" t="s">
        <v>3119</v>
      </c>
      <c r="H97" s="2958" t="s">
        <v>3363</v>
      </c>
      <c r="I97" s="2958">
        <v>87100</v>
      </c>
      <c r="J97" s="2958">
        <v>126000</v>
      </c>
      <c r="K97" s="2958">
        <v>9354.8700000000008</v>
      </c>
      <c r="L97" s="2958">
        <f t="shared" si="1"/>
        <v>16835</v>
      </c>
      <c r="M97" s="2958">
        <v>44.66</v>
      </c>
      <c r="N97" s="2958" t="s">
        <v>3364</v>
      </c>
    </row>
    <row r="98" spans="1:14" s="2958" customFormat="1">
      <c r="A98" s="2958" t="s">
        <v>3365</v>
      </c>
      <c r="B98" s="2958" t="s">
        <v>3062</v>
      </c>
      <c r="C98" s="2958" t="s">
        <v>3118</v>
      </c>
      <c r="D98" s="2958">
        <v>77626.67</v>
      </c>
      <c r="E98" s="2958">
        <v>165765</v>
      </c>
      <c r="F98" s="2958">
        <v>2.14</v>
      </c>
      <c r="G98" s="2958" t="s">
        <v>3119</v>
      </c>
      <c r="H98" s="2958" t="s">
        <v>3366</v>
      </c>
      <c r="I98" s="2958">
        <v>275000</v>
      </c>
      <c r="J98" s="2958">
        <v>442000</v>
      </c>
      <c r="K98" s="2958">
        <v>26664.25</v>
      </c>
      <c r="L98" s="2958">
        <f t="shared" si="1"/>
        <v>56939</v>
      </c>
      <c r="M98" s="2958">
        <v>60.73</v>
      </c>
      <c r="N98" s="2958" t="s">
        <v>3179</v>
      </c>
    </row>
    <row r="99" spans="1:14" s="2958" customFormat="1">
      <c r="A99" s="2958" t="s">
        <v>3367</v>
      </c>
      <c r="B99" s="2958" t="s">
        <v>3062</v>
      </c>
      <c r="C99" s="2958" t="s">
        <v>3118</v>
      </c>
      <c r="D99" s="2958">
        <v>52140.02</v>
      </c>
      <c r="E99" s="2958">
        <v>83940</v>
      </c>
      <c r="F99" s="2958">
        <v>1.6</v>
      </c>
      <c r="G99" s="2958" t="s">
        <v>3119</v>
      </c>
      <c r="H99" s="2958" t="s">
        <v>3368</v>
      </c>
      <c r="I99" s="2958">
        <v>50450</v>
      </c>
      <c r="J99" s="2958">
        <v>50450</v>
      </c>
      <c r="K99" s="2958">
        <v>6010.25</v>
      </c>
      <c r="L99" s="2958">
        <f t="shared" si="1"/>
        <v>9676</v>
      </c>
      <c r="M99" s="2958">
        <v>0</v>
      </c>
      <c r="N99" s="2958" t="s">
        <v>3351</v>
      </c>
    </row>
    <row r="100" spans="1:14" s="2958" customFormat="1">
      <c r="A100" s="2958" t="s">
        <v>3369</v>
      </c>
      <c r="B100" s="2958" t="s">
        <v>3062</v>
      </c>
      <c r="C100" s="2958" t="s">
        <v>3118</v>
      </c>
      <c r="D100" s="2958">
        <v>98838.47</v>
      </c>
      <c r="E100" s="2958">
        <v>170643</v>
      </c>
      <c r="F100" s="2958">
        <v>1.73</v>
      </c>
      <c r="G100" s="2958" t="s">
        <v>3119</v>
      </c>
      <c r="H100" s="2958" t="s">
        <v>3370</v>
      </c>
      <c r="I100" s="2958">
        <v>57000</v>
      </c>
      <c r="J100" s="2958">
        <v>57000</v>
      </c>
      <c r="K100" s="2958">
        <v>3340.3</v>
      </c>
      <c r="L100" s="2958">
        <f t="shared" si="1"/>
        <v>5767</v>
      </c>
      <c r="M100" s="2958">
        <v>0</v>
      </c>
      <c r="N100" s="2958" t="s">
        <v>3371</v>
      </c>
    </row>
    <row r="101" spans="1:14" s="2958" customFormat="1">
      <c r="A101" s="2958" t="s">
        <v>3372</v>
      </c>
      <c r="B101" s="2958" t="s">
        <v>3062</v>
      </c>
      <c r="C101" s="2958" t="s">
        <v>3118</v>
      </c>
      <c r="D101" s="2958">
        <v>42685.77</v>
      </c>
      <c r="E101" s="2958">
        <v>124350</v>
      </c>
      <c r="F101" s="2958">
        <v>2.91</v>
      </c>
      <c r="G101" s="2958" t="s">
        <v>3119</v>
      </c>
      <c r="H101" s="2958" t="s">
        <v>3373</v>
      </c>
      <c r="I101" s="2958">
        <v>126100</v>
      </c>
      <c r="J101" s="2958">
        <v>172000</v>
      </c>
      <c r="K101" s="2958">
        <v>13831.93</v>
      </c>
      <c r="L101" s="2958">
        <f t="shared" si="1"/>
        <v>40294</v>
      </c>
      <c r="M101" s="2958">
        <v>36.4</v>
      </c>
      <c r="N101" s="2958" t="s">
        <v>3374</v>
      </c>
    </row>
    <row r="102" spans="1:14" s="2958" customFormat="1">
      <c r="A102" s="2958" t="s">
        <v>3375</v>
      </c>
      <c r="B102" s="2958" t="s">
        <v>3062</v>
      </c>
      <c r="C102" s="2958" t="s">
        <v>3118</v>
      </c>
      <c r="D102" s="2958">
        <v>90996.11</v>
      </c>
      <c r="E102" s="2958">
        <v>343161</v>
      </c>
      <c r="F102" s="2958">
        <v>3.77</v>
      </c>
      <c r="G102" s="2958" t="s">
        <v>3119</v>
      </c>
      <c r="H102" s="2958" t="s">
        <v>3373</v>
      </c>
      <c r="I102" s="2958">
        <v>330000</v>
      </c>
      <c r="J102" s="2958">
        <v>330000</v>
      </c>
      <c r="K102" s="2958">
        <v>9616.4699999999993</v>
      </c>
      <c r="L102" s="2958">
        <f t="shared" si="1"/>
        <v>36265</v>
      </c>
      <c r="M102" s="2958">
        <v>0</v>
      </c>
      <c r="N102" s="2958" t="s">
        <v>3374</v>
      </c>
    </row>
    <row r="103" spans="1:14" s="2958" customFormat="1">
      <c r="A103" s="2958" t="s">
        <v>3376</v>
      </c>
      <c r="B103" s="2958" t="s">
        <v>3062</v>
      </c>
      <c r="C103" s="2958" t="s">
        <v>3118</v>
      </c>
      <c r="D103" s="2958">
        <v>73293.58</v>
      </c>
      <c r="E103" s="2958">
        <v>143980</v>
      </c>
      <c r="F103" s="2958">
        <v>1.96</v>
      </c>
      <c r="G103" s="2958" t="s">
        <v>3119</v>
      </c>
      <c r="H103" s="2958" t="s">
        <v>3377</v>
      </c>
      <c r="I103" s="2958">
        <v>131500</v>
      </c>
      <c r="J103" s="2958">
        <v>197200</v>
      </c>
      <c r="K103" s="2958">
        <v>13696.35</v>
      </c>
      <c r="L103" s="2958">
        <f t="shared" si="1"/>
        <v>26905</v>
      </c>
      <c r="M103" s="2958">
        <v>49.96</v>
      </c>
      <c r="N103" s="2958" t="s">
        <v>3378</v>
      </c>
    </row>
    <row r="104" spans="1:14" s="2958" customFormat="1">
      <c r="A104" s="2958" t="s">
        <v>3379</v>
      </c>
      <c r="B104" s="2958" t="s">
        <v>3062</v>
      </c>
      <c r="C104" s="2958" t="s">
        <v>3118</v>
      </c>
      <c r="D104" s="2958">
        <v>94198.62</v>
      </c>
      <c r="E104" s="2958">
        <v>187481</v>
      </c>
      <c r="F104" s="2958">
        <v>2</v>
      </c>
      <c r="G104" s="2958" t="s">
        <v>3119</v>
      </c>
      <c r="H104" s="2958" t="s">
        <v>3377</v>
      </c>
      <c r="I104" s="2958">
        <v>168300</v>
      </c>
      <c r="J104" s="2958">
        <v>252400</v>
      </c>
      <c r="K104" s="2958">
        <v>13462.7</v>
      </c>
      <c r="L104" s="2958">
        <f t="shared" si="1"/>
        <v>26794</v>
      </c>
      <c r="M104" s="2958">
        <v>49.97</v>
      </c>
      <c r="N104" s="2958" t="s">
        <v>3378</v>
      </c>
    </row>
    <row r="105" spans="1:14" s="2958" customFormat="1">
      <c r="A105" s="2958" t="s">
        <v>3380</v>
      </c>
      <c r="B105" s="2958" t="s">
        <v>3062</v>
      </c>
      <c r="C105" s="2958" t="s">
        <v>3123</v>
      </c>
      <c r="D105" s="2958">
        <v>72401.83</v>
      </c>
      <c r="E105" s="2958">
        <v>202725</v>
      </c>
      <c r="F105" s="2958">
        <v>2.8</v>
      </c>
      <c r="G105" s="2958" t="s">
        <v>3119</v>
      </c>
      <c r="H105" s="2958" t="s">
        <v>3381</v>
      </c>
      <c r="I105" s="2958">
        <v>380000</v>
      </c>
      <c r="J105" s="2958">
        <v>570000</v>
      </c>
      <c r="K105" s="2958">
        <v>28116.9</v>
      </c>
      <c r="L105" s="2958">
        <f t="shared" si="1"/>
        <v>78727</v>
      </c>
      <c r="M105" s="2958">
        <v>50</v>
      </c>
      <c r="N105" s="2958" t="s">
        <v>3382</v>
      </c>
    </row>
    <row r="106" spans="1:14" s="2958" customFormat="1">
      <c r="A106" s="2958" t="s">
        <v>3383</v>
      </c>
      <c r="B106" s="2958" t="s">
        <v>3062</v>
      </c>
      <c r="C106" s="2958" t="s">
        <v>3118</v>
      </c>
      <c r="D106" s="2958">
        <v>65820.63</v>
      </c>
      <c r="E106" s="2958">
        <v>252082</v>
      </c>
      <c r="F106" s="2958">
        <v>3.82</v>
      </c>
      <c r="G106" s="2958" t="s">
        <v>3119</v>
      </c>
      <c r="H106" s="2958" t="s">
        <v>3381</v>
      </c>
      <c r="I106" s="2958">
        <v>410000</v>
      </c>
      <c r="J106" s="2958">
        <v>460000</v>
      </c>
      <c r="K106" s="2958">
        <v>18248.02</v>
      </c>
      <c r="L106" s="2958">
        <f t="shared" si="1"/>
        <v>69887</v>
      </c>
      <c r="M106" s="2958">
        <v>12.2</v>
      </c>
      <c r="N106" s="2958" t="s">
        <v>3329</v>
      </c>
    </row>
    <row r="107" spans="1:14" s="2958" customFormat="1">
      <c r="A107" s="2958" t="s">
        <v>3384</v>
      </c>
      <c r="B107" s="2958" t="s">
        <v>3062</v>
      </c>
      <c r="C107" s="2958" t="s">
        <v>3123</v>
      </c>
      <c r="D107" s="2958">
        <v>118126.9</v>
      </c>
      <c r="E107" s="2958">
        <v>208824</v>
      </c>
      <c r="F107" s="2958">
        <v>1.77</v>
      </c>
      <c r="G107" s="2958" t="s">
        <v>3119</v>
      </c>
      <c r="H107" s="2958" t="s">
        <v>3385</v>
      </c>
      <c r="I107" s="2958">
        <v>176500</v>
      </c>
      <c r="J107" s="2958">
        <v>264750</v>
      </c>
      <c r="K107" s="2958">
        <v>12678.13</v>
      </c>
      <c r="L107" s="2958">
        <f t="shared" si="1"/>
        <v>22412</v>
      </c>
      <c r="M107" s="2958">
        <v>50</v>
      </c>
      <c r="N107" s="2958" t="s">
        <v>3386</v>
      </c>
    </row>
    <row r="108" spans="1:14" s="2958" customFormat="1">
      <c r="A108" s="2958" t="s">
        <v>3387</v>
      </c>
      <c r="B108" s="2958" t="s">
        <v>3062</v>
      </c>
      <c r="C108" s="2958" t="s">
        <v>3118</v>
      </c>
      <c r="D108" s="2958">
        <v>139657.29999999999</v>
      </c>
      <c r="E108" s="2958">
        <v>204355</v>
      </c>
      <c r="F108" s="2958">
        <v>1.46</v>
      </c>
      <c r="G108" s="2958" t="s">
        <v>3119</v>
      </c>
      <c r="H108" s="2958" t="s">
        <v>3385</v>
      </c>
      <c r="I108" s="2958">
        <v>156100</v>
      </c>
      <c r="J108" s="2958">
        <v>234150</v>
      </c>
      <c r="K108" s="2958">
        <v>11458</v>
      </c>
      <c r="L108" s="2958">
        <f t="shared" si="1"/>
        <v>16766</v>
      </c>
      <c r="M108" s="2958">
        <v>50</v>
      </c>
      <c r="N108" s="2958" t="s">
        <v>3386</v>
      </c>
    </row>
    <row r="109" spans="1:14" s="2958" customFormat="1">
      <c r="A109" s="2958" t="s">
        <v>3388</v>
      </c>
      <c r="B109" s="2958" t="s">
        <v>3062</v>
      </c>
      <c r="C109" s="2958" t="s">
        <v>3123</v>
      </c>
      <c r="D109" s="2958">
        <v>42076.54</v>
      </c>
      <c r="E109" s="2958">
        <v>117814</v>
      </c>
      <c r="F109" s="2958">
        <v>2.8</v>
      </c>
      <c r="G109" s="2958" t="s">
        <v>3119</v>
      </c>
      <c r="H109" s="2958" t="s">
        <v>3389</v>
      </c>
      <c r="I109" s="2958">
        <v>124900</v>
      </c>
      <c r="J109" s="2958">
        <v>187300</v>
      </c>
      <c r="K109" s="2958">
        <v>15897.94</v>
      </c>
      <c r="L109" s="2958">
        <f t="shared" si="1"/>
        <v>44514</v>
      </c>
      <c r="M109" s="2958">
        <v>49.96</v>
      </c>
      <c r="N109" s="2958" t="s">
        <v>3390</v>
      </c>
    </row>
    <row r="110" spans="1:14" s="2958" customFormat="1">
      <c r="A110" s="2958" t="s">
        <v>3391</v>
      </c>
      <c r="B110" s="2958" t="s">
        <v>3062</v>
      </c>
      <c r="C110" s="2958" t="s">
        <v>3118</v>
      </c>
      <c r="D110" s="2958">
        <v>41963.66</v>
      </c>
      <c r="E110" s="2958">
        <v>117498</v>
      </c>
      <c r="F110" s="2958">
        <v>2.8</v>
      </c>
      <c r="G110" s="2958" t="s">
        <v>3119</v>
      </c>
      <c r="H110" s="2958" t="s">
        <v>3392</v>
      </c>
      <c r="I110" s="2958">
        <v>220000</v>
      </c>
      <c r="J110" s="2958">
        <v>330000</v>
      </c>
      <c r="K110" s="2958">
        <v>28085.58</v>
      </c>
      <c r="L110" s="2958">
        <f t="shared" si="1"/>
        <v>78639</v>
      </c>
      <c r="M110" s="2958">
        <v>50</v>
      </c>
      <c r="N110" s="2958" t="s">
        <v>3393</v>
      </c>
    </row>
    <row r="111" spans="1:14" s="2958" customFormat="1">
      <c r="A111" s="2958" t="s">
        <v>3394</v>
      </c>
      <c r="B111" s="2958" t="s">
        <v>3062</v>
      </c>
      <c r="C111" s="2958" t="s">
        <v>3118</v>
      </c>
      <c r="D111" s="2958">
        <v>48775.519999999997</v>
      </c>
      <c r="E111" s="2958">
        <v>121939</v>
      </c>
      <c r="F111" s="2958">
        <v>2.5</v>
      </c>
      <c r="G111" s="2958" t="s">
        <v>3119</v>
      </c>
      <c r="H111" s="2958" t="s">
        <v>3395</v>
      </c>
      <c r="I111" s="2958">
        <v>95000</v>
      </c>
      <c r="J111" s="2958">
        <v>142500</v>
      </c>
      <c r="K111" s="2958">
        <v>11686.17</v>
      </c>
      <c r="L111" s="2958">
        <f t="shared" si="1"/>
        <v>29215</v>
      </c>
      <c r="M111" s="2958">
        <v>50</v>
      </c>
      <c r="N111" s="2958" t="s">
        <v>3396</v>
      </c>
    </row>
    <row r="112" spans="1:14" s="2958" customFormat="1">
      <c r="A112" s="2958" t="s">
        <v>3397</v>
      </c>
      <c r="B112" s="2958" t="s">
        <v>3062</v>
      </c>
      <c r="C112" s="2958" t="s">
        <v>3118</v>
      </c>
      <c r="D112" s="2958">
        <v>79821.14</v>
      </c>
      <c r="E112" s="2958">
        <v>142412</v>
      </c>
      <c r="F112" s="2958">
        <v>1.78</v>
      </c>
      <c r="G112" s="2958" t="s">
        <v>3119</v>
      </c>
      <c r="H112" s="2958" t="s">
        <v>3395</v>
      </c>
      <c r="I112" s="2958">
        <v>142300</v>
      </c>
      <c r="J112" s="2958">
        <v>185000</v>
      </c>
      <c r="K112" s="2958">
        <v>12990.47</v>
      </c>
      <c r="L112" s="2958">
        <f t="shared" si="1"/>
        <v>23177</v>
      </c>
      <c r="M112" s="2958">
        <v>30.01</v>
      </c>
      <c r="N112" s="2958" t="s">
        <v>3243</v>
      </c>
    </row>
    <row r="113" spans="1:14" s="2958" customFormat="1">
      <c r="A113" s="2958" t="s">
        <v>3398</v>
      </c>
      <c r="B113" s="2958" t="s">
        <v>3062</v>
      </c>
      <c r="C113" s="2958" t="s">
        <v>3118</v>
      </c>
      <c r="D113" s="2958">
        <v>83892.99</v>
      </c>
      <c r="E113" s="2958">
        <v>209732</v>
      </c>
      <c r="F113" s="2958">
        <v>2.5</v>
      </c>
      <c r="G113" s="2958" t="s">
        <v>3119</v>
      </c>
      <c r="H113" s="2958" t="s">
        <v>3395</v>
      </c>
      <c r="I113" s="2958">
        <v>185000</v>
      </c>
      <c r="J113" s="2958">
        <v>277500</v>
      </c>
      <c r="K113" s="2958">
        <v>13231.17</v>
      </c>
      <c r="L113" s="2958">
        <f t="shared" si="1"/>
        <v>33078</v>
      </c>
      <c r="M113" s="2958">
        <v>50</v>
      </c>
      <c r="N113" s="2958" t="s">
        <v>3399</v>
      </c>
    </row>
    <row r="114" spans="1:14" s="2958" customFormat="1">
      <c r="A114" s="2958" t="s">
        <v>3400</v>
      </c>
      <c r="B114" s="2958" t="s">
        <v>3062</v>
      </c>
      <c r="C114" s="2958" t="s">
        <v>3118</v>
      </c>
      <c r="D114" s="2958">
        <v>41050.28</v>
      </c>
      <c r="E114" s="2958">
        <v>104782</v>
      </c>
      <c r="F114" s="2958">
        <v>2.5499999999999998</v>
      </c>
      <c r="G114" s="2958" t="s">
        <v>3119</v>
      </c>
      <c r="H114" s="2958" t="s">
        <v>3401</v>
      </c>
      <c r="I114" s="2958">
        <v>185000</v>
      </c>
      <c r="J114" s="2958">
        <v>203000</v>
      </c>
      <c r="K114" s="2958">
        <v>19373.560000000001</v>
      </c>
      <c r="L114" s="2958">
        <f t="shared" si="1"/>
        <v>49452</v>
      </c>
      <c r="M114" s="2958">
        <v>9.73</v>
      </c>
      <c r="N114" s="2958" t="s">
        <v>3402</v>
      </c>
    </row>
    <row r="115" spans="1:14" s="2958" customFormat="1">
      <c r="A115" s="2958" t="s">
        <v>3403</v>
      </c>
      <c r="B115" s="2958" t="s">
        <v>3062</v>
      </c>
      <c r="C115" s="2958" t="s">
        <v>3118</v>
      </c>
      <c r="D115" s="2958">
        <v>69123.38</v>
      </c>
      <c r="E115" s="2958">
        <v>89860</v>
      </c>
      <c r="F115" s="2958">
        <v>1.3</v>
      </c>
      <c r="G115" s="2958" t="s">
        <v>3119</v>
      </c>
      <c r="H115" s="2958" t="s">
        <v>3404</v>
      </c>
      <c r="I115" s="2958">
        <v>196000</v>
      </c>
      <c r="J115" s="2958">
        <v>294000</v>
      </c>
      <c r="K115" s="2958">
        <v>32717.56</v>
      </c>
      <c r="L115" s="2958">
        <f t="shared" si="1"/>
        <v>42533</v>
      </c>
      <c r="M115" s="2958">
        <v>50</v>
      </c>
      <c r="N115" s="2958" t="s">
        <v>3405</v>
      </c>
    </row>
    <row r="116" spans="1:14" s="2958" customFormat="1">
      <c r="A116" s="2958" t="s">
        <v>3406</v>
      </c>
      <c r="B116" s="2958" t="s">
        <v>3062</v>
      </c>
      <c r="C116" s="2958" t="s">
        <v>3118</v>
      </c>
      <c r="D116" s="2958">
        <v>63913.14</v>
      </c>
      <c r="E116" s="2958">
        <v>159783</v>
      </c>
      <c r="F116" s="2958">
        <v>2.5</v>
      </c>
      <c r="G116" s="2958" t="s">
        <v>3119</v>
      </c>
      <c r="H116" s="2958" t="s">
        <v>3407</v>
      </c>
      <c r="I116" s="2958">
        <v>305000</v>
      </c>
      <c r="J116" s="2958">
        <v>425000</v>
      </c>
      <c r="K116" s="2958">
        <v>26598.560000000001</v>
      </c>
      <c r="L116" s="2958">
        <f t="shared" si="1"/>
        <v>66496</v>
      </c>
      <c r="M116" s="2958">
        <v>39.340000000000003</v>
      </c>
      <c r="N116" s="2958" t="s">
        <v>3408</v>
      </c>
    </row>
    <row r="117" spans="1:14" s="2958" customFormat="1">
      <c r="A117" s="2958" t="s">
        <v>3409</v>
      </c>
      <c r="B117" s="2958" t="s">
        <v>3062</v>
      </c>
      <c r="C117" s="2958" t="s">
        <v>3118</v>
      </c>
      <c r="D117" s="2958">
        <v>121096.3</v>
      </c>
      <c r="E117" s="2958">
        <v>143685</v>
      </c>
      <c r="F117" s="2958">
        <v>1.19</v>
      </c>
      <c r="G117" s="2958" t="s">
        <v>3119</v>
      </c>
      <c r="H117" s="2958" t="s">
        <v>3410</v>
      </c>
      <c r="I117" s="2958">
        <v>432200</v>
      </c>
      <c r="J117" s="2958">
        <v>648300</v>
      </c>
      <c r="K117" s="2958">
        <v>45119.519999999997</v>
      </c>
      <c r="L117" s="2958">
        <f t="shared" si="1"/>
        <v>53536</v>
      </c>
      <c r="M117" s="2958">
        <v>50</v>
      </c>
      <c r="N117" s="2958" t="s">
        <v>3411</v>
      </c>
    </row>
    <row r="257" spans="1:10">
      <c r="A257" s="2966"/>
      <c r="B257" s="2966" t="s">
        <v>3412</v>
      </c>
      <c r="C257" s="2966" t="s">
        <v>3413</v>
      </c>
      <c r="D257" s="2966" t="s">
        <v>3414</v>
      </c>
      <c r="J257" s="2967"/>
    </row>
    <row r="258" spans="1:10">
      <c r="A258" s="2968" t="s">
        <v>3415</v>
      </c>
      <c r="B258" s="2969">
        <v>102800</v>
      </c>
      <c r="C258" s="2969">
        <v>56000</v>
      </c>
      <c r="D258" s="2969">
        <v>57000</v>
      </c>
    </row>
    <row r="259" spans="1:10">
      <c r="A259" s="2968" t="s">
        <v>3416</v>
      </c>
      <c r="B259" s="2969">
        <v>69858</v>
      </c>
      <c r="C259" s="2969">
        <v>176965</v>
      </c>
      <c r="D259" s="2969">
        <v>142393</v>
      </c>
    </row>
    <row r="260" spans="1:10">
      <c r="A260" s="2968" t="s">
        <v>3417</v>
      </c>
      <c r="B260" s="2969">
        <v>203821</v>
      </c>
      <c r="C260" s="2969">
        <v>254197</v>
      </c>
      <c r="D260" s="2969">
        <v>239373</v>
      </c>
      <c r="E260" s="2964">
        <f>B258/B260</f>
        <v>0.5043641234220223</v>
      </c>
      <c r="F260" s="2964">
        <f>C258/C260</f>
        <v>0.22030157712325479</v>
      </c>
      <c r="G260" s="2964">
        <f>C258/C260</f>
        <v>0.22030157712325479</v>
      </c>
    </row>
    <row r="261" spans="1:10">
      <c r="A261" s="2968" t="s">
        <v>3418</v>
      </c>
      <c r="B261" s="2969">
        <v>24286</v>
      </c>
      <c r="C261" s="2969">
        <v>33812</v>
      </c>
      <c r="D261" s="2969">
        <v>34841</v>
      </c>
      <c r="E261" s="2964">
        <f>B261/B262</f>
        <v>0.4956326530612245</v>
      </c>
      <c r="F261" s="2964">
        <f>C261/C262</f>
        <v>0.77968915740441824</v>
      </c>
      <c r="G261" s="2964">
        <f>D261/D262</f>
        <v>0.76188497703914282</v>
      </c>
    </row>
    <row r="262" spans="1:10">
      <c r="A262" s="2968" t="s">
        <v>3419</v>
      </c>
      <c r="B262" s="2969">
        <v>49000</v>
      </c>
      <c r="C262" s="2969">
        <v>43366</v>
      </c>
      <c r="D262" s="2969">
        <v>45730</v>
      </c>
      <c r="E262" s="2964">
        <f>B261/(1-E260)</f>
        <v>48999.681313786248</v>
      </c>
      <c r="F262" s="2964">
        <f>C261/(1-F260)</f>
        <v>43365.484664248201</v>
      </c>
      <c r="G262" s="2964">
        <f>D261/(1-G260)</f>
        <v>44685.225694637156</v>
      </c>
    </row>
    <row r="264" spans="1:10">
      <c r="A264" s="2967" t="s">
        <v>3420</v>
      </c>
      <c r="B264" s="2964">
        <v>18600</v>
      </c>
      <c r="C264" s="2964">
        <v>100991</v>
      </c>
      <c r="D264" s="2964">
        <v>166387</v>
      </c>
      <c r="F264" s="2964">
        <f>B264/D264</f>
        <v>0.11178757955849916</v>
      </c>
      <c r="G264" s="2964">
        <f>22668/(1-F264)</f>
        <v>25520.922110875788</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7" sqref="D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4"/>
      <c r="C1" s="1585"/>
      <c r="D1" s="1583"/>
      <c r="E1" s="320"/>
      <c r="F1" s="320"/>
      <c r="G1" s="1584"/>
      <c r="H1" s="320"/>
      <c r="I1" s="320"/>
      <c r="J1" s="320"/>
      <c r="K1" s="320">
        <f>MATCH(C1,'数据-取费表'!A6:A16,0)+5</f>
        <v>8</v>
      </c>
    </row>
    <row r="2" spans="1:33" ht="18" customHeight="1">
      <c r="A2" s="245" t="s">
        <v>2334</v>
      </c>
      <c r="B2" s="248">
        <f ca="1">C32</f>
        <v>146747</v>
      </c>
      <c r="C2" s="320" t="s">
        <v>2467</v>
      </c>
      <c r="D2" s="320"/>
      <c r="E2" s="320"/>
      <c r="F2" s="320"/>
      <c r="G2" s="320"/>
      <c r="H2" s="320"/>
      <c r="I2" s="320"/>
      <c r="J2" s="320"/>
      <c r="K2" s="320"/>
    </row>
    <row r="3" spans="1:33" ht="18" customHeight="1" thickBot="1">
      <c r="A3" s="247" t="s">
        <v>2336</v>
      </c>
      <c r="B3" s="248">
        <f ca="1">ROUND(B2*10000/IF(C1="",'数据-汇总表'!E3,INDIRECT("'数据-取费表'!K"&amp;$K$1)),0)</f>
        <v>67143</v>
      </c>
      <c r="C3" s="320" t="s">
        <v>2468</v>
      </c>
      <c r="D3" s="320"/>
      <c r="E3" s="320"/>
      <c r="F3" s="320"/>
      <c r="G3" s="320"/>
      <c r="H3" s="320"/>
      <c r="I3" s="320"/>
      <c r="J3" s="320"/>
      <c r="K3" s="320"/>
    </row>
    <row r="4" spans="1:33" s="959" customFormat="1" ht="16.5" customHeight="1">
      <c r="A4" s="956" t="s">
        <v>2469</v>
      </c>
      <c r="B4" s="957"/>
      <c r="C4" s="999">
        <f ca="1">SUM(C8:K8)</f>
        <v>204240</v>
      </c>
      <c r="D4" s="957"/>
      <c r="E4" s="957"/>
      <c r="F4" s="957"/>
      <c r="G4" s="957"/>
      <c r="H4" s="957"/>
      <c r="I4" s="957"/>
      <c r="J4" s="957"/>
      <c r="K4" s="958"/>
    </row>
    <row r="5" spans="1:33" s="963" customFormat="1" ht="15">
      <c r="A5" s="960" t="s">
        <v>2470</v>
      </c>
      <c r="B5" s="961" t="s">
        <v>2471</v>
      </c>
      <c r="C5" s="2561" t="s">
        <v>3057</v>
      </c>
      <c r="D5" s="2561" t="s">
        <v>3059</v>
      </c>
      <c r="E5" s="2561"/>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f>'不动产比较法-住宅'!C49</f>
        <v>95870</v>
      </c>
      <c r="D6" s="965">
        <f ca="1">收益法!C43</f>
        <v>6342</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21264.71</v>
      </c>
      <c r="D7" s="321">
        <f>SUMIF('数据-汇总表'!$C19:$C33,假设开发法!D5,'数据-汇总表'!$E19:$E33)</f>
        <v>591.26</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f>ROUND(C6*C7/10000,0)</f>
        <v>203865</v>
      </c>
      <c r="D8" s="1000">
        <f ca="1">ROUND(D6*D7/10000,0)</f>
        <v>375</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6037</v>
      </c>
      <c r="D11" s="976"/>
      <c r="E11" s="375"/>
      <c r="F11" s="977">
        <f ca="1">1-IF('数据-取费表'!B24=0,1,IF(C1="",'数据-取费表'!N16,INDIRECT("'数据-取费表'!n"&amp;$K$1)))</f>
        <v>0.7</v>
      </c>
      <c r="G11" s="8"/>
      <c r="H11" s="971"/>
      <c r="I11" s="971"/>
      <c r="J11" s="971"/>
      <c r="K11" s="972"/>
    </row>
    <row r="12" spans="1:33" s="978" customFormat="1" ht="13.5" customHeight="1">
      <c r="A12" s="974" t="s">
        <v>1335</v>
      </c>
      <c r="B12" s="975" t="s">
        <v>2485</v>
      </c>
      <c r="C12" s="24">
        <f ca="1">ROUND(C11*F12,0)</f>
        <v>181</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179</v>
      </c>
      <c r="D13" s="1036"/>
      <c r="E13" s="375"/>
      <c r="F13" s="979">
        <f>'数据-取费表'!B34</f>
        <v>0.03</v>
      </c>
      <c r="G13" s="8" t="s">
        <v>2488</v>
      </c>
      <c r="H13" s="971"/>
      <c r="I13" s="971"/>
      <c r="J13" s="971"/>
      <c r="K13" s="972"/>
    </row>
    <row r="14" spans="1:33" s="980" customFormat="1" ht="13.5" customHeight="1">
      <c r="A14" s="974" t="s">
        <v>1337</v>
      </c>
      <c r="B14" s="975" t="s">
        <v>2489</v>
      </c>
      <c r="C14" s="24">
        <f ca="1">ROUND(D14*E14*F11/10000,0)</f>
        <v>306</v>
      </c>
      <c r="D14" s="1036">
        <f ca="1">IF(C1="",'数据-汇总表'!E3,INDIRECT("'数据-取费表'!K"&amp;$K$1)+INDIRECT("'数据-取费表'!S"&amp;$K$1))</f>
        <v>21855.969999999998</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91</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6794</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21855.969999999998</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350</v>
      </c>
      <c r="D18" s="1036"/>
      <c r="E18" s="24"/>
      <c r="F18" s="979"/>
      <c r="G18" s="2563"/>
      <c r="H18" s="1580"/>
      <c r="I18" s="2564" t="s">
        <v>2497</v>
      </c>
      <c r="J18" s="982"/>
      <c r="K18" s="983"/>
    </row>
    <row r="19" spans="1:33" s="978" customFormat="1" ht="13.5" customHeight="1">
      <c r="A19" s="974" t="s">
        <v>805</v>
      </c>
      <c r="B19" s="975" t="s">
        <v>2498</v>
      </c>
      <c r="C19" s="24">
        <f ca="1">ROUND(D19*E19/10000,0)</f>
        <v>340</v>
      </c>
      <c r="D19" s="1036">
        <f ca="1">IF(C1="",'数据-汇总表'!E5,IF(INDIRECT("'数据-取费表'!c"&amp;$K$1)="住宅",INDIRECT("'数据-取费表'!k"&amp;$K$1),0))</f>
        <v>21264.71</v>
      </c>
      <c r="E19" s="24">
        <f>'数据-取费表'!B27</f>
        <v>160</v>
      </c>
      <c r="F19" s="979"/>
      <c r="G19" s="15"/>
      <c r="H19" s="1582"/>
      <c r="I19" s="984"/>
      <c r="J19" s="984"/>
      <c r="K19" s="985"/>
    </row>
    <row r="20" spans="1:33" s="978" customFormat="1" ht="13.5" customHeight="1">
      <c r="A20" s="974" t="s">
        <v>806</v>
      </c>
      <c r="B20" s="975" t="s">
        <v>2499</v>
      </c>
      <c r="C20" s="24">
        <f ca="1">ROUND(D20*E20/10000,0)</f>
        <v>12</v>
      </c>
      <c r="D20" s="1036">
        <f ca="1">IF(C1="",'数据-汇总表'!E6,IF(INDIRECT("'数据-取费表'!c"&amp;$K$1)="住宅",INDIRECT("'数据-取费表'!s"&amp;$K$1),INDIRECT("'数据-取费表'!k"&amp;$K$1)+INDIRECT("'数据-取费表'!s"&amp;$K$1)))</f>
        <v>591.2599999999984</v>
      </c>
      <c r="E20" s="24">
        <f>'数据-取费表'!B28</f>
        <v>200</v>
      </c>
      <c r="F20" s="979"/>
      <c r="G20" s="15"/>
      <c r="H20" s="984"/>
      <c r="I20" s="984"/>
      <c r="J20" s="984"/>
      <c r="K20" s="985"/>
    </row>
    <row r="21" spans="1:33" s="978" customFormat="1" ht="13.5" customHeight="1">
      <c r="A21" s="964" t="s">
        <v>802</v>
      </c>
      <c r="B21" s="988" t="s">
        <v>2500</v>
      </c>
      <c r="C21" s="989">
        <f ca="1">C16+C17+C18</f>
        <v>7144</v>
      </c>
      <c r="D21" s="990"/>
      <c r="E21" s="325"/>
      <c r="F21" s="325"/>
      <c r="G21" s="140" t="s">
        <v>2501</v>
      </c>
      <c r="H21" s="982"/>
      <c r="I21" s="982"/>
      <c r="J21" s="982"/>
      <c r="K21" s="983"/>
    </row>
    <row r="22" spans="1:33" s="978" customFormat="1" ht="13.5" customHeight="1">
      <c r="A22" s="964" t="s">
        <v>2473</v>
      </c>
      <c r="B22" s="988" t="s">
        <v>2502</v>
      </c>
      <c r="C22" s="989">
        <f ca="1">ROUND(C21*F22,0)</f>
        <v>143</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1430</v>
      </c>
      <c r="D23" s="325"/>
      <c r="E23" s="325"/>
      <c r="F23" s="991">
        <f>'数据-取费表'!B38</f>
        <v>0.01</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205</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4.8899999999999999E-2</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205</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2513</v>
      </c>
      <c r="B28" s="2566" t="s">
        <v>2514</v>
      </c>
      <c r="C28" s="331">
        <f ca="1">C30</f>
        <v>2092</v>
      </c>
      <c r="D28" s="324">
        <f ca="1">C29</f>
        <v>0.1646</v>
      </c>
      <c r="E28" s="326" t="s">
        <v>15</v>
      </c>
      <c r="F28" s="332">
        <f ca="1">IF(C1="",'数据-取费表'!Q16,INDIRECT("'数据-取费表'!q"&amp;$K$1))</f>
        <v>0.24</v>
      </c>
      <c r="G28" s="992"/>
      <c r="H28" s="993"/>
      <c r="I28" s="993"/>
      <c r="J28" s="993"/>
      <c r="K28" s="994"/>
    </row>
    <row r="29" spans="1:33" s="335" customFormat="1" ht="13.5" customHeight="1">
      <c r="A29" s="974" t="s">
        <v>803</v>
      </c>
      <c r="B29" s="997" t="s">
        <v>2515</v>
      </c>
      <c r="C29" s="328">
        <f ca="1">ROUND((1+C24)*F28*'数据-取费表'!B24/'数据-取费表'!B20,4)</f>
        <v>0.1646</v>
      </c>
      <c r="D29" s="328"/>
      <c r="E29" s="329"/>
      <c r="F29" s="334"/>
      <c r="G29" s="140" t="s">
        <v>2516</v>
      </c>
      <c r="H29" s="982"/>
      <c r="I29" s="982"/>
      <c r="J29" s="982"/>
      <c r="K29" s="983"/>
    </row>
    <row r="30" spans="1:33" s="335" customFormat="1" ht="13.5" customHeight="1">
      <c r="A30" s="974" t="s">
        <v>804</v>
      </c>
      <c r="B30" s="997" t="s">
        <v>2517</v>
      </c>
      <c r="C30" s="336">
        <f ca="1">ROUND((C21+C22+C23)*F28,0)</f>
        <v>2092</v>
      </c>
      <c r="D30" s="328"/>
      <c r="E30" s="329"/>
      <c r="F30" s="334"/>
      <c r="G30" s="140"/>
      <c r="H30" s="982"/>
      <c r="I30" s="982"/>
      <c r="J30" s="982"/>
      <c r="K30" s="983"/>
    </row>
    <row r="31" spans="1:33" s="978" customFormat="1" ht="13.5" customHeight="1" thickBot="1">
      <c r="A31" s="2567" t="s">
        <v>2518</v>
      </c>
      <c r="B31" s="1008" t="s">
        <v>2519</v>
      </c>
      <c r="C31" s="1009">
        <f ca="1">ROUND(C4*F31/(1+'数据-取费表'!C42),0)</f>
        <v>10893</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146747</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C12" sqref="C12"/>
    </sheetView>
  </sheetViews>
  <sheetFormatPr defaultRowHeight="14.25"/>
  <cols>
    <col min="1" max="1" width="10.5" style="3002" customWidth="1"/>
    <col min="2" max="2" width="15.75" style="3002" customWidth="1"/>
    <col min="3" max="3" width="15.12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0" width="12.25" style="3002" customWidth="1"/>
    <col min="11" max="11" width="12.25" style="3352" customWidth="1"/>
    <col min="12" max="12" width="12.25" style="3353" customWidth="1"/>
    <col min="13" max="15" width="12.25" style="3002" customWidth="1"/>
    <col min="16" max="16" width="4.75" style="3002"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83" customFormat="1" ht="28.5" customHeight="1">
      <c r="A1" s="2970" t="s">
        <v>3428</v>
      </c>
      <c r="B1" s="2971" t="s">
        <v>3429</v>
      </c>
      <c r="C1" s="2972" t="s">
        <v>3430</v>
      </c>
      <c r="D1" s="2973" t="s">
        <v>3431</v>
      </c>
      <c r="E1" s="2974"/>
      <c r="F1" s="2975" t="s">
        <v>3432</v>
      </c>
      <c r="G1" s="2976" t="s">
        <v>3433</v>
      </c>
      <c r="H1" s="2977"/>
      <c r="I1" s="2977"/>
      <c r="J1" s="2977"/>
      <c r="K1" s="2978"/>
      <c r="L1" s="2979"/>
      <c r="M1" s="2980"/>
      <c r="N1" s="2980"/>
      <c r="O1" s="2980"/>
      <c r="P1" s="2981"/>
      <c r="Q1" s="2981"/>
      <c r="R1" s="2981"/>
      <c r="S1" s="2981"/>
      <c r="T1" s="2981"/>
      <c r="U1" s="2981"/>
      <c r="V1" s="2981"/>
      <c r="W1" s="2981"/>
      <c r="X1" s="2981"/>
      <c r="Y1" s="2981"/>
      <c r="Z1" s="2981"/>
      <c r="AA1" s="2981"/>
      <c r="AB1" s="2981"/>
      <c r="AC1" s="2982"/>
    </row>
    <row r="2" spans="1:29" s="2992" customFormat="1" ht="28.5" customHeight="1">
      <c r="A2" s="245" t="s">
        <v>3434</v>
      </c>
      <c r="B2" s="2984">
        <f>ROUND(B3*D3/10000,0)</f>
        <v>45566</v>
      </c>
      <c r="C2" s="2985"/>
      <c r="D2" s="2985"/>
      <c r="E2" s="2985"/>
      <c r="F2" s="2986"/>
      <c r="G2" s="2985"/>
      <c r="H2" s="2985"/>
      <c r="I2" s="2985"/>
      <c r="J2" s="2985"/>
      <c r="K2" s="2987"/>
      <c r="L2" s="2988"/>
      <c r="M2" s="2989"/>
      <c r="N2" s="2989"/>
      <c r="O2" s="2989"/>
      <c r="P2" s="2990"/>
      <c r="Q2" s="2990"/>
      <c r="R2" s="2990"/>
      <c r="S2" s="2990"/>
      <c r="T2" s="2990"/>
      <c r="U2" s="2990"/>
      <c r="V2" s="2990"/>
      <c r="W2" s="2990"/>
      <c r="X2" s="2990"/>
      <c r="Y2" s="2990"/>
      <c r="Z2" s="2990"/>
      <c r="AA2" s="2990"/>
      <c r="AB2" s="2990"/>
      <c r="AC2" s="2991"/>
    </row>
    <row r="3" spans="1:29" s="2992" customFormat="1" ht="28.5" customHeight="1" thickBot="1">
      <c r="A3" s="247" t="s">
        <v>3435</v>
      </c>
      <c r="B3" s="2993">
        <f>C49</f>
        <v>95870</v>
      </c>
      <c r="C3" s="2994" t="s">
        <v>3436</v>
      </c>
      <c r="D3" s="2993">
        <f>SUMIF('[1]数据-汇总表'!$C19:$C33,D1,'[1]数据-汇总表'!$E19:$E33)</f>
        <v>4752.87</v>
      </c>
      <c r="E3" s="2985"/>
      <c r="F3" s="2986"/>
      <c r="G3" s="2985"/>
      <c r="H3" s="2985"/>
      <c r="I3" s="2985"/>
      <c r="J3" s="2985"/>
      <c r="K3" s="2987"/>
      <c r="L3" s="2988"/>
      <c r="M3" s="2989"/>
      <c r="N3" s="2989"/>
      <c r="O3" s="2989"/>
      <c r="P3" s="2990"/>
      <c r="Q3" s="2990"/>
      <c r="R3" s="2990"/>
      <c r="S3" s="2990"/>
      <c r="T3" s="2990"/>
      <c r="U3" s="2990"/>
      <c r="V3" s="2990"/>
      <c r="W3" s="2990"/>
      <c r="X3" s="2990"/>
      <c r="Y3" s="2990"/>
      <c r="Z3" s="2990"/>
      <c r="AA3" s="2990"/>
      <c r="AB3" s="2990"/>
      <c r="AC3" s="2995"/>
    </row>
    <row r="4" spans="1:29" ht="15">
      <c r="A4" s="2996" t="s">
        <v>3437</v>
      </c>
      <c r="B4" s="2997"/>
      <c r="C4" s="3614" t="s">
        <v>3438</v>
      </c>
      <c r="D4" s="3615"/>
      <c r="E4" s="3616" t="s">
        <v>3439</v>
      </c>
      <c r="F4" s="3617"/>
      <c r="G4" s="3614" t="s">
        <v>3440</v>
      </c>
      <c r="H4" s="3615"/>
      <c r="I4" s="3614" t="s">
        <v>3441</v>
      </c>
      <c r="J4" s="3615"/>
      <c r="K4" s="2998" t="s">
        <v>3442</v>
      </c>
      <c r="L4" s="2999"/>
      <c r="M4" s="3000"/>
      <c r="N4" s="3000"/>
      <c r="O4" s="3000"/>
      <c r="P4" s="3618" t="s">
        <v>3443</v>
      </c>
      <c r="Q4" s="3619"/>
      <c r="R4" s="3604" t="s">
        <v>3439</v>
      </c>
      <c r="S4" s="3605"/>
      <c r="T4" s="3604" t="s">
        <v>3440</v>
      </c>
      <c r="U4" s="3605"/>
      <c r="V4" s="3610" t="s">
        <v>3441</v>
      </c>
      <c r="W4" s="3610"/>
      <c r="X4" s="3001"/>
      <c r="Y4" s="3604" t="s">
        <v>3443</v>
      </c>
      <c r="Z4" s="3605"/>
      <c r="AA4" s="3611" t="s">
        <v>3439</v>
      </c>
      <c r="AB4" s="3611" t="s">
        <v>3440</v>
      </c>
      <c r="AC4" s="3611" t="s">
        <v>3441</v>
      </c>
    </row>
    <row r="5" spans="1:29" ht="15">
      <c r="A5" s="3003"/>
      <c r="B5" s="3004"/>
      <c r="C5" s="3624" t="s">
        <v>3444</v>
      </c>
      <c r="D5" s="3625"/>
      <c r="E5" s="3626" t="s">
        <v>3445</v>
      </c>
      <c r="F5" s="3627"/>
      <c r="G5" s="3628" t="s">
        <v>3446</v>
      </c>
      <c r="H5" s="3625"/>
      <c r="I5" s="3628" t="s">
        <v>3447</v>
      </c>
      <c r="J5" s="3625"/>
      <c r="K5" s="3005"/>
      <c r="L5" s="2999"/>
      <c r="M5" s="3000"/>
      <c r="N5" s="3000"/>
      <c r="O5" s="3000"/>
      <c r="P5" s="3620"/>
      <c r="Q5" s="3621"/>
      <c r="R5" s="3606"/>
      <c r="S5" s="3607"/>
      <c r="T5" s="3606"/>
      <c r="U5" s="3607"/>
      <c r="V5" s="3610"/>
      <c r="W5" s="3610"/>
      <c r="X5" s="3001"/>
      <c r="Y5" s="3606"/>
      <c r="Z5" s="3607"/>
      <c r="AA5" s="3612"/>
      <c r="AB5" s="3612"/>
      <c r="AC5" s="3612"/>
    </row>
    <row r="6" spans="1:29" ht="15.75" thickBot="1">
      <c r="A6" s="3006"/>
      <c r="B6" s="3007"/>
      <c r="C6" s="3599" t="s">
        <v>3448</v>
      </c>
      <c r="D6" s="3600"/>
      <c r="E6" s="3601" t="s">
        <v>3448</v>
      </c>
      <c r="F6" s="3602"/>
      <c r="G6" s="3599" t="s">
        <v>3448</v>
      </c>
      <c r="H6" s="3600"/>
      <c r="I6" s="3599" t="s">
        <v>3448</v>
      </c>
      <c r="J6" s="3600"/>
      <c r="K6" s="3005" t="s">
        <v>3449</v>
      </c>
      <c r="L6" s="2999"/>
      <c r="M6" s="3000"/>
      <c r="N6" s="3000"/>
      <c r="O6" s="3000"/>
      <c r="P6" s="3622"/>
      <c r="Q6" s="3623"/>
      <c r="R6" s="3606"/>
      <c r="S6" s="3607"/>
      <c r="T6" s="3608"/>
      <c r="U6" s="3609"/>
      <c r="V6" s="3610"/>
      <c r="W6" s="3610"/>
      <c r="X6" s="3001"/>
      <c r="Y6" s="3608"/>
      <c r="Z6" s="3609"/>
      <c r="AA6" s="3613"/>
      <c r="AB6" s="3613"/>
      <c r="AC6" s="3613"/>
    </row>
    <row r="7" spans="1:29" s="3022" customFormat="1" ht="15.75" thickBot="1">
      <c r="A7" s="3008"/>
      <c r="B7" s="3009" t="s">
        <v>3450</v>
      </c>
      <c r="C7" s="3010">
        <f>'[1]数据-取费表'!B2</f>
        <v>43373</v>
      </c>
      <c r="D7" s="3011">
        <v>100</v>
      </c>
      <c r="E7" s="3012">
        <v>43304</v>
      </c>
      <c r="F7" s="3013">
        <f>SUMIF(58:58,YEAR(E7)&amp;"-"&amp;MONTH(E7),59:59)</f>
        <v>100</v>
      </c>
      <c r="G7" s="3014">
        <v>43361</v>
      </c>
      <c r="H7" s="3011">
        <f>SUMIF(58:58,YEAR(G7)&amp;"-"&amp;MONTH(G7),59:59)</f>
        <v>100</v>
      </c>
      <c r="I7" s="3014">
        <v>43361</v>
      </c>
      <c r="J7" s="3011">
        <f>SUMIF(58:58,YEAR(I7)&amp;"-"&amp;MONTH(I7),59:59)</f>
        <v>100</v>
      </c>
      <c r="K7" s="3015"/>
      <c r="L7" s="3016"/>
      <c r="M7" s="3017"/>
      <c r="N7" s="3017"/>
      <c r="O7" s="3017"/>
      <c r="P7" s="3594" t="s">
        <v>3451</v>
      </c>
      <c r="Q7" s="3603"/>
      <c r="R7" s="3018" t="s">
        <v>3452</v>
      </c>
      <c r="S7" s="3019">
        <f t="shared" ref="S7:S15" si="0">F7</f>
        <v>100</v>
      </c>
      <c r="T7" s="3018" t="s">
        <v>3452</v>
      </c>
      <c r="U7" s="3019">
        <f t="shared" ref="U7:U15" si="1">H7</f>
        <v>100</v>
      </c>
      <c r="V7" s="3018" t="s">
        <v>3452</v>
      </c>
      <c r="W7" s="3019">
        <f t="shared" ref="W7:W15" si="2">J7</f>
        <v>100</v>
      </c>
      <c r="X7" s="3020"/>
      <c r="Y7" s="3594" t="s">
        <v>3451</v>
      </c>
      <c r="Z7" s="3595"/>
      <c r="AA7" s="3021">
        <f>D7/F7</f>
        <v>1</v>
      </c>
      <c r="AB7" s="3021">
        <f>D7/H7</f>
        <v>1</v>
      </c>
      <c r="AC7" s="3021">
        <f>D7/J7</f>
        <v>1</v>
      </c>
    </row>
    <row r="8" spans="1:29" s="3022" customFormat="1" ht="15.75" thickBot="1">
      <c r="A8" s="3023"/>
      <c r="B8" s="3024" t="s">
        <v>3453</v>
      </c>
      <c r="C8" s="3025" t="s">
        <v>3454</v>
      </c>
      <c r="D8" s="3011">
        <v>100</v>
      </c>
      <c r="E8" s="3026" t="s">
        <v>3421</v>
      </c>
      <c r="F8" s="3013">
        <f>SUMIF(61:61,E8,62:62)-SUMIF(61:61,C8,62:62)+100</f>
        <v>100</v>
      </c>
      <c r="G8" s="3026" t="s">
        <v>3421</v>
      </c>
      <c r="H8" s="3011">
        <f>SUMIF(61:61,G8,62:62)-SUMIF(61:61,C8,62:62)+100</f>
        <v>100</v>
      </c>
      <c r="I8" s="3026" t="s">
        <v>3421</v>
      </c>
      <c r="J8" s="3011">
        <f>SUMIF(61:61,I8,62:62)-SUMIF(61:61,C8,62:62)+100</f>
        <v>100</v>
      </c>
      <c r="K8" s="3015"/>
      <c r="L8" s="3016"/>
      <c r="M8" s="3017"/>
      <c r="N8" s="3017"/>
      <c r="O8" s="3017"/>
      <c r="P8" s="3594" t="s">
        <v>3455</v>
      </c>
      <c r="Q8" s="3595"/>
      <c r="R8" s="3018" t="s">
        <v>3452</v>
      </c>
      <c r="S8" s="3019">
        <f t="shared" si="0"/>
        <v>100</v>
      </c>
      <c r="T8" s="3018" t="s">
        <v>3452</v>
      </c>
      <c r="U8" s="3019">
        <f t="shared" si="1"/>
        <v>100</v>
      </c>
      <c r="V8" s="3018" t="s">
        <v>3452</v>
      </c>
      <c r="W8" s="3019">
        <f t="shared" si="2"/>
        <v>100</v>
      </c>
      <c r="X8" s="3020"/>
      <c r="Y8" s="3594" t="s">
        <v>3455</v>
      </c>
      <c r="Z8" s="3595"/>
      <c r="AA8" s="3021">
        <f t="shared" ref="AA8:AA46" si="3">D8/F8</f>
        <v>1</v>
      </c>
      <c r="AB8" s="3021">
        <f t="shared" ref="AB8:AB46" si="4">D8/H8</f>
        <v>1</v>
      </c>
      <c r="AC8" s="3021">
        <f t="shared" ref="AC8:AC46" si="5">D8/J8</f>
        <v>1</v>
      </c>
    </row>
    <row r="9" spans="1:29" s="3022" customFormat="1" ht="15">
      <c r="A9" s="3027"/>
      <c r="B9" s="3028" t="s">
        <v>3456</v>
      </c>
      <c r="C9" s="3029" t="s">
        <v>3074</v>
      </c>
      <c r="D9" s="3030">
        <v>100</v>
      </c>
      <c r="E9" s="3031" t="s">
        <v>3057</v>
      </c>
      <c r="F9" s="3032">
        <f>SUMIF(63:63,E9,64:64)-SUMIF(63:63,C9,64:64)+100</f>
        <v>100</v>
      </c>
      <c r="G9" s="3033" t="s">
        <v>3057</v>
      </c>
      <c r="H9" s="3030">
        <f>SUMIF(63:63,G9,64:64)-SUMIF(63:63,C9,64:64)+100</f>
        <v>100</v>
      </c>
      <c r="I9" s="3033" t="s">
        <v>3057</v>
      </c>
      <c r="J9" s="3030">
        <f>SUMIF(63:63,I9,64:64)-SUMIF(63:63,C9,64:64)+100</f>
        <v>100</v>
      </c>
      <c r="K9" s="3015"/>
      <c r="L9" s="3016"/>
      <c r="M9" s="3017"/>
      <c r="N9" s="3017"/>
      <c r="O9" s="3034"/>
      <c r="P9" s="3586" t="s">
        <v>3457</v>
      </c>
      <c r="Q9" s="3035" t="str">
        <f t="shared" ref="Q9:Q15" si="6">B9</f>
        <v>用途</v>
      </c>
      <c r="R9" s="3018" t="s">
        <v>3452</v>
      </c>
      <c r="S9" s="3019">
        <f t="shared" si="0"/>
        <v>100</v>
      </c>
      <c r="T9" s="3018" t="s">
        <v>3452</v>
      </c>
      <c r="U9" s="3019">
        <f t="shared" si="1"/>
        <v>100</v>
      </c>
      <c r="V9" s="3018" t="s">
        <v>3452</v>
      </c>
      <c r="W9" s="3019">
        <f t="shared" si="2"/>
        <v>100</v>
      </c>
      <c r="X9" s="3020"/>
      <c r="Y9" s="3596" t="s">
        <v>3458</v>
      </c>
      <c r="Z9" s="3036" t="str">
        <f t="shared" ref="Z9:Z15" si="7">Q9</f>
        <v>用途</v>
      </c>
      <c r="AA9" s="3021">
        <f t="shared" si="3"/>
        <v>1</v>
      </c>
      <c r="AB9" s="3021">
        <f t="shared" si="4"/>
        <v>1</v>
      </c>
      <c r="AC9" s="3021">
        <f t="shared" si="5"/>
        <v>1</v>
      </c>
    </row>
    <row r="10" spans="1:29" s="3046" customFormat="1" ht="27">
      <c r="A10" s="3037"/>
      <c r="B10" s="3024" t="s">
        <v>3459</v>
      </c>
      <c r="C10" s="3038" t="s">
        <v>3460</v>
      </c>
      <c r="D10" s="3039">
        <v>100</v>
      </c>
      <c r="E10" s="3040" t="s">
        <v>3460</v>
      </c>
      <c r="F10" s="3041">
        <f>SUMIF(65:65,E10,66:66)-SUMIF(65:65,C10,66:66)+100</f>
        <v>100</v>
      </c>
      <c r="G10" s="3038" t="s">
        <v>3460</v>
      </c>
      <c r="H10" s="3039">
        <f>SUMIF(65:65,G10,66:66)-SUMIF(65:65,C10,66:66)+100</f>
        <v>100</v>
      </c>
      <c r="I10" s="3038" t="s">
        <v>3460</v>
      </c>
      <c r="J10" s="3039">
        <f>SUMIF(65:65,I10,66:66)-SUMIF(65:65,C10,66:66)+100</f>
        <v>100</v>
      </c>
      <c r="K10" s="3042">
        <v>1</v>
      </c>
      <c r="L10" s="3043"/>
      <c r="M10" s="3044"/>
      <c r="N10" s="3044"/>
      <c r="O10" s="3045"/>
      <c r="P10" s="3586"/>
      <c r="Q10" s="3035" t="str">
        <f t="shared" si="6"/>
        <v>土地使用年限（年）</v>
      </c>
      <c r="R10" s="3018" t="s">
        <v>3452</v>
      </c>
      <c r="S10" s="3019">
        <f t="shared" si="0"/>
        <v>100</v>
      </c>
      <c r="T10" s="3018" t="s">
        <v>3452</v>
      </c>
      <c r="U10" s="3019">
        <f t="shared" si="1"/>
        <v>100</v>
      </c>
      <c r="V10" s="3018" t="s">
        <v>3452</v>
      </c>
      <c r="W10" s="3019">
        <f t="shared" si="2"/>
        <v>100</v>
      </c>
      <c r="X10" s="3020"/>
      <c r="Y10" s="3596"/>
      <c r="Z10" s="3036" t="str">
        <f t="shared" si="7"/>
        <v>土地使用年限（年）</v>
      </c>
      <c r="AA10" s="3021">
        <f t="shared" si="3"/>
        <v>1</v>
      </c>
      <c r="AB10" s="3021">
        <f t="shared" si="4"/>
        <v>1</v>
      </c>
      <c r="AC10" s="3021">
        <f t="shared" si="5"/>
        <v>1</v>
      </c>
    </row>
    <row r="11" spans="1:29" ht="15">
      <c r="A11" s="3047"/>
      <c r="B11" s="3024" t="s">
        <v>3461</v>
      </c>
      <c r="C11" s="3048">
        <f>'土地比较法-住宅、综合'!C11</f>
        <v>3</v>
      </c>
      <c r="D11" s="3039">
        <v>100</v>
      </c>
      <c r="E11" s="3049">
        <v>2.2000000000000002</v>
      </c>
      <c r="F11" s="3041">
        <f>LOOKUP(E11,68:68,69:69)-LOOKUP(C11,68:68,69:69)+100</f>
        <v>101</v>
      </c>
      <c r="G11" s="3048">
        <v>4.4000000000000004</v>
      </c>
      <c r="H11" s="3039">
        <f>LOOKUP(G11,68:68,69:69)-LOOKUP(C11,68:68,69:69)+100</f>
        <v>99</v>
      </c>
      <c r="I11" s="3048">
        <v>3.8</v>
      </c>
      <c r="J11" s="3039">
        <f>LOOKUP(I11,68:68,69:69)-LOOKUP(C11,68:68,69:69)+100</f>
        <v>100</v>
      </c>
      <c r="K11" s="3042">
        <v>1</v>
      </c>
      <c r="L11" s="3050"/>
      <c r="M11" s="3000"/>
      <c r="N11" s="3000"/>
      <c r="O11" s="3051"/>
      <c r="P11" s="3586"/>
      <c r="Q11" s="3035" t="str">
        <f t="shared" si="6"/>
        <v>容积率</v>
      </c>
      <c r="R11" s="3018" t="s">
        <v>3452</v>
      </c>
      <c r="S11" s="3019">
        <f t="shared" si="0"/>
        <v>101</v>
      </c>
      <c r="T11" s="3018" t="s">
        <v>3452</v>
      </c>
      <c r="U11" s="3019">
        <f t="shared" si="1"/>
        <v>99</v>
      </c>
      <c r="V11" s="3018" t="s">
        <v>3452</v>
      </c>
      <c r="W11" s="3019">
        <f t="shared" si="2"/>
        <v>100</v>
      </c>
      <c r="X11" s="3020"/>
      <c r="Y11" s="3596"/>
      <c r="Z11" s="3036" t="str">
        <f t="shared" si="7"/>
        <v>容积率</v>
      </c>
      <c r="AA11" s="3021">
        <f t="shared" si="3"/>
        <v>0.99009900990099009</v>
      </c>
      <c r="AB11" s="3021">
        <f t="shared" si="4"/>
        <v>1.0101010101010102</v>
      </c>
      <c r="AC11" s="3021">
        <f t="shared" si="5"/>
        <v>1</v>
      </c>
    </row>
    <row r="12" spans="1:29" s="3022" customFormat="1" ht="15">
      <c r="A12" s="3052"/>
      <c r="B12" s="3053">
        <v>111</v>
      </c>
      <c r="C12" s="3054"/>
      <c r="D12" s="3055">
        <v>100</v>
      </c>
      <c r="E12" s="3054"/>
      <c r="F12" s="3041">
        <f>SUMIF(70:70,E12,71:71)-SUMIF(70:70,C12,71:71)+100</f>
        <v>100</v>
      </c>
      <c r="G12" s="3054"/>
      <c r="H12" s="3039">
        <f>SUMIF(70:70,G12,71:71)-SUMIF(70:70,C12,71:71)+100</f>
        <v>100</v>
      </c>
      <c r="I12" s="3054"/>
      <c r="J12" s="3039">
        <f>SUMIF(70:70,I12,71:71)-SUMIF(70:70,C12,71:71)+100</f>
        <v>100</v>
      </c>
      <c r="K12" s="3056"/>
      <c r="L12" s="3016"/>
      <c r="M12" s="3017"/>
      <c r="N12" s="3017"/>
      <c r="O12" s="3034"/>
      <c r="P12" s="3586"/>
      <c r="Q12" s="3035">
        <f t="shared" si="6"/>
        <v>111</v>
      </c>
      <c r="R12" s="3018" t="s">
        <v>3452</v>
      </c>
      <c r="S12" s="3019">
        <f t="shared" si="0"/>
        <v>100</v>
      </c>
      <c r="T12" s="3018" t="s">
        <v>3452</v>
      </c>
      <c r="U12" s="3019">
        <f t="shared" si="1"/>
        <v>100</v>
      </c>
      <c r="V12" s="3018" t="s">
        <v>3452</v>
      </c>
      <c r="W12" s="3019">
        <f t="shared" si="2"/>
        <v>100</v>
      </c>
      <c r="X12" s="3020"/>
      <c r="Y12" s="3596"/>
      <c r="Z12" s="3036">
        <f t="shared" si="7"/>
        <v>111</v>
      </c>
      <c r="AA12" s="3021">
        <f>D12/F12</f>
        <v>1</v>
      </c>
      <c r="AB12" s="3021">
        <f>D12/H12</f>
        <v>1</v>
      </c>
      <c r="AC12" s="3021">
        <f>D12/J12</f>
        <v>1</v>
      </c>
    </row>
    <row r="13" spans="1:29" ht="15">
      <c r="A13" s="3052"/>
      <c r="B13" s="3053">
        <v>111</v>
      </c>
      <c r="C13" s="3057"/>
      <c r="D13" s="3058">
        <v>100</v>
      </c>
      <c r="E13" s="3057"/>
      <c r="F13" s="3041">
        <f>SUMIF(72:72,E13,73:73)-SUMIF(72:72,C13,73:73)+100</f>
        <v>100</v>
      </c>
      <c r="G13" s="3057"/>
      <c r="H13" s="3058">
        <f>SUMIF(72:72,G13,73:73)-SUMIF(72:72,C13,73:73)+100</f>
        <v>100</v>
      </c>
      <c r="I13" s="3057"/>
      <c r="J13" s="3058">
        <f>SUMIF(72:72,I13,73:73)-SUMIF(72:72,C13,73:73)+100</f>
        <v>100</v>
      </c>
      <c r="K13" s="3056"/>
      <c r="L13" s="3059"/>
      <c r="M13" s="3000"/>
      <c r="N13" s="3000"/>
      <c r="O13" s="3051"/>
      <c r="P13" s="3586"/>
      <c r="Q13" s="3035">
        <f t="shared" si="6"/>
        <v>111</v>
      </c>
      <c r="R13" s="3018" t="s">
        <v>3452</v>
      </c>
      <c r="S13" s="3019">
        <f t="shared" si="0"/>
        <v>100</v>
      </c>
      <c r="T13" s="3018" t="s">
        <v>3452</v>
      </c>
      <c r="U13" s="3019">
        <f t="shared" si="1"/>
        <v>100</v>
      </c>
      <c r="V13" s="3018" t="s">
        <v>3452</v>
      </c>
      <c r="W13" s="3019">
        <f t="shared" si="2"/>
        <v>100</v>
      </c>
      <c r="X13" s="3020"/>
      <c r="Y13" s="3596"/>
      <c r="Z13" s="3036">
        <f t="shared" si="7"/>
        <v>111</v>
      </c>
      <c r="AA13" s="3021">
        <f t="shared" si="3"/>
        <v>1</v>
      </c>
      <c r="AB13" s="3021">
        <f t="shared" si="4"/>
        <v>1</v>
      </c>
      <c r="AC13" s="3021">
        <f t="shared" si="5"/>
        <v>1</v>
      </c>
    </row>
    <row r="14" spans="1:29" ht="15.75" thickBot="1">
      <c r="A14" s="3060"/>
      <c r="B14" s="3061">
        <v>111</v>
      </c>
      <c r="C14" s="3062"/>
      <c r="D14" s="3063">
        <v>100</v>
      </c>
      <c r="E14" s="3062"/>
      <c r="F14" s="3064">
        <f>SUMIF(74:74,E14,75:75)-SUMIF(74:74,C14,75:75)+100</f>
        <v>100</v>
      </c>
      <c r="G14" s="3062"/>
      <c r="H14" s="3063">
        <f>SUMIF(74:74,G14,75:75)-SUMIF(74:74,C14,75:75)+100</f>
        <v>100</v>
      </c>
      <c r="I14" s="3062"/>
      <c r="J14" s="3063">
        <f>SUMIF(74:74,I14,75:75)-SUMIF(74:74,C14,75:75)+100</f>
        <v>100</v>
      </c>
      <c r="K14" s="3056"/>
      <c r="L14" s="3059"/>
      <c r="M14" s="3000"/>
      <c r="N14" s="3000"/>
      <c r="O14" s="3051"/>
      <c r="P14" s="3586"/>
      <c r="Q14" s="3035">
        <f t="shared" si="6"/>
        <v>111</v>
      </c>
      <c r="R14" s="3018" t="s">
        <v>3452</v>
      </c>
      <c r="S14" s="3019">
        <f t="shared" si="0"/>
        <v>100</v>
      </c>
      <c r="T14" s="3018" t="s">
        <v>3452</v>
      </c>
      <c r="U14" s="3019">
        <f t="shared" si="1"/>
        <v>100</v>
      </c>
      <c r="V14" s="3018" t="s">
        <v>3452</v>
      </c>
      <c r="W14" s="3019">
        <f t="shared" si="2"/>
        <v>100</v>
      </c>
      <c r="X14" s="3020"/>
      <c r="Y14" s="3596"/>
      <c r="Z14" s="3036">
        <f t="shared" si="7"/>
        <v>111</v>
      </c>
      <c r="AA14" s="3021">
        <f t="shared" si="3"/>
        <v>1</v>
      </c>
      <c r="AB14" s="3021">
        <f t="shared" si="4"/>
        <v>1</v>
      </c>
      <c r="AC14" s="3021">
        <f t="shared" si="5"/>
        <v>1</v>
      </c>
    </row>
    <row r="15" spans="1:29" ht="99.75">
      <c r="A15" s="3065" t="s">
        <v>3462</v>
      </c>
      <c r="B15" s="3066" t="s">
        <v>3463</v>
      </c>
      <c r="C15" s="3067" t="str">
        <f>[1]估价对象房地状况!C3</f>
        <v>估价对象周边居住用地比例较大、居住小区规模和社区发展完善程度好，综合评价居住社区成熟度好。</v>
      </c>
      <c r="D15" s="3068">
        <v>100</v>
      </c>
      <c r="E15" s="3069"/>
      <c r="F15" s="3070">
        <f>SUMIF(76:76,E16,77:77)-SUMIF(76:76,C16,77:77)+100</f>
        <v>97</v>
      </c>
      <c r="G15" s="3071"/>
      <c r="H15" s="3068">
        <f>SUMIF(76:76,G16,77:77)-SUMIF(76:76,C16,77:77)+100</f>
        <v>100</v>
      </c>
      <c r="I15" s="3069"/>
      <c r="J15" s="3068">
        <f>SUMIF(76:76,I16,77:77)-SUMIF(76:76,C16,77:77)+100</f>
        <v>100</v>
      </c>
      <c r="K15" s="3072">
        <v>3</v>
      </c>
      <c r="L15" s="3059"/>
      <c r="M15" s="3000"/>
      <c r="N15" s="3000"/>
      <c r="O15" s="3051"/>
      <c r="P15" s="3597" t="s">
        <v>3464</v>
      </c>
      <c r="Q15" s="3073" t="str">
        <f t="shared" si="6"/>
        <v>居住社区成熟度</v>
      </c>
      <c r="R15" s="3074" t="s">
        <v>3452</v>
      </c>
      <c r="S15" s="3075">
        <f t="shared" si="0"/>
        <v>97</v>
      </c>
      <c r="T15" s="3074" t="s">
        <v>3452</v>
      </c>
      <c r="U15" s="3075">
        <f t="shared" si="1"/>
        <v>100</v>
      </c>
      <c r="V15" s="3074" t="s">
        <v>3452</v>
      </c>
      <c r="W15" s="3075">
        <f t="shared" si="2"/>
        <v>100</v>
      </c>
      <c r="X15" s="3001"/>
      <c r="Y15" s="3597" t="s">
        <v>3464</v>
      </c>
      <c r="Z15" s="3076" t="str">
        <f t="shared" si="7"/>
        <v>居住社区成熟度</v>
      </c>
      <c r="AA15" s="3077">
        <f t="shared" si="3"/>
        <v>1.0309278350515463</v>
      </c>
      <c r="AB15" s="3077">
        <f t="shared" si="4"/>
        <v>1</v>
      </c>
      <c r="AC15" s="3077">
        <f t="shared" si="5"/>
        <v>1</v>
      </c>
    </row>
    <row r="16" spans="1:29" ht="15">
      <c r="A16" s="3078"/>
      <c r="B16" s="3079"/>
      <c r="C16" s="3080" t="s">
        <v>3094</v>
      </c>
      <c r="D16" s="3081"/>
      <c r="E16" s="3080" t="s">
        <v>3101</v>
      </c>
      <c r="F16" s="3082"/>
      <c r="G16" s="3080" t="s">
        <v>3094</v>
      </c>
      <c r="H16" s="3083"/>
      <c r="I16" s="3080" t="s">
        <v>3094</v>
      </c>
      <c r="J16" s="3081"/>
      <c r="K16" s="3084"/>
      <c r="L16" s="3059"/>
      <c r="M16" s="3000"/>
      <c r="N16" s="3000"/>
      <c r="O16" s="3051"/>
      <c r="P16" s="3598"/>
      <c r="Q16" s="3073"/>
      <c r="R16" s="3074"/>
      <c r="S16" s="3075"/>
      <c r="T16" s="3074"/>
      <c r="U16" s="3075"/>
      <c r="V16" s="3074"/>
      <c r="W16" s="3075"/>
      <c r="X16" s="3001"/>
      <c r="Y16" s="3598"/>
      <c r="Z16" s="3076"/>
      <c r="AA16" s="3077">
        <v>1</v>
      </c>
      <c r="AB16" s="3077">
        <v>1</v>
      </c>
      <c r="AC16" s="3077">
        <v>1</v>
      </c>
    </row>
    <row r="17" spans="1:29" ht="85.5">
      <c r="A17" s="3078"/>
      <c r="B17" s="3085" t="s">
        <v>3465</v>
      </c>
      <c r="C17" s="3086" t="str">
        <f>[1]估价对象房地状况!C6</f>
        <v>估价对象周边路网密集、公共交通通达情况好、停车便捷程度较好，综合评价交通便捷度好。</v>
      </c>
      <c r="D17" s="3083">
        <v>100</v>
      </c>
      <c r="E17" s="3087"/>
      <c r="F17" s="3088">
        <f>SUMIF(78:78,E18,79:79)-SUMIF(78:78,C18,79:79)+100</f>
        <v>97</v>
      </c>
      <c r="G17" s="3089"/>
      <c r="H17" s="3090">
        <f>SUMIF(78:78,G18,79:79)-SUMIF(78:78,C18,79:79)+100</f>
        <v>100</v>
      </c>
      <c r="I17" s="3087"/>
      <c r="J17" s="3090">
        <f>SUMIF(78:78,I18,79:79)-SUMIF(78:78,C18,79:79)+100</f>
        <v>100</v>
      </c>
      <c r="K17" s="3072">
        <v>3</v>
      </c>
      <c r="L17" s="3059"/>
      <c r="M17" s="3000"/>
      <c r="N17" s="3000"/>
      <c r="O17" s="3051"/>
      <c r="P17" s="3598"/>
      <c r="Q17" s="3073" t="str">
        <f>B17</f>
        <v>交通便捷度</v>
      </c>
      <c r="R17" s="3074" t="s">
        <v>3452</v>
      </c>
      <c r="S17" s="3075">
        <f>F17</f>
        <v>97</v>
      </c>
      <c r="T17" s="3074" t="s">
        <v>3452</v>
      </c>
      <c r="U17" s="3075">
        <f>H17</f>
        <v>100</v>
      </c>
      <c r="V17" s="3074" t="s">
        <v>3452</v>
      </c>
      <c r="W17" s="3075">
        <f>J17</f>
        <v>100</v>
      </c>
      <c r="X17" s="3001"/>
      <c r="Y17" s="3598"/>
      <c r="Z17" s="3076" t="str">
        <f>Q17</f>
        <v>交通便捷度</v>
      </c>
      <c r="AA17" s="3077">
        <f t="shared" si="3"/>
        <v>1.0309278350515463</v>
      </c>
      <c r="AB17" s="3077">
        <f t="shared" si="4"/>
        <v>1</v>
      </c>
      <c r="AC17" s="3077">
        <f t="shared" si="5"/>
        <v>1</v>
      </c>
    </row>
    <row r="18" spans="1:29" ht="15">
      <c r="A18" s="3078"/>
      <c r="B18" s="3091"/>
      <c r="C18" s="3092" t="s">
        <v>3094</v>
      </c>
      <c r="D18" s="3083"/>
      <c r="E18" s="3080" t="s">
        <v>3101</v>
      </c>
      <c r="F18" s="3088"/>
      <c r="G18" s="3080" t="s">
        <v>3094</v>
      </c>
      <c r="H18" s="3081"/>
      <c r="I18" s="3080" t="s">
        <v>3094</v>
      </c>
      <c r="J18" s="3081"/>
      <c r="K18" s="3084"/>
      <c r="L18" s="3059"/>
      <c r="M18" s="3000"/>
      <c r="N18" s="3000"/>
      <c r="O18" s="3051"/>
      <c r="P18" s="3598"/>
      <c r="Q18" s="3073"/>
      <c r="R18" s="3074"/>
      <c r="S18" s="3075"/>
      <c r="T18" s="3074"/>
      <c r="U18" s="3075"/>
      <c r="V18" s="3074"/>
      <c r="W18" s="3075"/>
      <c r="X18" s="3001"/>
      <c r="Y18" s="3598"/>
      <c r="Z18" s="3076"/>
      <c r="AA18" s="3077">
        <v>1</v>
      </c>
      <c r="AB18" s="3077">
        <v>1</v>
      </c>
      <c r="AC18" s="3077">
        <v>1</v>
      </c>
    </row>
    <row r="19" spans="1:29" ht="42.75">
      <c r="A19" s="3078"/>
      <c r="B19" s="3093" t="s">
        <v>3466</v>
      </c>
      <c r="C19" s="3086" t="str">
        <f>[1]估价对象房地状况!C7</f>
        <v>估价对象所在区域公共配套设施齐备</v>
      </c>
      <c r="D19" s="3090">
        <v>100</v>
      </c>
      <c r="E19" s="3094"/>
      <c r="F19" s="3095">
        <f>SUMIF(80:80,E20,81:81)-SUMIF(80:80,C20,81:81)+100</f>
        <v>100</v>
      </c>
      <c r="G19" s="3096"/>
      <c r="H19" s="3083">
        <f>SUMIF(80:80,G20,81:81)-SUMIF(80:80,C20,81:81)+100</f>
        <v>100</v>
      </c>
      <c r="I19" s="3094"/>
      <c r="J19" s="3083">
        <f>SUMIF(80:80,I20,81:81)-SUMIF(80:80,C20,81:81)+100</f>
        <v>100</v>
      </c>
      <c r="K19" s="3072">
        <v>3</v>
      </c>
      <c r="L19" s="3059"/>
      <c r="M19" s="3000"/>
      <c r="N19" s="3000"/>
      <c r="O19" s="3051"/>
      <c r="P19" s="3598"/>
      <c r="Q19" s="3073" t="str">
        <f>B19</f>
        <v>公共配套设施</v>
      </c>
      <c r="R19" s="3074" t="s">
        <v>3452</v>
      </c>
      <c r="S19" s="3075">
        <f>F19</f>
        <v>100</v>
      </c>
      <c r="T19" s="3074" t="s">
        <v>3452</v>
      </c>
      <c r="U19" s="3075">
        <f>H19</f>
        <v>100</v>
      </c>
      <c r="V19" s="3074" t="s">
        <v>3452</v>
      </c>
      <c r="W19" s="3075">
        <f>J19</f>
        <v>100</v>
      </c>
      <c r="X19" s="3001"/>
      <c r="Y19" s="3598"/>
      <c r="Z19" s="3076" t="str">
        <f>Q19</f>
        <v>公共配套设施</v>
      </c>
      <c r="AA19" s="3077">
        <f t="shared" si="3"/>
        <v>1</v>
      </c>
      <c r="AB19" s="3077">
        <f t="shared" si="4"/>
        <v>1</v>
      </c>
      <c r="AC19" s="3077">
        <f t="shared" si="5"/>
        <v>1</v>
      </c>
    </row>
    <row r="20" spans="1:29" ht="15">
      <c r="A20" s="3078"/>
      <c r="B20" s="3091"/>
      <c r="C20" s="3080" t="s">
        <v>3101</v>
      </c>
      <c r="D20" s="3081"/>
      <c r="E20" s="3080" t="s">
        <v>3101</v>
      </c>
      <c r="F20" s="3082"/>
      <c r="G20" s="3080" t="s">
        <v>3101</v>
      </c>
      <c r="H20" s="3081"/>
      <c r="I20" s="3080" t="s">
        <v>3101</v>
      </c>
      <c r="J20" s="3081"/>
      <c r="K20" s="3084"/>
      <c r="L20" s="3059"/>
      <c r="M20" s="3000"/>
      <c r="N20" s="3000"/>
      <c r="O20" s="3051"/>
      <c r="P20" s="3598"/>
      <c r="Q20" s="3073"/>
      <c r="R20" s="3074"/>
      <c r="S20" s="3075"/>
      <c r="T20" s="3074"/>
      <c r="U20" s="3075"/>
      <c r="V20" s="3074"/>
      <c r="W20" s="3075"/>
      <c r="X20" s="3001"/>
      <c r="Y20" s="3598"/>
      <c r="Z20" s="3076"/>
      <c r="AA20" s="3077">
        <v>1</v>
      </c>
      <c r="AB20" s="3077">
        <v>1</v>
      </c>
      <c r="AC20" s="3077">
        <v>1</v>
      </c>
    </row>
    <row r="21" spans="1:29" ht="15">
      <c r="A21" s="3078"/>
      <c r="B21" s="3097" t="s">
        <v>3467</v>
      </c>
      <c r="C21" s="3086" t="str">
        <f>[1]估价对象房地状况!C8</f>
        <v>七通</v>
      </c>
      <c r="D21" s="3090">
        <v>100</v>
      </c>
      <c r="E21" s="3096"/>
      <c r="F21" s="3095">
        <f>SUMIF(82:82,E22,83:83)-SUMIF(82:82,C22,83:83)+100</f>
        <v>100</v>
      </c>
      <c r="G21" s="3096"/>
      <c r="H21" s="3090">
        <f>SUMIF(82:82,G22,83:83)-SUMIF(82:82,C22,83:83)+100</f>
        <v>100</v>
      </c>
      <c r="I21" s="3094"/>
      <c r="J21" s="3090">
        <f>SUMIF(82:82,I22,83:83)-SUMIF(82:82,C22,83:83)+100</f>
        <v>100</v>
      </c>
      <c r="K21" s="3072">
        <v>1</v>
      </c>
      <c r="L21" s="3059"/>
      <c r="M21" s="3000"/>
      <c r="N21" s="3000"/>
      <c r="O21" s="3051"/>
      <c r="P21" s="3598"/>
      <c r="Q21" s="3073" t="str">
        <f>B21</f>
        <v>基础设施水平</v>
      </c>
      <c r="R21" s="3074" t="s">
        <v>3452</v>
      </c>
      <c r="S21" s="3075">
        <f>F21</f>
        <v>100</v>
      </c>
      <c r="T21" s="3074" t="s">
        <v>3452</v>
      </c>
      <c r="U21" s="3075">
        <f>H21</f>
        <v>100</v>
      </c>
      <c r="V21" s="3074" t="s">
        <v>3452</v>
      </c>
      <c r="W21" s="3075">
        <f>J21</f>
        <v>100</v>
      </c>
      <c r="X21" s="3001"/>
      <c r="Y21" s="3598"/>
      <c r="Z21" s="3076" t="str">
        <f>Q21</f>
        <v>基础设施水平</v>
      </c>
      <c r="AA21" s="3077">
        <f t="shared" ref="AA21" si="8">D21/F21</f>
        <v>1</v>
      </c>
      <c r="AB21" s="3077">
        <f t="shared" ref="AB21" si="9">D21/H21</f>
        <v>1</v>
      </c>
      <c r="AC21" s="3077">
        <f t="shared" ref="AC21" si="10">D21/J21</f>
        <v>1</v>
      </c>
    </row>
    <row r="22" spans="1:29" ht="15">
      <c r="A22" s="3078"/>
      <c r="B22" s="3098"/>
      <c r="C22" s="3092" t="s">
        <v>3095</v>
      </c>
      <c r="D22" s="3081"/>
      <c r="E22" s="3092" t="s">
        <v>3095</v>
      </c>
      <c r="F22" s="3082"/>
      <c r="G22" s="3092" t="s">
        <v>3095</v>
      </c>
      <c r="H22" s="3081"/>
      <c r="I22" s="3092" t="s">
        <v>3095</v>
      </c>
      <c r="J22" s="3081"/>
      <c r="K22" s="3099"/>
      <c r="L22" s="3059"/>
      <c r="M22" s="3000"/>
      <c r="N22" s="3000"/>
      <c r="O22" s="3051"/>
      <c r="P22" s="3598"/>
      <c r="Q22" s="3073"/>
      <c r="R22" s="3074"/>
      <c r="S22" s="3075"/>
      <c r="T22" s="3074"/>
      <c r="U22" s="3075"/>
      <c r="V22" s="3074"/>
      <c r="W22" s="3075"/>
      <c r="X22" s="3001"/>
      <c r="Y22" s="3598"/>
      <c r="Z22" s="3076"/>
      <c r="AA22" s="3077">
        <v>1</v>
      </c>
      <c r="AB22" s="3077">
        <v>1</v>
      </c>
      <c r="AC22" s="3077">
        <v>1</v>
      </c>
    </row>
    <row r="23" spans="1:29" ht="99.75">
      <c r="A23" s="3078"/>
      <c r="B23" s="3085" t="s">
        <v>3468</v>
      </c>
      <c r="C23" s="3086" t="str">
        <f>[1]估价对象房地状况!C9</f>
        <v>区域自然环境：周边有石榴庄公园；人文环境：周边有北京广播电视大学医药分校；综合评价环境状况一般。</v>
      </c>
      <c r="D23" s="3083">
        <v>100</v>
      </c>
      <c r="E23" s="3087"/>
      <c r="F23" s="3088">
        <f>SUMIF(84:84,E24,85:85)-SUMIF(84:84,C24,85:85)+100</f>
        <v>100</v>
      </c>
      <c r="G23" s="3089"/>
      <c r="H23" s="3083">
        <f>SUMIF(84:84,G24,85:85)-SUMIF(84:84,C24,85:85)+100</f>
        <v>100</v>
      </c>
      <c r="I23" s="3087"/>
      <c r="J23" s="3083">
        <f>SUMIF(84:84,I24,85:85)-SUMIF(84:84,C24,85:85)+100</f>
        <v>100</v>
      </c>
      <c r="K23" s="3072">
        <v>2</v>
      </c>
      <c r="L23" s="3059"/>
      <c r="M23" s="3000"/>
      <c r="N23" s="3000"/>
      <c r="O23" s="3051"/>
      <c r="P23" s="3598"/>
      <c r="Q23" s="3073" t="str">
        <f>B23</f>
        <v>自然及人文环境</v>
      </c>
      <c r="R23" s="3074" t="s">
        <v>3452</v>
      </c>
      <c r="S23" s="3075">
        <f>F23</f>
        <v>100</v>
      </c>
      <c r="T23" s="3074" t="s">
        <v>3452</v>
      </c>
      <c r="U23" s="3075">
        <f>H23</f>
        <v>100</v>
      </c>
      <c r="V23" s="3074" t="s">
        <v>3452</v>
      </c>
      <c r="W23" s="3075">
        <f>J23</f>
        <v>100</v>
      </c>
      <c r="X23" s="3001"/>
      <c r="Y23" s="3598"/>
      <c r="Z23" s="3076" t="str">
        <f>Q23</f>
        <v>自然及人文环境</v>
      </c>
      <c r="AA23" s="3077">
        <f t="shared" si="3"/>
        <v>1</v>
      </c>
      <c r="AB23" s="3077">
        <f t="shared" si="4"/>
        <v>1</v>
      </c>
      <c r="AC23" s="3077">
        <f t="shared" si="5"/>
        <v>1</v>
      </c>
    </row>
    <row r="24" spans="1:29" ht="15">
      <c r="A24" s="3078"/>
      <c r="B24" s="3091"/>
      <c r="C24" s="3080" t="s">
        <v>3102</v>
      </c>
      <c r="D24" s="3081"/>
      <c r="E24" s="3080" t="s">
        <v>3102</v>
      </c>
      <c r="F24" s="3082"/>
      <c r="G24" s="3080" t="s">
        <v>3102</v>
      </c>
      <c r="H24" s="3081"/>
      <c r="I24" s="3080" t="s">
        <v>3102</v>
      </c>
      <c r="J24" s="3081"/>
      <c r="K24" s="3084"/>
      <c r="L24" s="3059"/>
      <c r="M24" s="3000"/>
      <c r="N24" s="3000"/>
      <c r="O24" s="3051"/>
      <c r="P24" s="3598"/>
      <c r="Q24" s="3073"/>
      <c r="R24" s="3074"/>
      <c r="S24" s="3075"/>
      <c r="T24" s="3074"/>
      <c r="U24" s="3075"/>
      <c r="V24" s="3074"/>
      <c r="W24" s="3075"/>
      <c r="X24" s="3001"/>
      <c r="Y24" s="3598"/>
      <c r="Z24" s="3076"/>
      <c r="AA24" s="3077">
        <v>1</v>
      </c>
      <c r="AB24" s="3077">
        <v>1</v>
      </c>
      <c r="AC24" s="3077">
        <v>1</v>
      </c>
    </row>
    <row r="25" spans="1:29" ht="15">
      <c r="A25" s="3078"/>
      <c r="B25" s="3100" t="s">
        <v>3469</v>
      </c>
      <c r="C25" s="3101"/>
      <c r="D25" s="3058">
        <v>100</v>
      </c>
      <c r="E25" s="3102"/>
      <c r="F25" s="3103">
        <f>SUMIF(86:86,E25,87:87)-SUMIF(86:86,C25,87:87)+100</f>
        <v>100</v>
      </c>
      <c r="G25" s="3104"/>
      <c r="H25" s="3058">
        <f>SUMIF(86:86,G25,87:87)-SUMIF(86:86,C25,87:87)+100</f>
        <v>100</v>
      </c>
      <c r="I25" s="3102"/>
      <c r="J25" s="3058">
        <f>SUMIF(86:86,I25,87:87)-SUMIF(86:86,C25,87:87)+100</f>
        <v>100</v>
      </c>
      <c r="K25" s="3042">
        <v>1</v>
      </c>
      <c r="L25" s="3059"/>
      <c r="M25" s="3000"/>
      <c r="N25" s="3000"/>
      <c r="O25" s="3051"/>
      <c r="P25" s="3598"/>
      <c r="Q25" s="3073" t="str">
        <f t="shared" ref="Q25:Q46" si="11">B25</f>
        <v>楼层-1</v>
      </c>
      <c r="R25" s="3074" t="s">
        <v>3452</v>
      </c>
      <c r="S25" s="3075">
        <f>F25</f>
        <v>100</v>
      </c>
      <c r="T25" s="3074" t="s">
        <v>3452</v>
      </c>
      <c r="U25" s="3075">
        <f>H25</f>
        <v>100</v>
      </c>
      <c r="V25" s="3074" t="s">
        <v>3452</v>
      </c>
      <c r="W25" s="3075">
        <f>J25</f>
        <v>100</v>
      </c>
      <c r="X25" s="3001"/>
      <c r="Y25" s="3598"/>
      <c r="Z25" s="3076" t="str">
        <f>Q25</f>
        <v>楼层-1</v>
      </c>
      <c r="AA25" s="3077">
        <f t="shared" si="3"/>
        <v>1</v>
      </c>
      <c r="AB25" s="3077">
        <f t="shared" si="4"/>
        <v>1</v>
      </c>
      <c r="AC25" s="3077">
        <f t="shared" si="5"/>
        <v>1</v>
      </c>
    </row>
    <row r="26" spans="1:29" ht="15">
      <c r="A26" s="3078"/>
      <c r="B26" s="3105" t="s">
        <v>3470</v>
      </c>
      <c r="C26" s="3101" t="s">
        <v>3471</v>
      </c>
      <c r="D26" s="3058">
        <v>100</v>
      </c>
      <c r="E26" s="3101" t="s">
        <v>3471</v>
      </c>
      <c r="F26" s="3103">
        <f>SUMIF(88:88,E26,89:89)-SUMIF(88:88,C26,89:89)+100</f>
        <v>100</v>
      </c>
      <c r="G26" s="3101" t="s">
        <v>3471</v>
      </c>
      <c r="H26" s="3058">
        <f>SUMIF(88:88,G26,89:89)-SUMIF(88:88,C26,89:89)+100</f>
        <v>100</v>
      </c>
      <c r="I26" s="3101" t="s">
        <v>3471</v>
      </c>
      <c r="J26" s="3058">
        <f>SUMIF(88:88,I26,89:89)-SUMIF(88:88,C26,89:89)+100</f>
        <v>100</v>
      </c>
      <c r="K26" s="3042">
        <v>1</v>
      </c>
      <c r="L26" s="3059"/>
      <c r="M26" s="3000"/>
      <c r="N26" s="3000"/>
      <c r="O26" s="3051"/>
      <c r="P26" s="3598"/>
      <c r="Q26" s="3073" t="str">
        <f t="shared" si="11"/>
        <v>朝向</v>
      </c>
      <c r="R26" s="3074" t="s">
        <v>3452</v>
      </c>
      <c r="S26" s="3075">
        <f>F26</f>
        <v>100</v>
      </c>
      <c r="T26" s="3074" t="s">
        <v>3452</v>
      </c>
      <c r="U26" s="3075">
        <f>H26</f>
        <v>100</v>
      </c>
      <c r="V26" s="3074" t="s">
        <v>3452</v>
      </c>
      <c r="W26" s="3075">
        <f>J26</f>
        <v>100</v>
      </c>
      <c r="X26" s="3001"/>
      <c r="Y26" s="3598"/>
      <c r="Z26" s="3076" t="str">
        <f>Q26</f>
        <v>朝向</v>
      </c>
      <c r="AA26" s="3077">
        <f t="shared" si="3"/>
        <v>1</v>
      </c>
      <c r="AB26" s="3077">
        <f t="shared" si="4"/>
        <v>1</v>
      </c>
      <c r="AC26" s="3077">
        <f t="shared" si="5"/>
        <v>1</v>
      </c>
    </row>
    <row r="27" spans="1:29" s="3022" customFormat="1" ht="15">
      <c r="A27" s="3106"/>
      <c r="B27" s="3107" t="s">
        <v>3472</v>
      </c>
      <c r="C27" s="3054"/>
      <c r="D27" s="3108">
        <v>100</v>
      </c>
      <c r="E27" s="3109"/>
      <c r="F27" s="3110">
        <f>SUMIF(90:90,E27,91:91)-SUMIF(90:90,C27,91:91)+100</f>
        <v>100</v>
      </c>
      <c r="G27" s="3111"/>
      <c r="H27" s="3108">
        <f>SUMIF(90:90,G27,91:91)-SUMIF(90:90,C27,91:91)+100</f>
        <v>100</v>
      </c>
      <c r="I27" s="3109"/>
      <c r="J27" s="3108">
        <f>SUMIF(90:90,I27,91:91)-SUMIF(90:90,C27,91:91)+100</f>
        <v>100</v>
      </c>
      <c r="K27" s="3056"/>
      <c r="L27" s="3016"/>
      <c r="M27" s="3017"/>
      <c r="N27" s="3017"/>
      <c r="O27" s="3034"/>
      <c r="P27" s="3598"/>
      <c r="Q27" s="3035" t="str">
        <f t="shared" si="11"/>
        <v>道路级别</v>
      </c>
      <c r="R27" s="3018" t="s">
        <v>3452</v>
      </c>
      <c r="S27" s="3019">
        <f>F27</f>
        <v>100</v>
      </c>
      <c r="T27" s="3018" t="s">
        <v>3452</v>
      </c>
      <c r="U27" s="3019">
        <f>H27</f>
        <v>100</v>
      </c>
      <c r="V27" s="3018" t="s">
        <v>3452</v>
      </c>
      <c r="W27" s="3019">
        <f>J27</f>
        <v>100</v>
      </c>
      <c r="X27" s="3020"/>
      <c r="Y27" s="3598"/>
      <c r="Z27" s="3036" t="str">
        <f>Q27</f>
        <v>道路级别</v>
      </c>
      <c r="AA27" s="3077">
        <f>D27/F27</f>
        <v>1</v>
      </c>
      <c r="AB27" s="3077">
        <f>D27/H27</f>
        <v>1</v>
      </c>
      <c r="AC27" s="3077">
        <f>D27/J27</f>
        <v>1</v>
      </c>
    </row>
    <row r="28" spans="1:29" ht="15">
      <c r="A28" s="3078"/>
      <c r="B28" s="3112">
        <v>111</v>
      </c>
      <c r="C28" s="3057"/>
      <c r="D28" s="3058">
        <v>100</v>
      </c>
      <c r="E28" s="3057"/>
      <c r="F28" s="3103">
        <f>SUMIF(92:92,E28,93:93)-SUMIF(92:92,C28,93:93)+100</f>
        <v>100</v>
      </c>
      <c r="G28" s="3057"/>
      <c r="H28" s="3058">
        <f>SUMIF(92:92,G28,93:93)-SUMIF(92:92,C28,93:93)+100</f>
        <v>100</v>
      </c>
      <c r="I28" s="3057"/>
      <c r="J28" s="3058">
        <f>SUMIF(92:92,I28,93:93)-SUMIF(92:92,C28,93:93)+100</f>
        <v>100</v>
      </c>
      <c r="K28" s="3056"/>
      <c r="L28" s="3059"/>
      <c r="M28" s="3000"/>
      <c r="N28" s="3000"/>
      <c r="O28" s="3051"/>
      <c r="P28" s="3598"/>
      <c r="Q28" s="3073">
        <f t="shared" si="11"/>
        <v>111</v>
      </c>
      <c r="R28" s="3074" t="s">
        <v>3452</v>
      </c>
      <c r="S28" s="3075">
        <f t="shared" ref="S28:S46" si="12">F28</f>
        <v>100</v>
      </c>
      <c r="T28" s="3074" t="s">
        <v>3452</v>
      </c>
      <c r="U28" s="3075">
        <f t="shared" ref="U28:U46" si="13">H28</f>
        <v>100</v>
      </c>
      <c r="V28" s="3074" t="s">
        <v>3452</v>
      </c>
      <c r="W28" s="3075">
        <f t="shared" ref="W28:W46" si="14">J28</f>
        <v>100</v>
      </c>
      <c r="X28" s="3001"/>
      <c r="Y28" s="3598"/>
      <c r="Z28" s="3076">
        <f t="shared" ref="Z28:Z46" si="15">Q28</f>
        <v>111</v>
      </c>
      <c r="AA28" s="3077">
        <f t="shared" si="3"/>
        <v>1</v>
      </c>
      <c r="AB28" s="3077">
        <f t="shared" si="4"/>
        <v>1</v>
      </c>
      <c r="AC28" s="3077">
        <f t="shared" si="5"/>
        <v>1</v>
      </c>
    </row>
    <row r="29" spans="1:29" ht="15">
      <c r="A29" s="3078"/>
      <c r="B29" s="3112">
        <v>111</v>
      </c>
      <c r="C29" s="3057"/>
      <c r="D29" s="3058">
        <v>100</v>
      </c>
      <c r="E29" s="3057"/>
      <c r="F29" s="3103">
        <f>SUMIF(94:94,E29,95:95)-SUMIF(94:94,C29,95:95)+100</f>
        <v>100</v>
      </c>
      <c r="G29" s="3057"/>
      <c r="H29" s="3058">
        <f>SUMIF(94:94,G29,95:95)-SUMIF(94:94,C29,95:95)+100</f>
        <v>100</v>
      </c>
      <c r="I29" s="3057"/>
      <c r="J29" s="3058">
        <f>SUMIF(94:94,I29,95:95)-SUMIF(94:94,C29,95:95)+100</f>
        <v>100</v>
      </c>
      <c r="K29" s="3056"/>
      <c r="L29" s="3059"/>
      <c r="M29" s="3000"/>
      <c r="N29" s="3000"/>
      <c r="O29" s="3051"/>
      <c r="P29" s="3598"/>
      <c r="Q29" s="3073">
        <f t="shared" si="11"/>
        <v>111</v>
      </c>
      <c r="R29" s="3074" t="s">
        <v>3473</v>
      </c>
      <c r="S29" s="3075">
        <f t="shared" si="12"/>
        <v>100</v>
      </c>
      <c r="T29" s="3074" t="s">
        <v>3473</v>
      </c>
      <c r="U29" s="3075">
        <f t="shared" si="13"/>
        <v>100</v>
      </c>
      <c r="V29" s="3074" t="s">
        <v>3473</v>
      </c>
      <c r="W29" s="3075">
        <f t="shared" si="14"/>
        <v>100</v>
      </c>
      <c r="X29" s="3001"/>
      <c r="Y29" s="3598"/>
      <c r="Z29" s="3076">
        <f t="shared" si="15"/>
        <v>111</v>
      </c>
      <c r="AA29" s="3077">
        <f t="shared" si="3"/>
        <v>1</v>
      </c>
      <c r="AB29" s="3077">
        <f t="shared" si="4"/>
        <v>1</v>
      </c>
      <c r="AC29" s="3077">
        <f t="shared" si="5"/>
        <v>1</v>
      </c>
    </row>
    <row r="30" spans="1:29" ht="15">
      <c r="A30" s="3078"/>
      <c r="B30" s="3112">
        <v>111</v>
      </c>
      <c r="C30" s="3057"/>
      <c r="D30" s="3058">
        <v>100</v>
      </c>
      <c r="E30" s="3057"/>
      <c r="F30" s="3103">
        <f>SUMIF(96:96,E30,97:97)-SUMIF(96:96,C30,97:97)+100</f>
        <v>100</v>
      </c>
      <c r="G30" s="3057"/>
      <c r="H30" s="3058">
        <f>SUMIF(96:96,G30,97:97)-SUMIF(96:96,C30,97:97)+100</f>
        <v>100</v>
      </c>
      <c r="I30" s="3057"/>
      <c r="J30" s="3058">
        <f>SUMIF(96:96,I30,97:97)-SUMIF(96:96,C30,97:97)+100</f>
        <v>100</v>
      </c>
      <c r="K30" s="3056"/>
      <c r="L30" s="3059"/>
      <c r="M30" s="3000"/>
      <c r="N30" s="3000"/>
      <c r="O30" s="3051"/>
      <c r="P30" s="3598"/>
      <c r="Q30" s="3073">
        <f t="shared" si="11"/>
        <v>111</v>
      </c>
      <c r="R30" s="3074" t="s">
        <v>3473</v>
      </c>
      <c r="S30" s="3075">
        <f t="shared" si="12"/>
        <v>100</v>
      </c>
      <c r="T30" s="3074" t="s">
        <v>3473</v>
      </c>
      <c r="U30" s="3075">
        <f t="shared" si="13"/>
        <v>100</v>
      </c>
      <c r="V30" s="3074" t="s">
        <v>3473</v>
      </c>
      <c r="W30" s="3075">
        <f t="shared" si="14"/>
        <v>100</v>
      </c>
      <c r="X30" s="3001"/>
      <c r="Y30" s="3598"/>
      <c r="Z30" s="3076">
        <f t="shared" si="15"/>
        <v>111</v>
      </c>
      <c r="AA30" s="3077">
        <f t="shared" si="3"/>
        <v>1</v>
      </c>
      <c r="AB30" s="3077">
        <f t="shared" si="4"/>
        <v>1</v>
      </c>
      <c r="AC30" s="3077">
        <f t="shared" si="5"/>
        <v>1</v>
      </c>
    </row>
    <row r="31" spans="1:29" ht="15.75" thickBot="1">
      <c r="A31" s="3113"/>
      <c r="B31" s="3112">
        <v>111</v>
      </c>
      <c r="C31" s="3062"/>
      <c r="D31" s="3063">
        <v>100</v>
      </c>
      <c r="E31" s="3062"/>
      <c r="F31" s="3064">
        <f>SUMIF(98:98,E31,99:99)-SUMIF(98:98,C31,99:99)+100</f>
        <v>100</v>
      </c>
      <c r="G31" s="3062"/>
      <c r="H31" s="3063">
        <f>SUMIF(98:98,G31,99:99)-SUMIF(98:98,C31,99:99)+100</f>
        <v>100</v>
      </c>
      <c r="I31" s="3062"/>
      <c r="J31" s="3063">
        <f>SUMIF(98:98,I31,99:99)-SUMIF(98:98,C31,99:99)+100</f>
        <v>100</v>
      </c>
      <c r="K31" s="3056"/>
      <c r="L31" s="3059"/>
      <c r="M31" s="3000"/>
      <c r="N31" s="3000"/>
      <c r="O31" s="3051"/>
      <c r="P31" s="3598"/>
      <c r="Q31" s="3073">
        <f t="shared" si="11"/>
        <v>111</v>
      </c>
      <c r="R31" s="3074" t="s">
        <v>3473</v>
      </c>
      <c r="S31" s="3075">
        <f t="shared" si="12"/>
        <v>100</v>
      </c>
      <c r="T31" s="3074" t="s">
        <v>3473</v>
      </c>
      <c r="U31" s="3075">
        <f t="shared" si="13"/>
        <v>100</v>
      </c>
      <c r="V31" s="3074" t="s">
        <v>3473</v>
      </c>
      <c r="W31" s="3075">
        <f t="shared" si="14"/>
        <v>100</v>
      </c>
      <c r="X31" s="3001"/>
      <c r="Y31" s="3598"/>
      <c r="Z31" s="3076">
        <f t="shared" si="15"/>
        <v>111</v>
      </c>
      <c r="AA31" s="3077">
        <f t="shared" si="3"/>
        <v>1</v>
      </c>
      <c r="AB31" s="3077">
        <f t="shared" si="4"/>
        <v>1</v>
      </c>
      <c r="AC31" s="3077">
        <f t="shared" si="5"/>
        <v>1</v>
      </c>
    </row>
    <row r="32" spans="1:29" ht="15">
      <c r="A32" s="3114" t="s">
        <v>3474</v>
      </c>
      <c r="B32" s="3115" t="s">
        <v>3475</v>
      </c>
      <c r="C32" s="3116" t="s">
        <v>3476</v>
      </c>
      <c r="D32" s="3117">
        <v>100</v>
      </c>
      <c r="E32" s="3116" t="s">
        <v>3476</v>
      </c>
      <c r="F32" s="3103">
        <f>SUMIF(100:100,E32,101:101)-SUMIF(100:100,C32,101:101)+100</f>
        <v>100</v>
      </c>
      <c r="G32" s="3116" t="s">
        <v>3477</v>
      </c>
      <c r="H32" s="3117">
        <f>SUMIF(100:100,G32,101:101)-SUMIF(100:100,C32,101:101)+100</f>
        <v>85</v>
      </c>
      <c r="I32" s="3116" t="s">
        <v>3477</v>
      </c>
      <c r="J32" s="3058">
        <f>SUMIF(100:100,I32,101:101)-SUMIF(100:100,C32,101:101)+100</f>
        <v>85</v>
      </c>
      <c r="K32" s="3042">
        <v>15</v>
      </c>
      <c r="L32" s="3059"/>
      <c r="M32" s="3000"/>
      <c r="N32" s="3000"/>
      <c r="O32" s="3051"/>
      <c r="P32" s="3591" t="s">
        <v>3478</v>
      </c>
      <c r="Q32" s="3073" t="str">
        <f t="shared" si="11"/>
        <v>建筑类型</v>
      </c>
      <c r="R32" s="3074" t="s">
        <v>3473</v>
      </c>
      <c r="S32" s="3075">
        <f t="shared" si="12"/>
        <v>100</v>
      </c>
      <c r="T32" s="3074" t="s">
        <v>3473</v>
      </c>
      <c r="U32" s="3075">
        <f t="shared" si="13"/>
        <v>85</v>
      </c>
      <c r="V32" s="3074" t="s">
        <v>3473</v>
      </c>
      <c r="W32" s="3075">
        <f t="shared" si="14"/>
        <v>85</v>
      </c>
      <c r="X32" s="3001"/>
      <c r="Y32" s="3592" t="s">
        <v>3478</v>
      </c>
      <c r="Z32" s="3076" t="str">
        <f t="shared" si="15"/>
        <v>建筑类型</v>
      </c>
      <c r="AA32" s="3077">
        <f t="shared" si="3"/>
        <v>1</v>
      </c>
      <c r="AB32" s="3077">
        <f t="shared" si="4"/>
        <v>1.1764705882352942</v>
      </c>
      <c r="AC32" s="3077">
        <f t="shared" si="5"/>
        <v>1.1764705882352942</v>
      </c>
    </row>
    <row r="33" spans="1:29" s="3127" customFormat="1" ht="15">
      <c r="A33" s="3118"/>
      <c r="B33" s="3105" t="s">
        <v>3479</v>
      </c>
      <c r="C33" s="3119">
        <f>'[1]数据-基础表'!G5</f>
        <v>100420.12</v>
      </c>
      <c r="D33" s="3039">
        <v>100</v>
      </c>
      <c r="E33" s="3119">
        <v>239400</v>
      </c>
      <c r="F33" s="3041">
        <f>LOOKUP(E33,103:103,104:104)-LOOKUP(C33,103:103,104:104)+100</f>
        <v>101</v>
      </c>
      <c r="G33" s="3119">
        <v>38000</v>
      </c>
      <c r="H33" s="3039">
        <f>LOOKUP(G33,103:103,104:104)-LOOKUP(C33,103:103,104:104)+100</f>
        <v>99</v>
      </c>
      <c r="I33" s="3119">
        <v>234739</v>
      </c>
      <c r="J33" s="3039">
        <f>LOOKUP(I33,103:103,104:104)-LOOKUP(C33,103:103,104:104)+100</f>
        <v>101</v>
      </c>
      <c r="K33" s="3056"/>
      <c r="L33" s="3050"/>
      <c r="M33" s="3120"/>
      <c r="N33" s="3120"/>
      <c r="O33" s="3121"/>
      <c r="P33" s="3592"/>
      <c r="Q33" s="3122" t="str">
        <f t="shared" si="11"/>
        <v>项目建筑规模</v>
      </c>
      <c r="R33" s="3123" t="s">
        <v>3473</v>
      </c>
      <c r="S33" s="3124">
        <f t="shared" si="12"/>
        <v>101</v>
      </c>
      <c r="T33" s="3123" t="s">
        <v>3473</v>
      </c>
      <c r="U33" s="3124">
        <f t="shared" si="13"/>
        <v>99</v>
      </c>
      <c r="V33" s="3123" t="s">
        <v>3473</v>
      </c>
      <c r="W33" s="3124">
        <f t="shared" si="14"/>
        <v>101</v>
      </c>
      <c r="X33" s="3125"/>
      <c r="Y33" s="3592"/>
      <c r="Z33" s="3126" t="str">
        <f t="shared" si="15"/>
        <v>项目建筑规模</v>
      </c>
      <c r="AA33" s="3077">
        <f t="shared" si="3"/>
        <v>0.99009900990099009</v>
      </c>
      <c r="AB33" s="3077">
        <f t="shared" si="4"/>
        <v>1.0101010101010102</v>
      </c>
      <c r="AC33" s="3077">
        <f t="shared" si="5"/>
        <v>0.99009900990099009</v>
      </c>
    </row>
    <row r="34" spans="1:29" ht="15">
      <c r="A34" s="3128"/>
      <c r="B34" s="3105" t="s">
        <v>3480</v>
      </c>
      <c r="C34" s="3129" t="s">
        <v>3481</v>
      </c>
      <c r="D34" s="3058">
        <v>100</v>
      </c>
      <c r="E34" s="3129" t="s">
        <v>3481</v>
      </c>
      <c r="F34" s="3103">
        <f>SUMIF(105:105,E34,106:106)-SUMIF(105:105,C34,106:106)+100</f>
        <v>100</v>
      </c>
      <c r="G34" s="3129" t="s">
        <v>3481</v>
      </c>
      <c r="H34" s="3058">
        <f>SUMIF(105:105,G34,106:106)-SUMIF(105:105,C34,106:106)+100</f>
        <v>100</v>
      </c>
      <c r="I34" s="3129" t="s">
        <v>3481</v>
      </c>
      <c r="J34" s="3058">
        <f>SUMIF(105:105,I34,106:106)-SUMIF(105:105,C34,106:106)+100</f>
        <v>100</v>
      </c>
      <c r="K34" s="3042">
        <v>1</v>
      </c>
      <c r="L34" s="3059"/>
      <c r="M34" s="3000"/>
      <c r="N34" s="3000"/>
      <c r="O34" s="3051"/>
      <c r="P34" s="3592"/>
      <c r="Q34" s="3073" t="str">
        <f t="shared" si="11"/>
        <v>建筑结构</v>
      </c>
      <c r="R34" s="3074" t="s">
        <v>3482</v>
      </c>
      <c r="S34" s="3075">
        <f t="shared" si="12"/>
        <v>100</v>
      </c>
      <c r="T34" s="3074" t="s">
        <v>3482</v>
      </c>
      <c r="U34" s="3075">
        <f t="shared" si="13"/>
        <v>100</v>
      </c>
      <c r="V34" s="3074" t="s">
        <v>3482</v>
      </c>
      <c r="W34" s="3075">
        <f t="shared" si="14"/>
        <v>100</v>
      </c>
      <c r="X34" s="3001"/>
      <c r="Y34" s="3592"/>
      <c r="Z34" s="3076" t="str">
        <f t="shared" si="15"/>
        <v>建筑结构</v>
      </c>
      <c r="AA34" s="3077">
        <f t="shared" si="3"/>
        <v>1</v>
      </c>
      <c r="AB34" s="3077">
        <f t="shared" si="4"/>
        <v>1</v>
      </c>
      <c r="AC34" s="3077">
        <f t="shared" si="5"/>
        <v>1</v>
      </c>
    </row>
    <row r="35" spans="1:29" ht="15">
      <c r="A35" s="3128"/>
      <c r="B35" s="3105" t="s">
        <v>3483</v>
      </c>
      <c r="C35" s="3104" t="s">
        <v>3484</v>
      </c>
      <c r="D35" s="3058">
        <v>100</v>
      </c>
      <c r="E35" s="3104" t="s">
        <v>3484</v>
      </c>
      <c r="F35" s="3103">
        <f>SUMIF(107:107,E35,108:108)-SUMIF(107:107,C35,108:108)+100</f>
        <v>100</v>
      </c>
      <c r="G35" s="3104" t="s">
        <v>3484</v>
      </c>
      <c r="H35" s="3058">
        <f>SUMIF(107:107,G35,108:108)-SUMIF(107:107,C35,108:108)+100</f>
        <v>100</v>
      </c>
      <c r="I35" s="3104" t="s">
        <v>3484</v>
      </c>
      <c r="J35" s="3058">
        <f>SUMIF(107:107,I35,108:108)-SUMIF(107:107,C35,108:108)+100</f>
        <v>100</v>
      </c>
      <c r="K35" s="3042">
        <v>2</v>
      </c>
      <c r="L35" s="3059"/>
      <c r="M35" s="3000"/>
      <c r="N35" s="3000"/>
      <c r="O35" s="3051"/>
      <c r="P35" s="3592"/>
      <c r="Q35" s="3073" t="str">
        <f t="shared" si="11"/>
        <v>建筑品质</v>
      </c>
      <c r="R35" s="3074" t="s">
        <v>3452</v>
      </c>
      <c r="S35" s="3075">
        <f t="shared" si="12"/>
        <v>100</v>
      </c>
      <c r="T35" s="3074" t="s">
        <v>3452</v>
      </c>
      <c r="U35" s="3075">
        <f t="shared" si="13"/>
        <v>100</v>
      </c>
      <c r="V35" s="3074" t="s">
        <v>3452</v>
      </c>
      <c r="W35" s="3075">
        <f t="shared" si="14"/>
        <v>100</v>
      </c>
      <c r="X35" s="3001"/>
      <c r="Y35" s="3592"/>
      <c r="Z35" s="3076" t="str">
        <f t="shared" si="15"/>
        <v>建筑品质</v>
      </c>
      <c r="AA35" s="3077">
        <f t="shared" si="3"/>
        <v>1</v>
      </c>
      <c r="AB35" s="3077">
        <f t="shared" si="4"/>
        <v>1</v>
      </c>
      <c r="AC35" s="3077">
        <f t="shared" si="5"/>
        <v>1</v>
      </c>
    </row>
    <row r="36" spans="1:29" ht="15">
      <c r="A36" s="3128"/>
      <c r="B36" s="3105" t="s">
        <v>3485</v>
      </c>
      <c r="C36" s="3104" t="s">
        <v>3486</v>
      </c>
      <c r="D36" s="3058">
        <v>100</v>
      </c>
      <c r="E36" s="3104" t="s">
        <v>3486</v>
      </c>
      <c r="F36" s="3103">
        <f>SUMIF(109:109,E36,110:110)-SUMIF(109:109,C36,110:110)+100</f>
        <v>100</v>
      </c>
      <c r="G36" s="3104" t="s">
        <v>3486</v>
      </c>
      <c r="H36" s="3058">
        <f>SUMIF(109:109,G36,110:110)-SUMIF(109:109,C36,110:110)+100</f>
        <v>100</v>
      </c>
      <c r="I36" s="3104" t="s">
        <v>3486</v>
      </c>
      <c r="J36" s="3058">
        <f>SUMIF(109:109,I36,110:110)-SUMIF(109:109,C36,110:110)+100</f>
        <v>100</v>
      </c>
      <c r="K36" s="3042">
        <v>2</v>
      </c>
      <c r="L36" s="3059"/>
      <c r="M36" s="3000"/>
      <c r="N36" s="3000"/>
      <c r="O36" s="3051"/>
      <c r="P36" s="3592"/>
      <c r="Q36" s="3073" t="str">
        <f t="shared" si="11"/>
        <v>公共部分装修</v>
      </c>
      <c r="R36" s="3074" t="s">
        <v>3452</v>
      </c>
      <c r="S36" s="3075">
        <f t="shared" si="12"/>
        <v>100</v>
      </c>
      <c r="T36" s="3074" t="s">
        <v>3452</v>
      </c>
      <c r="U36" s="3075">
        <f t="shared" si="13"/>
        <v>100</v>
      </c>
      <c r="V36" s="3074" t="s">
        <v>3452</v>
      </c>
      <c r="W36" s="3075">
        <f t="shared" si="14"/>
        <v>100</v>
      </c>
      <c r="X36" s="3001"/>
      <c r="Y36" s="3592"/>
      <c r="Z36" s="3076" t="str">
        <f t="shared" si="15"/>
        <v>公共部分装修</v>
      </c>
      <c r="AA36" s="3077">
        <f t="shared" si="3"/>
        <v>1</v>
      </c>
      <c r="AB36" s="3077">
        <f t="shared" si="4"/>
        <v>1</v>
      </c>
      <c r="AC36" s="3077">
        <f t="shared" si="5"/>
        <v>1</v>
      </c>
    </row>
    <row r="37" spans="1:29" s="3022" customFormat="1" ht="15">
      <c r="A37" s="3130"/>
      <c r="B37" s="3105" t="s">
        <v>3487</v>
      </c>
      <c r="C37" s="3131">
        <v>1</v>
      </c>
      <c r="D37" s="3039">
        <v>100</v>
      </c>
      <c r="E37" s="3131">
        <v>1</v>
      </c>
      <c r="F37" s="3041">
        <f>LOOKUP(E37,112:112,113:113)-LOOKUP(C37,112:112,113:113)+100</f>
        <v>100</v>
      </c>
      <c r="G37" s="3131">
        <v>1</v>
      </c>
      <c r="H37" s="3039">
        <f>LOOKUP(G37,112:112,113:113)-LOOKUP(C37,112:112,113:113)+100</f>
        <v>100</v>
      </c>
      <c r="I37" s="3131">
        <v>1</v>
      </c>
      <c r="J37" s="3039">
        <f>LOOKUP(I37,112:112,113:113)-LOOKUP(C37,112:112,113:113)+100</f>
        <v>100</v>
      </c>
      <c r="K37" s="3042">
        <v>1</v>
      </c>
      <c r="L37" s="3016"/>
      <c r="M37" s="3017"/>
      <c r="N37" s="3017"/>
      <c r="O37" s="3034"/>
      <c r="P37" s="3592"/>
      <c r="Q37" s="3035" t="str">
        <f t="shared" si="11"/>
        <v>成新度</v>
      </c>
      <c r="R37" s="3018" t="s">
        <v>3452</v>
      </c>
      <c r="S37" s="3019">
        <f t="shared" si="12"/>
        <v>100</v>
      </c>
      <c r="T37" s="3018" t="s">
        <v>3452</v>
      </c>
      <c r="U37" s="3019">
        <f t="shared" si="13"/>
        <v>100</v>
      </c>
      <c r="V37" s="3018" t="s">
        <v>3452</v>
      </c>
      <c r="W37" s="3019">
        <f t="shared" si="14"/>
        <v>100</v>
      </c>
      <c r="X37" s="3020"/>
      <c r="Y37" s="3592"/>
      <c r="Z37" s="3036" t="str">
        <f t="shared" si="15"/>
        <v>成新度</v>
      </c>
      <c r="AA37" s="3021">
        <f t="shared" si="3"/>
        <v>1</v>
      </c>
      <c r="AB37" s="3021">
        <f t="shared" si="4"/>
        <v>1</v>
      </c>
      <c r="AC37" s="3021">
        <f t="shared" si="5"/>
        <v>1</v>
      </c>
    </row>
    <row r="38" spans="1:29" ht="15">
      <c r="A38" s="3128"/>
      <c r="B38" s="3105" t="s">
        <v>3488</v>
      </c>
      <c r="C38" s="3104" t="s">
        <v>3489</v>
      </c>
      <c r="D38" s="3058">
        <v>100</v>
      </c>
      <c r="E38" s="3104" t="s">
        <v>3489</v>
      </c>
      <c r="F38" s="3103">
        <f>SUMIF(114:114,E38,115:115)-SUMIF(114:114,C38,115:115)+100</f>
        <v>100</v>
      </c>
      <c r="G38" s="3104" t="s">
        <v>3489</v>
      </c>
      <c r="H38" s="3058">
        <f>SUMIF(114:114,G38,115:115)-SUMIF(114:114,C38,115:115)+100</f>
        <v>100</v>
      </c>
      <c r="I38" s="3104" t="s">
        <v>3489</v>
      </c>
      <c r="J38" s="3058">
        <f>SUMIF(114:114,I38,115:115)-SUMIF(114:114,C38,115:115)+100</f>
        <v>100</v>
      </c>
      <c r="K38" s="3042">
        <v>2</v>
      </c>
      <c r="L38" s="3059"/>
      <c r="M38" s="3000"/>
      <c r="N38" s="3000"/>
      <c r="O38" s="3051"/>
      <c r="P38" s="3592" t="s">
        <v>3490</v>
      </c>
      <c r="Q38" s="3073" t="str">
        <f t="shared" si="11"/>
        <v>物业管理</v>
      </c>
      <c r="R38" s="3074" t="s">
        <v>3452</v>
      </c>
      <c r="S38" s="3075">
        <f t="shared" si="12"/>
        <v>100</v>
      </c>
      <c r="T38" s="3074" t="s">
        <v>3452</v>
      </c>
      <c r="U38" s="3075">
        <f t="shared" si="13"/>
        <v>100</v>
      </c>
      <c r="V38" s="3074" t="s">
        <v>3452</v>
      </c>
      <c r="W38" s="3075">
        <f t="shared" si="14"/>
        <v>100</v>
      </c>
      <c r="X38" s="3001"/>
      <c r="Y38" s="3592" t="s">
        <v>3490</v>
      </c>
      <c r="Z38" s="3076" t="str">
        <f t="shared" si="15"/>
        <v>物业管理</v>
      </c>
      <c r="AA38" s="3077">
        <f t="shared" si="3"/>
        <v>1</v>
      </c>
      <c r="AB38" s="3077">
        <f t="shared" si="4"/>
        <v>1</v>
      </c>
      <c r="AC38" s="3077">
        <f t="shared" si="5"/>
        <v>1</v>
      </c>
    </row>
    <row r="39" spans="1:29" ht="15">
      <c r="A39" s="3128"/>
      <c r="B39" s="3100" t="s">
        <v>3491</v>
      </c>
      <c r="C39" s="3104" t="s">
        <v>3095</v>
      </c>
      <c r="D39" s="3058">
        <v>100</v>
      </c>
      <c r="E39" s="3104" t="s">
        <v>3095</v>
      </c>
      <c r="F39" s="3103">
        <f>SUMIF(116:116,E39,117:117)-SUMIF(116:116,C39,117:117)+100</f>
        <v>100</v>
      </c>
      <c r="G39" s="3104" t="s">
        <v>3095</v>
      </c>
      <c r="H39" s="3058">
        <f>SUMIF(116:116,G39,117:117)-SUMIF(116:116,C39,117:117)+100</f>
        <v>100</v>
      </c>
      <c r="I39" s="3104" t="s">
        <v>3095</v>
      </c>
      <c r="J39" s="3058">
        <f>SUMIF(116:116,I39,117:117)-SUMIF(116:116,C39,117:117)+100</f>
        <v>100</v>
      </c>
      <c r="K39" s="3042">
        <v>1</v>
      </c>
      <c r="L39" s="3059"/>
      <c r="M39" s="3000"/>
      <c r="N39" s="3000"/>
      <c r="O39" s="3051"/>
      <c r="P39" s="3592"/>
      <c r="Q39" s="3073" t="str">
        <f t="shared" si="11"/>
        <v>市政基础设施</v>
      </c>
      <c r="R39" s="3074" t="s">
        <v>3452</v>
      </c>
      <c r="S39" s="3075">
        <f t="shared" si="12"/>
        <v>100</v>
      </c>
      <c r="T39" s="3074" t="s">
        <v>3452</v>
      </c>
      <c r="U39" s="3075">
        <f t="shared" si="13"/>
        <v>100</v>
      </c>
      <c r="V39" s="3074" t="s">
        <v>3452</v>
      </c>
      <c r="W39" s="3075">
        <f t="shared" si="14"/>
        <v>100</v>
      </c>
      <c r="X39" s="3001"/>
      <c r="Y39" s="3592"/>
      <c r="Z39" s="3076" t="str">
        <f t="shared" si="15"/>
        <v>市政基础设施</v>
      </c>
      <c r="AA39" s="3077">
        <f t="shared" si="3"/>
        <v>1</v>
      </c>
      <c r="AB39" s="3077">
        <f t="shared" si="4"/>
        <v>1</v>
      </c>
      <c r="AC39" s="3077">
        <f t="shared" si="5"/>
        <v>1</v>
      </c>
    </row>
    <row r="40" spans="1:29" ht="15">
      <c r="A40" s="3128"/>
      <c r="B40" s="3105" t="s">
        <v>3492</v>
      </c>
      <c r="C40" s="3104"/>
      <c r="D40" s="3058">
        <v>100</v>
      </c>
      <c r="E40" s="3104"/>
      <c r="F40" s="3103">
        <f>SUMIF(118:118,E40,119:119)-SUMIF(118:118,C40,119:119)+100</f>
        <v>100</v>
      </c>
      <c r="G40" s="3104"/>
      <c r="H40" s="3058">
        <f>SUMIF(118:118,G40,119:119)-SUMIF(118:118,C40,119:119)+100</f>
        <v>100</v>
      </c>
      <c r="I40" s="3104"/>
      <c r="J40" s="3058">
        <f>SUMIF(118:118,I40,119:119)-SUMIF(118:118,C40,119:119)+100</f>
        <v>100</v>
      </c>
      <c r="K40" s="3042">
        <v>1</v>
      </c>
      <c r="L40" s="3059"/>
      <c r="M40" s="3000"/>
      <c r="N40" s="3000"/>
      <c r="O40" s="3051"/>
      <c r="P40" s="3592"/>
      <c r="Q40" s="3073" t="str">
        <f t="shared" si="11"/>
        <v>房型</v>
      </c>
      <c r="R40" s="3074" t="s">
        <v>3452</v>
      </c>
      <c r="S40" s="3075">
        <f t="shared" si="12"/>
        <v>100</v>
      </c>
      <c r="T40" s="3074" t="s">
        <v>3452</v>
      </c>
      <c r="U40" s="3075">
        <f t="shared" si="13"/>
        <v>100</v>
      </c>
      <c r="V40" s="3074" t="s">
        <v>3452</v>
      </c>
      <c r="W40" s="3075">
        <f t="shared" si="14"/>
        <v>100</v>
      </c>
      <c r="X40" s="3001"/>
      <c r="Y40" s="3592"/>
      <c r="Z40" s="3076" t="str">
        <f t="shared" si="15"/>
        <v>房型</v>
      </c>
      <c r="AA40" s="3077">
        <f t="shared" si="3"/>
        <v>1</v>
      </c>
      <c r="AB40" s="3077">
        <f t="shared" si="4"/>
        <v>1</v>
      </c>
      <c r="AC40" s="3077">
        <f t="shared" si="5"/>
        <v>1</v>
      </c>
    </row>
    <row r="41" spans="1:29" s="3127" customFormat="1" ht="28.5">
      <c r="A41" s="3118"/>
      <c r="B41" s="3105" t="s">
        <v>3493</v>
      </c>
      <c r="C41" s="3119"/>
      <c r="D41" s="3039">
        <v>100</v>
      </c>
      <c r="E41" s="3119"/>
      <c r="F41" s="3041">
        <f>SUMIF(120:120,E41,121:121)-SUMIF(120:120,C41,121:121)+100</f>
        <v>100</v>
      </c>
      <c r="G41" s="3119"/>
      <c r="H41" s="3039">
        <f>SUMIF(120:120,G41,121:121)-SUMIF(120:120,C41,121:121)+100</f>
        <v>100</v>
      </c>
      <c r="I41" s="3119"/>
      <c r="J41" s="3058">
        <f>SUMIF(120:120,I41,121:121)-SUMIF(120:120,C41,121:121)+100</f>
        <v>100</v>
      </c>
      <c r="K41" s="3056"/>
      <c r="L41" s="3050"/>
      <c r="M41" s="3120"/>
      <c r="N41" s="3120"/>
      <c r="O41" s="3121"/>
      <c r="P41" s="3592"/>
      <c r="Q41" s="3122" t="str">
        <f t="shared" si="11"/>
        <v>单套/主力户型建筑面积</v>
      </c>
      <c r="R41" s="3123" t="s">
        <v>3452</v>
      </c>
      <c r="S41" s="3124">
        <f t="shared" si="12"/>
        <v>100</v>
      </c>
      <c r="T41" s="3123" t="s">
        <v>3452</v>
      </c>
      <c r="U41" s="3124">
        <f t="shared" si="13"/>
        <v>100</v>
      </c>
      <c r="V41" s="3123" t="s">
        <v>3452</v>
      </c>
      <c r="W41" s="3124">
        <f t="shared" si="14"/>
        <v>100</v>
      </c>
      <c r="X41" s="3125"/>
      <c r="Y41" s="3592"/>
      <c r="Z41" s="3126" t="str">
        <f t="shared" si="15"/>
        <v>单套/主力户型建筑面积</v>
      </c>
      <c r="AA41" s="3077">
        <f t="shared" si="3"/>
        <v>1</v>
      </c>
      <c r="AB41" s="3077">
        <f t="shared" si="4"/>
        <v>1</v>
      </c>
      <c r="AC41" s="3077">
        <f t="shared" si="5"/>
        <v>1</v>
      </c>
    </row>
    <row r="42" spans="1:29" ht="15">
      <c r="A42" s="3128"/>
      <c r="B42" s="3105" t="s">
        <v>3494</v>
      </c>
      <c r="C42" s="3104" t="s">
        <v>3486</v>
      </c>
      <c r="D42" s="3058">
        <v>100</v>
      </c>
      <c r="E42" s="3104" t="s">
        <v>3486</v>
      </c>
      <c r="F42" s="3103">
        <f>SUMIF(122:122,E42,123:123)-SUMIF(122:122,C42,123:123)+100</f>
        <v>100</v>
      </c>
      <c r="G42" s="3104" t="s">
        <v>3486</v>
      </c>
      <c r="H42" s="3058">
        <f>SUMIF(122:122,G42,123:123)-SUMIF(122:122,C42,123:123)+100</f>
        <v>100</v>
      </c>
      <c r="I42" s="3104" t="s">
        <v>3486</v>
      </c>
      <c r="J42" s="3058">
        <f>SUMIF(122:122,I42,123:123)-SUMIF(122:122,C42,123:123)+100</f>
        <v>100</v>
      </c>
      <c r="K42" s="3042">
        <v>5</v>
      </c>
      <c r="L42" s="3059"/>
      <c r="M42" s="3000"/>
      <c r="N42" s="3000"/>
      <c r="O42" s="3051"/>
      <c r="P42" s="3592"/>
      <c r="Q42" s="3073" t="str">
        <f t="shared" si="11"/>
        <v>内部装修</v>
      </c>
      <c r="R42" s="3074" t="s">
        <v>3452</v>
      </c>
      <c r="S42" s="3075">
        <f t="shared" si="12"/>
        <v>100</v>
      </c>
      <c r="T42" s="3074" t="s">
        <v>3452</v>
      </c>
      <c r="U42" s="3075">
        <f t="shared" si="13"/>
        <v>100</v>
      </c>
      <c r="V42" s="3074" t="s">
        <v>3452</v>
      </c>
      <c r="W42" s="3075">
        <f t="shared" si="14"/>
        <v>100</v>
      </c>
      <c r="X42" s="3001"/>
      <c r="Y42" s="3592"/>
      <c r="Z42" s="3076" t="str">
        <f t="shared" si="15"/>
        <v>内部装修</v>
      </c>
      <c r="AA42" s="3077">
        <f t="shared" si="3"/>
        <v>1</v>
      </c>
      <c r="AB42" s="3077">
        <f t="shared" si="4"/>
        <v>1</v>
      </c>
      <c r="AC42" s="3077">
        <f t="shared" si="5"/>
        <v>1</v>
      </c>
    </row>
    <row r="43" spans="1:29" ht="27">
      <c r="A43" s="3128"/>
      <c r="B43" s="3105" t="s">
        <v>3495</v>
      </c>
      <c r="C43" s="3104" t="s">
        <v>3094</v>
      </c>
      <c r="D43" s="3058">
        <v>100</v>
      </c>
      <c r="E43" s="3104" t="s">
        <v>3094</v>
      </c>
      <c r="F43" s="3103">
        <f>SUMIF(124:124,E43,125:125)-SUMIF(124:124,C43,125:125)+100</f>
        <v>100</v>
      </c>
      <c r="G43" s="3104" t="s">
        <v>3094</v>
      </c>
      <c r="H43" s="3058">
        <f>SUMIF(124:124,G43,125:125)-SUMIF(124:124,C43,125:125)+100</f>
        <v>100</v>
      </c>
      <c r="I43" s="3104" t="s">
        <v>3094</v>
      </c>
      <c r="J43" s="3058">
        <f>SUMIF(124:124,I43,125:125)-SUMIF(124:124,C43,125:125)+100</f>
        <v>100</v>
      </c>
      <c r="K43" s="3042">
        <v>1</v>
      </c>
      <c r="L43" s="3059"/>
      <c r="M43" s="3000"/>
      <c r="N43" s="3000"/>
      <c r="O43" s="3051"/>
      <c r="P43" s="3592"/>
      <c r="Q43" s="3073" t="str">
        <f t="shared" si="11"/>
        <v>内部装修维护情况</v>
      </c>
      <c r="R43" s="3074" t="s">
        <v>3452</v>
      </c>
      <c r="S43" s="3075">
        <f t="shared" si="12"/>
        <v>100</v>
      </c>
      <c r="T43" s="3074" t="s">
        <v>3452</v>
      </c>
      <c r="U43" s="3075">
        <f t="shared" si="13"/>
        <v>100</v>
      </c>
      <c r="V43" s="3074" t="s">
        <v>3452</v>
      </c>
      <c r="W43" s="3075">
        <f t="shared" si="14"/>
        <v>100</v>
      </c>
      <c r="X43" s="3001"/>
      <c r="Y43" s="3592"/>
      <c r="Z43" s="3076" t="str">
        <f t="shared" si="15"/>
        <v>内部装修维护情况</v>
      </c>
      <c r="AA43" s="3077">
        <f t="shared" si="3"/>
        <v>1</v>
      </c>
      <c r="AB43" s="3077">
        <f t="shared" si="4"/>
        <v>1</v>
      </c>
      <c r="AC43" s="3077">
        <f t="shared" si="5"/>
        <v>1</v>
      </c>
    </row>
    <row r="44" spans="1:29" s="3022" customFormat="1" ht="15">
      <c r="A44" s="3130"/>
      <c r="B44" s="3112">
        <v>111</v>
      </c>
      <c r="C44" s="3119"/>
      <c r="D44" s="3039">
        <v>100</v>
      </c>
      <c r="E44" s="3119"/>
      <c r="F44" s="3041">
        <f>SUMIF(126:126,E44,127:127)-SUMIF(126:126,C44,127:127)+100</f>
        <v>100</v>
      </c>
      <c r="G44" s="3119"/>
      <c r="H44" s="3039">
        <f>SUMIF(126:126,G44,127:127)-SUMIF(126:126,C44,127:127)+100</f>
        <v>100</v>
      </c>
      <c r="I44" s="3119"/>
      <c r="J44" s="3039">
        <f>SUMIF(126:126,I44,127:127)-SUMIF(126:126,C44,127:127)+100</f>
        <v>100</v>
      </c>
      <c r="K44" s="3056"/>
      <c r="L44" s="3016"/>
      <c r="M44" s="3017"/>
      <c r="N44" s="3017"/>
      <c r="O44" s="3034"/>
      <c r="P44" s="3592"/>
      <c r="Q44" s="3035">
        <f t="shared" si="11"/>
        <v>111</v>
      </c>
      <c r="R44" s="3018" t="s">
        <v>3452</v>
      </c>
      <c r="S44" s="3019">
        <f t="shared" si="12"/>
        <v>100</v>
      </c>
      <c r="T44" s="3018" t="s">
        <v>3452</v>
      </c>
      <c r="U44" s="3019">
        <f t="shared" si="13"/>
        <v>100</v>
      </c>
      <c r="V44" s="3018" t="s">
        <v>3452</v>
      </c>
      <c r="W44" s="3019">
        <f t="shared" si="14"/>
        <v>100</v>
      </c>
      <c r="X44" s="3020"/>
      <c r="Y44" s="3592"/>
      <c r="Z44" s="3036">
        <f t="shared" si="15"/>
        <v>111</v>
      </c>
      <c r="AA44" s="3021">
        <f t="shared" si="3"/>
        <v>1</v>
      </c>
      <c r="AB44" s="3021">
        <f t="shared" si="4"/>
        <v>1</v>
      </c>
      <c r="AC44" s="3021">
        <f t="shared" si="5"/>
        <v>1</v>
      </c>
    </row>
    <row r="45" spans="1:29" ht="15">
      <c r="A45" s="3128"/>
      <c r="B45" s="3112">
        <v>111</v>
      </c>
      <c r="C45" s="3057"/>
      <c r="D45" s="3058">
        <v>100</v>
      </c>
      <c r="E45" s="3057"/>
      <c r="F45" s="3103">
        <f>SUMIF(128:128,E45,129:129)-SUMIF(128:128,C45,129:129)+100</f>
        <v>100</v>
      </c>
      <c r="G45" s="3057"/>
      <c r="H45" s="3058">
        <f>SUMIF(128:128,G45,129:129)-SUMIF(128:128,C45,129:129)+100</f>
        <v>100</v>
      </c>
      <c r="I45" s="3057"/>
      <c r="J45" s="3058">
        <f>SUMIF(128:128,I45,129:129)-SUMIF(128:128,C45,129:129)+100</f>
        <v>100</v>
      </c>
      <c r="K45" s="3056"/>
      <c r="L45" s="3059"/>
      <c r="M45" s="3000"/>
      <c r="N45" s="3000"/>
      <c r="O45" s="3051"/>
      <c r="P45" s="3592"/>
      <c r="Q45" s="3073">
        <f t="shared" si="11"/>
        <v>111</v>
      </c>
      <c r="R45" s="3074" t="s">
        <v>3452</v>
      </c>
      <c r="S45" s="3075">
        <f t="shared" si="12"/>
        <v>100</v>
      </c>
      <c r="T45" s="3074" t="s">
        <v>3452</v>
      </c>
      <c r="U45" s="3075">
        <f t="shared" si="13"/>
        <v>100</v>
      </c>
      <c r="V45" s="3074" t="s">
        <v>3452</v>
      </c>
      <c r="W45" s="3075">
        <f t="shared" si="14"/>
        <v>100</v>
      </c>
      <c r="X45" s="3001"/>
      <c r="Y45" s="3592"/>
      <c r="Z45" s="3076">
        <f t="shared" si="15"/>
        <v>111</v>
      </c>
      <c r="AA45" s="3077">
        <f t="shared" si="3"/>
        <v>1</v>
      </c>
      <c r="AB45" s="3077">
        <f t="shared" si="4"/>
        <v>1</v>
      </c>
      <c r="AC45" s="3077">
        <f t="shared" si="5"/>
        <v>1</v>
      </c>
    </row>
    <row r="46" spans="1:29" ht="15.75" thickBot="1">
      <c r="A46" s="3132"/>
      <c r="B46" s="3133">
        <v>111</v>
      </c>
      <c r="C46" s="3062"/>
      <c r="D46" s="3063">
        <v>100</v>
      </c>
      <c r="E46" s="3062"/>
      <c r="F46" s="3064">
        <f>SUMIF(130:130,E46,131:131)-SUMIF(130:130,C46,131:131)+100</f>
        <v>100</v>
      </c>
      <c r="G46" s="3062"/>
      <c r="H46" s="3063">
        <f>SUMIF(130:130,G46,131:131)-SUMIF(130:130,C46,131:131)+100</f>
        <v>100</v>
      </c>
      <c r="I46" s="3062"/>
      <c r="J46" s="3063">
        <f>SUMIF(130:130,I46,131:131)-SUMIF(130:130,C46,131:131)+100</f>
        <v>100</v>
      </c>
      <c r="K46" s="3056"/>
      <c r="L46" s="3059"/>
      <c r="M46" s="3000"/>
      <c r="N46" s="3000"/>
      <c r="O46" s="3051"/>
      <c r="P46" s="3593"/>
      <c r="Q46" s="3073">
        <f t="shared" si="11"/>
        <v>111</v>
      </c>
      <c r="R46" s="3074" t="s">
        <v>3452</v>
      </c>
      <c r="S46" s="3075">
        <f t="shared" si="12"/>
        <v>100</v>
      </c>
      <c r="T46" s="3074" t="s">
        <v>3452</v>
      </c>
      <c r="U46" s="3075">
        <f t="shared" si="13"/>
        <v>100</v>
      </c>
      <c r="V46" s="3074" t="s">
        <v>3452</v>
      </c>
      <c r="W46" s="3075">
        <f t="shared" si="14"/>
        <v>100</v>
      </c>
      <c r="X46" s="3001"/>
      <c r="Y46" s="3593"/>
      <c r="Z46" s="3076">
        <f t="shared" si="15"/>
        <v>111</v>
      </c>
      <c r="AA46" s="3077">
        <f t="shared" si="3"/>
        <v>1</v>
      </c>
      <c r="AB46" s="3077">
        <f t="shared" si="4"/>
        <v>1</v>
      </c>
      <c r="AC46" s="3077">
        <f t="shared" si="5"/>
        <v>1</v>
      </c>
    </row>
    <row r="47" spans="1:29" ht="15">
      <c r="A47" s="3134" t="s">
        <v>3496</v>
      </c>
      <c r="B47" s="3135"/>
      <c r="C47" s="3136" t="s">
        <v>3497</v>
      </c>
      <c r="D47" s="3137"/>
      <c r="E47" s="3138">
        <v>95000</v>
      </c>
      <c r="F47" s="3139"/>
      <c r="G47" s="3140">
        <v>80000</v>
      </c>
      <c r="H47" s="3141"/>
      <c r="I47" s="3138">
        <v>79500</v>
      </c>
      <c r="J47" s="3141"/>
      <c r="K47" s="3142"/>
      <c r="L47" s="3143"/>
      <c r="M47" s="3144"/>
      <c r="N47" s="3000"/>
      <c r="O47" s="3144"/>
      <c r="P47" s="3586" t="str">
        <f>A47</f>
        <v>成交单价（元/平方米）</v>
      </c>
      <c r="Q47" s="3586"/>
      <c r="R47" s="3587">
        <f>E47</f>
        <v>95000</v>
      </c>
      <c r="S47" s="3587"/>
      <c r="T47" s="3587">
        <f>G47</f>
        <v>80000</v>
      </c>
      <c r="U47" s="3587"/>
      <c r="V47" s="3587">
        <f>I47</f>
        <v>79500</v>
      </c>
      <c r="W47" s="3587"/>
      <c r="X47" s="3145"/>
      <c r="Y47" s="3146"/>
      <c r="Z47" s="3145"/>
      <c r="AA47" s="3145"/>
      <c r="AB47" s="3145"/>
      <c r="AC47" s="3145"/>
    </row>
    <row r="48" spans="1:29" ht="15.75" thickBot="1">
      <c r="A48" s="3147" t="s">
        <v>3498</v>
      </c>
      <c r="B48" s="3148"/>
      <c r="C48" s="3149">
        <f>R49</f>
        <v>95870</v>
      </c>
      <c r="D48" s="3150"/>
      <c r="E48" s="3151">
        <f>R48</f>
        <v>98978</v>
      </c>
      <c r="F48" s="3151"/>
      <c r="G48" s="3149">
        <f>T48</f>
        <v>96029</v>
      </c>
      <c r="H48" s="3150"/>
      <c r="I48" s="3151">
        <f>V48</f>
        <v>92603</v>
      </c>
      <c r="J48" s="3150"/>
      <c r="K48" s="3152"/>
      <c r="L48" s="3143"/>
      <c r="M48" s="3144"/>
      <c r="N48" s="3144"/>
      <c r="O48" s="3144"/>
      <c r="P48" s="3586" t="str">
        <f>A48</f>
        <v>比较价格（元/平方米）</v>
      </c>
      <c r="Q48" s="3586"/>
      <c r="R48" s="3587">
        <f>IF(F1="售价",ROUND(PRODUCT(R47,AA7:AA46),0),ROUND(PRODUCT(R47,AA7:AA46),1))</f>
        <v>98978</v>
      </c>
      <c r="S48" s="3587"/>
      <c r="T48" s="3587">
        <f>IF(F1="售价",ROUND(PRODUCT(T47,AB7:AB46),0),ROUND(PRODUCT(T47,AB7:AB46),1))</f>
        <v>96029</v>
      </c>
      <c r="U48" s="3587"/>
      <c r="V48" s="3587">
        <f>IF(F1="售价",ROUND(PRODUCT(V47,AC7:AC46),0),ROUND(PRODUCT(V47,AC7:AC46),1))</f>
        <v>92603</v>
      </c>
      <c r="W48" s="3587"/>
      <c r="X48" s="3145"/>
      <c r="Y48" s="3145"/>
      <c r="Z48" s="3145"/>
      <c r="AA48" s="3145"/>
      <c r="AB48" s="3145"/>
      <c r="AC48" s="3145"/>
    </row>
    <row r="49" spans="1:29" ht="15.75" thickBot="1">
      <c r="A49" s="3153" t="s">
        <v>3499</v>
      </c>
      <c r="B49" s="3154"/>
      <c r="C49" s="3155">
        <f>R49</f>
        <v>95870</v>
      </c>
      <c r="D49" s="3155"/>
      <c r="E49" s="3155"/>
      <c r="F49" s="3155"/>
      <c r="G49" s="3155"/>
      <c r="H49" s="3155"/>
      <c r="I49" s="3155"/>
      <c r="J49" s="3155"/>
      <c r="K49" s="3156"/>
      <c r="L49" s="3143"/>
      <c r="M49" s="3144"/>
      <c r="N49" s="3144"/>
      <c r="O49" s="3144"/>
      <c r="P49" s="3588" t="str">
        <f>A49</f>
        <v>估价对象XX用房的比较价格（楼面单价，元/平方米）</v>
      </c>
      <c r="Q49" s="3589"/>
      <c r="R49" s="3590">
        <f>IF(F1="售价",ROUND(AVERAGE(R48:V48),0),ROUND(AVERAGE(R48:V48),1))</f>
        <v>95870</v>
      </c>
      <c r="S49" s="3590"/>
      <c r="T49" s="3590"/>
      <c r="U49" s="3590"/>
      <c r="V49" s="3590"/>
      <c r="W49" s="3590"/>
      <c r="X49" s="3145"/>
      <c r="Y49" s="3145"/>
      <c r="Z49" s="3145"/>
      <c r="AA49" s="3145"/>
      <c r="AB49" s="3145"/>
      <c r="AC49" s="3145"/>
    </row>
    <row r="50" spans="1:29">
      <c r="A50" s="3144"/>
      <c r="B50" s="3144"/>
      <c r="C50" s="3144"/>
      <c r="D50" s="3144"/>
      <c r="E50" s="3144"/>
      <c r="F50" s="3144"/>
      <c r="G50" s="3157"/>
      <c r="H50" s="3144"/>
      <c r="I50" s="3144"/>
      <c r="J50" s="3144"/>
      <c r="K50" s="3158"/>
      <c r="L50" s="3159"/>
      <c r="M50" s="3144"/>
      <c r="N50" s="3144"/>
      <c r="O50" s="3144"/>
      <c r="P50" s="3144"/>
      <c r="Q50" s="3144"/>
      <c r="R50" s="3144"/>
      <c r="S50" s="3144"/>
      <c r="T50" s="3144"/>
      <c r="U50" s="3144"/>
      <c r="V50" s="3144"/>
      <c r="W50" s="3144"/>
      <c r="X50" s="3144"/>
      <c r="Y50" s="3144"/>
      <c r="Z50" s="3144"/>
      <c r="AA50" s="3144"/>
      <c r="AB50" s="3144"/>
      <c r="AC50" s="3144"/>
    </row>
    <row r="51" spans="1:29">
      <c r="A51" s="3144"/>
      <c r="B51" s="3144"/>
      <c r="C51" s="3144"/>
      <c r="D51" s="3144"/>
      <c r="E51" s="3144"/>
      <c r="F51" s="3144"/>
      <c r="G51" s="3144"/>
      <c r="H51" s="3144"/>
      <c r="I51" s="3144"/>
      <c r="J51" s="3144"/>
      <c r="K51" s="3158"/>
      <c r="L51" s="3159"/>
      <c r="M51" s="3144"/>
      <c r="N51" s="3144"/>
      <c r="O51" s="3144"/>
      <c r="P51" s="3144"/>
      <c r="Q51" s="3144"/>
      <c r="R51" s="3144"/>
      <c r="S51" s="3144"/>
      <c r="T51" s="3144"/>
      <c r="U51" s="3144"/>
      <c r="V51" s="3144"/>
      <c r="W51" s="3144"/>
      <c r="X51" s="3144"/>
      <c r="Y51" s="3144"/>
      <c r="Z51" s="3144"/>
      <c r="AA51" s="3144"/>
      <c r="AB51" s="3144"/>
      <c r="AC51" s="3144"/>
    </row>
    <row r="52" spans="1:29" ht="13.5" customHeight="1">
      <c r="A52" s="3144"/>
      <c r="B52" s="3144"/>
      <c r="C52" s="3160" t="s">
        <v>3500</v>
      </c>
      <c r="D52" s="3161"/>
      <c r="E52" s="3162">
        <f>IF(E47&lt;E48,E48/E47-1,E47/E48-1)</f>
        <v>4.1873684210526285E-2</v>
      </c>
      <c r="F52" s="3163" t="str">
        <f>IF(OR(E52&gt;=0.3,E52&lt;=-0.3),"超过30%","")</f>
        <v/>
      </c>
      <c r="G52" s="3162">
        <f>IF(G47&lt;G48,G48/G47-1,G47/G48-1)</f>
        <v>0.2003625</v>
      </c>
      <c r="H52" s="3163" t="str">
        <f>IF(OR(G52&gt;=0.3,G52&lt;=-0.3),"超过30%","")</f>
        <v/>
      </c>
      <c r="I52" s="3162">
        <f>IF(I47&lt;I48,I48/I47-1,I47/I48-1)</f>
        <v>0.16481761006289308</v>
      </c>
      <c r="J52" s="3163" t="str">
        <f>IF(OR(I52&gt;=0.3,I52&lt;=-0.3),"超过30%","")</f>
        <v/>
      </c>
      <c r="K52" s="3158"/>
      <c r="L52" s="3159"/>
      <c r="M52" s="3144"/>
      <c r="N52" s="3144"/>
      <c r="O52" s="3144"/>
      <c r="P52" s="3144"/>
      <c r="Q52" s="3144"/>
      <c r="R52" s="3144"/>
      <c r="S52" s="3144"/>
      <c r="T52" s="3144"/>
      <c r="U52" s="3144"/>
      <c r="V52" s="3144"/>
      <c r="W52" s="3144"/>
      <c r="X52" s="3144"/>
      <c r="Y52" s="3144"/>
      <c r="Z52" s="3144"/>
      <c r="AA52" s="3144"/>
      <c r="AB52" s="3144"/>
      <c r="AC52" s="3144"/>
    </row>
    <row r="53" spans="1:29" ht="13.5" customHeight="1">
      <c r="A53" s="3144"/>
      <c r="B53" s="3144"/>
      <c r="C53" s="3160" t="s">
        <v>3501</v>
      </c>
      <c r="D53" s="3164"/>
      <c r="E53" s="3162">
        <f>IF(E48&lt;G48,G48/E48-1,E48/G48-1)</f>
        <v>3.0709473179976854E-2</v>
      </c>
      <c r="F53" s="3163" t="str">
        <f>IF(OR(E53&gt;=0.2,E53&lt;=-0.2),"超过20%","")</f>
        <v/>
      </c>
      <c r="G53" s="3162">
        <f>IF(G48&lt;I48,I48/G48-1,G48/I48-1)</f>
        <v>3.6996641577486722E-2</v>
      </c>
      <c r="H53" s="3163" t="str">
        <f>IF(OR(G53&gt;=0.2,G53&lt;=-0.2),"超过20%","")</f>
        <v/>
      </c>
      <c r="I53" s="3162">
        <f>IF(I48&lt;E48,E48/I48-1,I48/E48-1)</f>
        <v>6.8842262129736653E-2</v>
      </c>
      <c r="J53" s="3163" t="str">
        <f>IF(OR(I53&gt;=0.2,I53&lt;=-0.2),"超过20%","")</f>
        <v/>
      </c>
      <c r="K53" s="3158"/>
      <c r="L53" s="3159"/>
      <c r="M53" s="3144"/>
      <c r="N53" s="3144"/>
      <c r="O53" s="3144"/>
      <c r="P53" s="3144"/>
      <c r="Q53" s="3144"/>
      <c r="R53" s="3144"/>
      <c r="S53" s="3144"/>
      <c r="T53" s="3144"/>
      <c r="U53" s="3144"/>
      <c r="V53" s="3144"/>
      <c r="W53" s="3144"/>
      <c r="X53" s="3144"/>
      <c r="Y53" s="3144"/>
      <c r="Z53" s="3144"/>
      <c r="AA53" s="3144"/>
      <c r="AB53" s="3144"/>
      <c r="AC53" s="3144"/>
    </row>
    <row r="54" spans="1:29" s="3168" customFormat="1" ht="13.5" customHeight="1">
      <c r="A54" s="3165"/>
      <c r="B54" s="3165"/>
      <c r="C54" s="3160" t="s">
        <v>3502</v>
      </c>
      <c r="D54" s="3164"/>
      <c r="E54" s="3162">
        <f>IF(E47&lt;G47,G47/E47-1,E47/G47-1)</f>
        <v>0.1875</v>
      </c>
      <c r="F54" s="3163" t="str">
        <f>IF(OR(E54&gt;=0.3,E54&lt;=-0.3),"超过30%","")</f>
        <v/>
      </c>
      <c r="G54" s="3162">
        <f>IF(G47&lt;I47,I47/G47-1,G47/I47-1)</f>
        <v>6.2893081761006275E-3</v>
      </c>
      <c r="H54" s="3163" t="str">
        <f>IF(OR(G54&gt;=0.3,G54&lt;=-0.3),"超过30%","")</f>
        <v/>
      </c>
      <c r="I54" s="3162">
        <f>IF(I47&lt;E47,E47/I47-1,I47/E47-1)</f>
        <v>0.19496855345911945</v>
      </c>
      <c r="J54" s="3163" t="str">
        <f>IF(OR(I54&gt;=0.3,I54&lt;=-0.3),"超过30%","")</f>
        <v/>
      </c>
      <c r="K54" s="3166"/>
      <c r="L54" s="3167"/>
      <c r="M54" s="3165"/>
      <c r="N54" s="3165"/>
      <c r="O54" s="3165"/>
      <c r="P54" s="3165"/>
      <c r="Q54" s="3165"/>
      <c r="R54" s="3165"/>
      <c r="S54" s="3165"/>
      <c r="T54" s="3165"/>
      <c r="U54" s="3165"/>
      <c r="V54" s="3165"/>
      <c r="W54" s="3165"/>
      <c r="X54" s="3165"/>
      <c r="Y54" s="3165"/>
      <c r="Z54" s="3165"/>
      <c r="AA54" s="3165"/>
      <c r="AB54" s="3165"/>
      <c r="AC54" s="3165"/>
    </row>
    <row r="55" spans="1:29" s="3168" customFormat="1">
      <c r="A55" s="3165"/>
      <c r="B55" s="3169"/>
      <c r="C55" s="3170"/>
      <c r="D55" s="3165"/>
      <c r="E55" s="3165"/>
      <c r="F55" s="3165"/>
      <c r="G55" s="3165"/>
      <c r="H55" s="3165"/>
      <c r="I55" s="3165"/>
      <c r="J55" s="3165"/>
      <c r="K55" s="3166"/>
      <c r="L55" s="3167"/>
      <c r="M55" s="3165"/>
      <c r="N55" s="3165"/>
      <c r="O55" s="3165"/>
      <c r="P55" s="3165"/>
      <c r="Q55" s="3165"/>
      <c r="R55" s="3165"/>
      <c r="S55" s="3165"/>
      <c r="T55" s="3165"/>
      <c r="U55" s="3165"/>
      <c r="V55" s="3165"/>
      <c r="W55" s="3165"/>
      <c r="X55" s="3165"/>
      <c r="Y55" s="3165"/>
      <c r="Z55" s="3165"/>
      <c r="AA55" s="3165"/>
      <c r="AB55" s="3165"/>
      <c r="AC55" s="3165"/>
    </row>
    <row r="56" spans="1:29">
      <c r="A56" s="3144"/>
      <c r="B56" s="3169"/>
      <c r="C56" s="3170"/>
      <c r="D56" s="3169"/>
      <c r="E56" s="3169"/>
      <c r="F56" s="3169"/>
      <c r="G56" s="3169"/>
      <c r="H56" s="3169"/>
      <c r="I56" s="3169"/>
      <c r="J56" s="3169"/>
      <c r="K56" s="3169"/>
      <c r="L56" s="3169"/>
      <c r="M56" s="3169"/>
      <c r="N56" s="3169"/>
      <c r="O56" s="3169"/>
      <c r="P56" s="3144"/>
      <c r="Q56" s="3144"/>
      <c r="R56" s="3144"/>
      <c r="S56" s="3144"/>
      <c r="T56" s="3144"/>
      <c r="U56" s="3144"/>
      <c r="V56" s="3144"/>
      <c r="W56" s="3144"/>
      <c r="X56" s="3144"/>
      <c r="Y56" s="3144"/>
      <c r="Z56" s="3144"/>
      <c r="AA56" s="3144"/>
      <c r="AB56" s="3144"/>
      <c r="AC56" s="3144"/>
    </row>
    <row r="57" spans="1:29" ht="21.75" thickBot="1">
      <c r="A57" s="3171" t="s">
        <v>3503</v>
      </c>
      <c r="B57" s="3145"/>
      <c r="C57" s="3172"/>
      <c r="D57" s="3172"/>
      <c r="E57" s="3172"/>
      <c r="F57" s="3173"/>
      <c r="G57" s="3173"/>
      <c r="H57" s="3172"/>
      <c r="I57" s="3172"/>
      <c r="J57" s="3172"/>
      <c r="K57" s="3174"/>
      <c r="L57" s="3175"/>
      <c r="M57" s="3172"/>
      <c r="N57" s="3172"/>
      <c r="O57" s="3172"/>
      <c r="P57" s="3176"/>
      <c r="Q57" s="3177"/>
      <c r="R57" s="3144"/>
      <c r="S57" s="3144"/>
      <c r="T57" s="3144"/>
      <c r="U57" s="3144"/>
      <c r="V57" s="3144"/>
      <c r="W57" s="3144"/>
      <c r="X57" s="3144"/>
      <c r="Y57" s="3144"/>
      <c r="Z57" s="3144"/>
      <c r="AA57" s="3144"/>
      <c r="AB57" s="3144"/>
      <c r="AC57" s="3144"/>
    </row>
    <row r="58" spans="1:29" s="3183" customFormat="1" ht="15">
      <c r="A58" s="3178" t="s">
        <v>3450</v>
      </c>
      <c r="B58" s="3179"/>
      <c r="C58" s="3180" t="str">
        <f>YEAR(C7)&amp;"-"&amp;MONTH(C7)</f>
        <v>2018-9</v>
      </c>
      <c r="D58" s="3180">
        <f>EDATE(C58,-1)</f>
        <v>43313</v>
      </c>
      <c r="E58" s="3180">
        <f t="shared" ref="E58:O58" si="16">EDATE(D58,-1)</f>
        <v>43282</v>
      </c>
      <c r="F58" s="3180">
        <f t="shared" si="16"/>
        <v>43252</v>
      </c>
      <c r="G58" s="3180">
        <f t="shared" si="16"/>
        <v>43221</v>
      </c>
      <c r="H58" s="3180">
        <f t="shared" si="16"/>
        <v>43191</v>
      </c>
      <c r="I58" s="3180">
        <f t="shared" si="16"/>
        <v>43160</v>
      </c>
      <c r="J58" s="3180">
        <f t="shared" si="16"/>
        <v>43132</v>
      </c>
      <c r="K58" s="3180">
        <f t="shared" si="16"/>
        <v>43101</v>
      </c>
      <c r="L58" s="3180">
        <f t="shared" si="16"/>
        <v>43070</v>
      </c>
      <c r="M58" s="3180">
        <f t="shared" si="16"/>
        <v>43040</v>
      </c>
      <c r="N58" s="3180">
        <f t="shared" si="16"/>
        <v>43009</v>
      </c>
      <c r="O58" s="3180">
        <f t="shared" si="16"/>
        <v>42979</v>
      </c>
      <c r="P58" s="3181"/>
      <c r="Q58" s="3182"/>
      <c r="R58" s="3182"/>
      <c r="S58" s="3182"/>
      <c r="T58" s="3182"/>
      <c r="U58" s="3182"/>
      <c r="V58" s="3182"/>
      <c r="W58" s="3182"/>
      <c r="X58" s="3182"/>
      <c r="Y58" s="3182"/>
      <c r="Z58" s="3182"/>
      <c r="AA58" s="3182"/>
      <c r="AB58" s="3182"/>
      <c r="AC58" s="3182"/>
    </row>
    <row r="59" spans="1:29" s="3022" customFormat="1" ht="15">
      <c r="A59" s="3184"/>
      <c r="B59" s="3185"/>
      <c r="C59" s="3186">
        <v>100</v>
      </c>
      <c r="D59" s="3187">
        <v>100</v>
      </c>
      <c r="E59" s="3187">
        <v>100</v>
      </c>
      <c r="F59" s="3187">
        <v>99</v>
      </c>
      <c r="G59" s="3187">
        <v>99</v>
      </c>
      <c r="H59" s="3187">
        <v>99</v>
      </c>
      <c r="I59" s="3187">
        <v>98</v>
      </c>
      <c r="J59" s="3187">
        <v>98</v>
      </c>
      <c r="K59" s="3187">
        <v>98</v>
      </c>
      <c r="L59" s="3187"/>
      <c r="M59" s="3187"/>
      <c r="N59" s="3187"/>
      <c r="O59" s="3187"/>
      <c r="P59" s="3177"/>
      <c r="Q59" s="3188"/>
      <c r="R59" s="3188"/>
      <c r="S59" s="3188"/>
      <c r="T59" s="3188"/>
      <c r="U59" s="3188"/>
      <c r="V59" s="3188"/>
      <c r="W59" s="3188"/>
      <c r="X59" s="3188"/>
      <c r="Y59" s="3188"/>
      <c r="Z59" s="3188"/>
      <c r="AA59" s="3188"/>
      <c r="AB59" s="3188"/>
      <c r="AC59" s="3188"/>
    </row>
    <row r="60" spans="1:29" s="3022" customFormat="1" ht="15.75" thickBot="1">
      <c r="A60" s="3189" t="s">
        <v>3504</v>
      </c>
      <c r="B60" s="3190"/>
      <c r="C60" s="3191"/>
      <c r="D60" s="3192"/>
      <c r="E60" s="3192"/>
      <c r="F60" s="3192"/>
      <c r="G60" s="3192"/>
      <c r="H60" s="3192"/>
      <c r="I60" s="3192"/>
      <c r="J60" s="3192"/>
      <c r="K60" s="3192"/>
      <c r="L60" s="3192"/>
      <c r="M60" s="3193"/>
      <c r="N60" s="3192"/>
      <c r="O60" s="3194"/>
      <c r="P60" s="3177"/>
      <c r="Q60" s="3177"/>
      <c r="R60" s="3188"/>
      <c r="S60" s="3188"/>
      <c r="T60" s="3188"/>
      <c r="U60" s="3188"/>
      <c r="V60" s="3188"/>
      <c r="W60" s="3188"/>
      <c r="X60" s="3188"/>
      <c r="Y60" s="3188"/>
      <c r="Z60" s="3188"/>
      <c r="AA60" s="3188"/>
      <c r="AB60" s="3188"/>
      <c r="AC60" s="3188"/>
    </row>
    <row r="61" spans="1:29" s="3022" customFormat="1" ht="15">
      <c r="A61" s="3195" t="s">
        <v>3453</v>
      </c>
      <c r="B61" s="3185"/>
      <c r="C61" s="3196" t="s">
        <v>3454</v>
      </c>
      <c r="D61" s="3197"/>
      <c r="E61" s="3197"/>
      <c r="F61" s="3197"/>
      <c r="G61" s="3197"/>
      <c r="H61" s="3197"/>
      <c r="I61" s="3197"/>
      <c r="J61" s="3197"/>
      <c r="K61" s="3197"/>
      <c r="L61" s="3198"/>
      <c r="M61" s="3199"/>
      <c r="N61" s="3200"/>
      <c r="O61" s="3200"/>
      <c r="P61" s="3201"/>
      <c r="Q61" s="3177"/>
      <c r="R61" s="3188"/>
      <c r="S61" s="3188"/>
      <c r="T61" s="3188"/>
      <c r="U61" s="3188"/>
      <c r="V61" s="3188"/>
      <c r="W61" s="3188"/>
      <c r="X61" s="3188"/>
      <c r="Y61" s="3188"/>
      <c r="Z61" s="3188"/>
      <c r="AA61" s="3188"/>
      <c r="AB61" s="3188"/>
      <c r="AC61" s="3188"/>
    </row>
    <row r="62" spans="1:29" s="3022" customFormat="1" ht="15.75" thickBot="1">
      <c r="A62" s="3195"/>
      <c r="B62" s="3185"/>
      <c r="C62" s="3202">
        <v>100</v>
      </c>
      <c r="D62" s="3187"/>
      <c r="E62" s="3187"/>
      <c r="F62" s="3187"/>
      <c r="G62" s="3187"/>
      <c r="H62" s="3187"/>
      <c r="I62" s="3187"/>
      <c r="J62" s="3187"/>
      <c r="K62" s="3187"/>
      <c r="L62" s="3187"/>
      <c r="M62" s="3203"/>
      <c r="N62" s="3200"/>
      <c r="O62" s="3200"/>
      <c r="P62" s="3177"/>
      <c r="Q62" s="3177"/>
      <c r="R62" s="3188"/>
      <c r="S62" s="3188"/>
      <c r="T62" s="3188"/>
      <c r="U62" s="3188"/>
      <c r="V62" s="3188"/>
      <c r="W62" s="3188"/>
      <c r="X62" s="3188"/>
      <c r="Y62" s="3188"/>
      <c r="Z62" s="3188"/>
      <c r="AA62" s="3188"/>
      <c r="AB62" s="3188"/>
      <c r="AC62" s="3188"/>
    </row>
    <row r="63" spans="1:29">
      <c r="A63" s="3204" t="s">
        <v>3505</v>
      </c>
      <c r="B63" s="3205" t="s">
        <v>3506</v>
      </c>
      <c r="C63" s="3206" t="str">
        <f>C9</f>
        <v>住宅</v>
      </c>
      <c r="D63" s="3207"/>
      <c r="E63" s="3207"/>
      <c r="F63" s="3207"/>
      <c r="G63" s="3207"/>
      <c r="H63" s="3207"/>
      <c r="I63" s="3207"/>
      <c r="J63" s="3207"/>
      <c r="K63" s="3208"/>
      <c r="L63" s="3209"/>
      <c r="M63" s="3210"/>
      <c r="N63" s="3211"/>
      <c r="O63" s="3211"/>
      <c r="P63" s="3212"/>
      <c r="Q63" s="3177"/>
      <c r="R63" s="3144"/>
      <c r="S63" s="3144"/>
      <c r="T63" s="3144"/>
      <c r="U63" s="3144"/>
      <c r="V63" s="3144"/>
      <c r="W63" s="3144"/>
      <c r="X63" s="3144"/>
      <c r="Y63" s="3144"/>
      <c r="Z63" s="3144"/>
      <c r="AA63" s="3144"/>
      <c r="AB63" s="3144"/>
      <c r="AC63" s="3144"/>
    </row>
    <row r="64" spans="1:29" ht="15.75" thickBot="1">
      <c r="A64" s="3213"/>
      <c r="B64" s="3214"/>
      <c r="C64" s="3215">
        <v>100</v>
      </c>
      <c r="D64" s="3215"/>
      <c r="E64" s="3216"/>
      <c r="F64" s="3216"/>
      <c r="G64" s="3216"/>
      <c r="H64" s="3216"/>
      <c r="I64" s="3216"/>
      <c r="J64" s="3216"/>
      <c r="K64" s="3216"/>
      <c r="L64" s="3216"/>
      <c r="M64" s="3217"/>
      <c r="N64" s="3218"/>
      <c r="O64" s="3218"/>
      <c r="P64" s="3212"/>
      <c r="Q64" s="3177"/>
      <c r="R64" s="3144"/>
      <c r="S64" s="3144"/>
      <c r="T64" s="3144"/>
      <c r="U64" s="3144"/>
      <c r="V64" s="3144"/>
      <c r="W64" s="3144"/>
      <c r="X64" s="3144"/>
      <c r="Y64" s="3144"/>
      <c r="Z64" s="3144"/>
      <c r="AA64" s="3144"/>
      <c r="AB64" s="3144"/>
      <c r="AC64" s="3144"/>
    </row>
    <row r="65" spans="1:29" ht="27.75" thickTop="1">
      <c r="A65" s="3213"/>
      <c r="B65" s="3219" t="s">
        <v>3507</v>
      </c>
      <c r="C65" s="3220" t="s">
        <v>3508</v>
      </c>
      <c r="D65" s="3220" t="s">
        <v>3509</v>
      </c>
      <c r="E65" s="3220" t="s">
        <v>3510</v>
      </c>
      <c r="F65" s="3220" t="s">
        <v>3511</v>
      </c>
      <c r="G65" s="3220" t="s">
        <v>3512</v>
      </c>
      <c r="H65" s="3220" t="s">
        <v>3513</v>
      </c>
      <c r="I65" s="3220" t="s">
        <v>3514</v>
      </c>
      <c r="J65" s="3220"/>
      <c r="K65" s="3221"/>
      <c r="L65" s="3222"/>
      <c r="M65" s="3223"/>
      <c r="N65" s="3211"/>
      <c r="O65" s="3211"/>
      <c r="P65" s="3212"/>
      <c r="Q65" s="3177"/>
      <c r="R65" s="3144"/>
      <c r="S65" s="3144"/>
      <c r="T65" s="3144"/>
      <c r="U65" s="3144"/>
      <c r="V65" s="3144"/>
      <c r="W65" s="3144"/>
      <c r="X65" s="3144"/>
      <c r="Y65" s="3144"/>
      <c r="Z65" s="3144"/>
      <c r="AA65" s="3144"/>
      <c r="AB65" s="3144"/>
      <c r="AC65" s="3144"/>
    </row>
    <row r="66" spans="1:29" ht="15.75" thickBot="1">
      <c r="A66" s="3213"/>
      <c r="B66" s="3224"/>
      <c r="C66" s="3225">
        <v>100</v>
      </c>
      <c r="D66" s="3225">
        <f t="shared" ref="D66:I66" si="17">C66-$K10</f>
        <v>99</v>
      </c>
      <c r="E66" s="3225">
        <f t="shared" si="17"/>
        <v>98</v>
      </c>
      <c r="F66" s="3225">
        <f t="shared" si="17"/>
        <v>97</v>
      </c>
      <c r="G66" s="3225">
        <f t="shared" si="17"/>
        <v>96</v>
      </c>
      <c r="H66" s="3225">
        <f t="shared" si="17"/>
        <v>95</v>
      </c>
      <c r="I66" s="3225">
        <f t="shared" si="17"/>
        <v>94</v>
      </c>
      <c r="J66" s="3225"/>
      <c r="K66" s="3225"/>
      <c r="L66" s="3225"/>
      <c r="M66" s="3226"/>
      <c r="N66" s="3218"/>
      <c r="O66" s="3218"/>
      <c r="P66" s="3212"/>
      <c r="Q66" s="3177"/>
      <c r="R66" s="3144"/>
      <c r="S66" s="3144"/>
      <c r="T66" s="3144"/>
      <c r="U66" s="3144"/>
      <c r="V66" s="3144"/>
      <c r="W66" s="3144"/>
      <c r="X66" s="3144"/>
      <c r="Y66" s="3144"/>
      <c r="Z66" s="3144"/>
      <c r="AA66" s="3144"/>
      <c r="AB66" s="3144"/>
      <c r="AC66" s="3144"/>
    </row>
    <row r="67" spans="1:29" ht="15.75" thickTop="1">
      <c r="A67" s="3213"/>
      <c r="B67" s="3227" t="s">
        <v>3515</v>
      </c>
      <c r="C67" s="3228" t="str">
        <f>C68&amp;"（含）"&amp;"-"&amp;D68</f>
        <v>0（含）-1</v>
      </c>
      <c r="D67" s="3228" t="str">
        <f t="shared" ref="D67:L67" si="18">D68&amp;"（含）"&amp;"-"&amp;E68</f>
        <v>1（含）-2</v>
      </c>
      <c r="E67" s="3228" t="str">
        <f t="shared" si="18"/>
        <v>2（含）-3</v>
      </c>
      <c r="F67" s="3228" t="str">
        <f t="shared" si="18"/>
        <v>3（含）-4</v>
      </c>
      <c r="G67" s="3228" t="str">
        <f t="shared" si="18"/>
        <v>4（含）-5</v>
      </c>
      <c r="H67" s="3228" t="str">
        <f t="shared" si="18"/>
        <v>5（含）-6</v>
      </c>
      <c r="I67" s="3228" t="str">
        <f t="shared" si="18"/>
        <v>6（含）-7</v>
      </c>
      <c r="J67" s="3228" t="str">
        <f t="shared" si="18"/>
        <v>7（含）-</v>
      </c>
      <c r="K67" s="3228" t="str">
        <f t="shared" si="18"/>
        <v>（含）-</v>
      </c>
      <c r="L67" s="3228" t="str">
        <f t="shared" si="18"/>
        <v>（含）-</v>
      </c>
      <c r="M67" s="3081" t="str">
        <f>M68&amp;"（含）"&amp;"-"&amp;P68</f>
        <v>（含）-</v>
      </c>
      <c r="N67" s="3218"/>
      <c r="O67" s="3218"/>
      <c r="P67" s="3212"/>
      <c r="Q67" s="3177"/>
      <c r="R67" s="3144"/>
      <c r="S67" s="3144"/>
      <c r="T67" s="3144"/>
      <c r="U67" s="3144"/>
      <c r="V67" s="3144"/>
      <c r="W67" s="3144"/>
      <c r="X67" s="3144"/>
      <c r="Y67" s="3144"/>
      <c r="Z67" s="3144"/>
      <c r="AA67" s="3144"/>
      <c r="AB67" s="3144"/>
      <c r="AC67" s="3144"/>
    </row>
    <row r="68" spans="1:29" ht="15">
      <c r="A68" s="3213"/>
      <c r="B68" s="3229"/>
      <c r="C68" s="3230">
        <v>0</v>
      </c>
      <c r="D68" s="3230">
        <v>1</v>
      </c>
      <c r="E68" s="3230">
        <v>2</v>
      </c>
      <c r="F68" s="3230">
        <v>3</v>
      </c>
      <c r="G68" s="3230">
        <v>4</v>
      </c>
      <c r="H68" s="3230">
        <v>5</v>
      </c>
      <c r="I68" s="3230">
        <v>6</v>
      </c>
      <c r="J68" s="3230">
        <v>7</v>
      </c>
      <c r="K68" s="3231"/>
      <c r="L68" s="3232"/>
      <c r="M68" s="3233"/>
      <c r="N68" s="3211"/>
      <c r="O68" s="3211"/>
      <c r="P68" s="3212"/>
      <c r="Q68" s="3177"/>
      <c r="R68" s="3144"/>
      <c r="S68" s="3144"/>
      <c r="T68" s="3144"/>
      <c r="U68" s="3144"/>
      <c r="V68" s="3144"/>
      <c r="W68" s="3144"/>
      <c r="X68" s="3144"/>
      <c r="Y68" s="3144"/>
      <c r="Z68" s="3144"/>
      <c r="AA68" s="3144"/>
      <c r="AB68" s="3144"/>
      <c r="AC68" s="3144"/>
    </row>
    <row r="69" spans="1:29" ht="15.75" thickBot="1">
      <c r="A69" s="3213"/>
      <c r="B69" s="3214"/>
      <c r="C69" s="3225">
        <v>100</v>
      </c>
      <c r="D69" s="3225">
        <f t="shared" ref="D69:M69" si="19">C69-$K11</f>
        <v>99</v>
      </c>
      <c r="E69" s="3225">
        <f t="shared" si="19"/>
        <v>98</v>
      </c>
      <c r="F69" s="3225">
        <f t="shared" si="19"/>
        <v>97</v>
      </c>
      <c r="G69" s="3225">
        <f t="shared" si="19"/>
        <v>96</v>
      </c>
      <c r="H69" s="3225">
        <f t="shared" si="19"/>
        <v>95</v>
      </c>
      <c r="I69" s="3225">
        <f t="shared" si="19"/>
        <v>94</v>
      </c>
      <c r="J69" s="3225">
        <f t="shared" si="19"/>
        <v>93</v>
      </c>
      <c r="K69" s="3225">
        <f t="shared" si="19"/>
        <v>92</v>
      </c>
      <c r="L69" s="3225">
        <f t="shared" si="19"/>
        <v>91</v>
      </c>
      <c r="M69" s="3226">
        <f t="shared" si="19"/>
        <v>90</v>
      </c>
      <c r="N69" s="3218"/>
      <c r="O69" s="3218"/>
      <c r="P69" s="3212"/>
      <c r="Q69" s="3177"/>
      <c r="R69" s="3144"/>
      <c r="S69" s="3144"/>
      <c r="T69" s="3144"/>
      <c r="U69" s="3144"/>
      <c r="V69" s="3144"/>
      <c r="W69" s="3144"/>
      <c r="X69" s="3144"/>
      <c r="Y69" s="3144"/>
      <c r="Z69" s="3144"/>
      <c r="AA69" s="3144"/>
      <c r="AB69" s="3144"/>
      <c r="AC69" s="3144"/>
    </row>
    <row r="70" spans="1:29" s="3127" customFormat="1" ht="15.75" thickTop="1">
      <c r="A70" s="3234"/>
      <c r="B70" s="3219">
        <f>B12</f>
        <v>111</v>
      </c>
      <c r="C70" s="3235"/>
      <c r="D70" s="3235"/>
      <c r="E70" s="3235"/>
      <c r="F70" s="3235"/>
      <c r="G70" s="3235"/>
      <c r="H70" s="3236"/>
      <c r="I70" s="3236"/>
      <c r="J70" s="3236"/>
      <c r="K70" s="3236"/>
      <c r="L70" s="3237"/>
      <c r="M70" s="3238"/>
      <c r="N70" s="3239"/>
      <c r="O70" s="3239"/>
      <c r="P70" s="3240"/>
      <c r="Q70" s="3241"/>
      <c r="R70" s="3242"/>
      <c r="S70" s="3242"/>
      <c r="T70" s="3242"/>
      <c r="U70" s="3242"/>
      <c r="V70" s="3242"/>
      <c r="W70" s="3242"/>
      <c r="X70" s="3242"/>
      <c r="Y70" s="3242"/>
      <c r="Z70" s="3242"/>
      <c r="AA70" s="3242"/>
      <c r="AB70" s="3242"/>
      <c r="AC70" s="3242"/>
    </row>
    <row r="71" spans="1:29" s="3127" customFormat="1" ht="15.75" thickBot="1">
      <c r="A71" s="3234"/>
      <c r="B71" s="3224"/>
      <c r="C71" s="3243"/>
      <c r="D71" s="3215"/>
      <c r="E71" s="3215"/>
      <c r="F71" s="3215"/>
      <c r="G71" s="3215"/>
      <c r="H71" s="3215"/>
      <c r="I71" s="3215"/>
      <c r="J71" s="3215"/>
      <c r="K71" s="3215"/>
      <c r="L71" s="3215"/>
      <c r="M71" s="3244"/>
      <c r="N71" s="3218"/>
      <c r="O71" s="3218"/>
      <c r="P71" s="3240"/>
      <c r="Q71" s="3241"/>
      <c r="R71" s="3242"/>
      <c r="S71" s="3242"/>
      <c r="T71" s="3242"/>
      <c r="U71" s="3242"/>
      <c r="V71" s="3242"/>
      <c r="W71" s="3242"/>
      <c r="X71" s="3242"/>
      <c r="Y71" s="3242"/>
      <c r="Z71" s="3242"/>
      <c r="AA71" s="3242"/>
      <c r="AB71" s="3242"/>
      <c r="AC71" s="3242"/>
    </row>
    <row r="72" spans="1:29" s="3127" customFormat="1" ht="15.75" thickTop="1">
      <c r="A72" s="3234"/>
      <c r="B72" s="3219">
        <f>B13</f>
        <v>111</v>
      </c>
      <c r="C72" s="3235"/>
      <c r="D72" s="3235"/>
      <c r="E72" s="3235"/>
      <c r="F72" s="3235"/>
      <c r="G72" s="3235"/>
      <c r="H72" s="3236"/>
      <c r="I72" s="3236"/>
      <c r="J72" s="3236"/>
      <c r="K72" s="3236"/>
      <c r="L72" s="3237"/>
      <c r="M72" s="3238"/>
      <c r="N72" s="3239"/>
      <c r="O72" s="3239"/>
      <c r="P72" s="3120"/>
      <c r="Q72" s="3245"/>
      <c r="R72" s="3242"/>
      <c r="S72" s="3242"/>
      <c r="T72" s="3242"/>
      <c r="U72" s="3242"/>
      <c r="V72" s="3242"/>
      <c r="W72" s="3242"/>
      <c r="X72" s="3242"/>
      <c r="Y72" s="3242"/>
      <c r="Z72" s="3242"/>
      <c r="AA72" s="3242"/>
      <c r="AB72" s="3242"/>
      <c r="AC72" s="3242"/>
    </row>
    <row r="73" spans="1:29" s="3127" customFormat="1" ht="15.75" thickBot="1">
      <c r="A73" s="3234"/>
      <c r="B73" s="3224"/>
      <c r="C73" s="3243"/>
      <c r="D73" s="3243"/>
      <c r="E73" s="3243"/>
      <c r="F73" s="3243"/>
      <c r="G73" s="3243"/>
      <c r="H73" s="3246"/>
      <c r="I73" s="3246"/>
      <c r="J73" s="3246"/>
      <c r="K73" s="3246"/>
      <c r="L73" s="3246"/>
      <c r="M73" s="3247"/>
      <c r="N73" s="3239"/>
      <c r="O73" s="3239"/>
      <c r="P73" s="3240"/>
      <c r="Q73" s="3241"/>
      <c r="R73" s="3242"/>
      <c r="S73" s="3242"/>
      <c r="T73" s="3242"/>
      <c r="U73" s="3242"/>
      <c r="V73" s="3242"/>
      <c r="W73" s="3242"/>
      <c r="X73" s="3242"/>
      <c r="Y73" s="3242"/>
      <c r="Z73" s="3242"/>
      <c r="AA73" s="3242"/>
      <c r="AB73" s="3242"/>
      <c r="AC73" s="3242"/>
    </row>
    <row r="74" spans="1:29" s="3127" customFormat="1" ht="15.75" thickTop="1">
      <c r="A74" s="3234"/>
      <c r="B74" s="3227">
        <f>B14</f>
        <v>111</v>
      </c>
      <c r="C74" s="3235"/>
      <c r="D74" s="3235"/>
      <c r="E74" s="3235"/>
      <c r="F74" s="3235"/>
      <c r="G74" s="3197"/>
      <c r="H74" s="3248"/>
      <c r="I74" s="3248"/>
      <c r="J74" s="3248"/>
      <c r="K74" s="3248"/>
      <c r="L74" s="3249"/>
      <c r="M74" s="3250"/>
      <c r="N74" s="3239"/>
      <c r="O74" s="3239"/>
      <c r="P74" s="3251"/>
      <c r="Q74" s="3241"/>
      <c r="R74" s="3242"/>
      <c r="S74" s="3242"/>
      <c r="T74" s="3242"/>
      <c r="U74" s="3242"/>
      <c r="V74" s="3242"/>
      <c r="W74" s="3242"/>
      <c r="X74" s="3242"/>
      <c r="Y74" s="3242"/>
      <c r="Z74" s="3242"/>
      <c r="AA74" s="3242"/>
      <c r="AB74" s="3242"/>
      <c r="AC74" s="3242"/>
    </row>
    <row r="75" spans="1:29" s="3127" customFormat="1" ht="15.75" thickBot="1">
      <c r="A75" s="3252"/>
      <c r="B75" s="3253"/>
      <c r="C75" s="3254"/>
      <c r="D75" s="3254"/>
      <c r="E75" s="3254"/>
      <c r="F75" s="3254"/>
      <c r="G75" s="3254"/>
      <c r="H75" s="3255"/>
      <c r="I75" s="3255"/>
      <c r="J75" s="3255"/>
      <c r="K75" s="3255"/>
      <c r="L75" s="3255"/>
      <c r="M75" s="3256"/>
      <c r="N75" s="3239"/>
      <c r="O75" s="3239"/>
      <c r="P75" s="3240"/>
      <c r="Q75" s="3241"/>
      <c r="R75" s="3242"/>
      <c r="S75" s="3242"/>
      <c r="T75" s="3242"/>
      <c r="U75" s="3242"/>
      <c r="V75" s="3242"/>
      <c r="W75" s="3242"/>
      <c r="X75" s="3242"/>
      <c r="Y75" s="3242"/>
      <c r="Z75" s="3242"/>
      <c r="AA75" s="3242"/>
      <c r="AB75" s="3242"/>
      <c r="AC75" s="3242"/>
    </row>
    <row r="76" spans="1:29">
      <c r="A76" s="3204" t="s">
        <v>3516</v>
      </c>
      <c r="B76" s="3205" t="s">
        <v>3517</v>
      </c>
      <c r="C76" s="3257" t="s">
        <v>3518</v>
      </c>
      <c r="D76" s="3257" t="s">
        <v>3519</v>
      </c>
      <c r="E76" s="3257" t="s">
        <v>3520</v>
      </c>
      <c r="F76" s="3257" t="s">
        <v>3521</v>
      </c>
      <c r="G76" s="3257" t="s">
        <v>3522</v>
      </c>
      <c r="H76" s="3206"/>
      <c r="I76" s="3206"/>
      <c r="J76" s="3206"/>
      <c r="K76" s="3258"/>
      <c r="L76" s="3259"/>
      <c r="M76" s="3260"/>
      <c r="N76" s="3211"/>
      <c r="O76" s="3211"/>
      <c r="P76" s="3261"/>
      <c r="Q76" s="3177"/>
      <c r="R76" s="3144"/>
      <c r="S76" s="3144"/>
      <c r="T76" s="3144"/>
      <c r="U76" s="3144"/>
      <c r="V76" s="3144"/>
      <c r="W76" s="3144"/>
      <c r="X76" s="3144"/>
      <c r="Y76" s="3144"/>
      <c r="Z76" s="3144"/>
      <c r="AA76" s="3144"/>
      <c r="AB76" s="3144"/>
      <c r="AC76" s="3144"/>
    </row>
    <row r="77" spans="1:29" ht="15.75" thickBot="1">
      <c r="A77" s="3213"/>
      <c r="B77" s="3224"/>
      <c r="C77" s="3225">
        <v>100</v>
      </c>
      <c r="D77" s="3225">
        <f>C77-$K15</f>
        <v>97</v>
      </c>
      <c r="E77" s="3225">
        <f>D77-$K15</f>
        <v>94</v>
      </c>
      <c r="F77" s="3225">
        <f>E77-$K15</f>
        <v>91</v>
      </c>
      <c r="G77" s="3225">
        <f>F77-$K15</f>
        <v>88</v>
      </c>
      <c r="H77" s="3225"/>
      <c r="I77" s="3225"/>
      <c r="J77" s="3225"/>
      <c r="K77" s="3225"/>
      <c r="L77" s="3225"/>
      <c r="M77" s="3226"/>
      <c r="N77" s="3218"/>
      <c r="O77" s="3218"/>
      <c r="P77" s="3212"/>
      <c r="Q77" s="3177"/>
      <c r="R77" s="3144"/>
      <c r="S77" s="3144"/>
      <c r="T77" s="3144"/>
      <c r="U77" s="3144"/>
      <c r="V77" s="3144"/>
      <c r="W77" s="3144"/>
      <c r="X77" s="3144"/>
      <c r="Y77" s="3144"/>
      <c r="Z77" s="3144"/>
      <c r="AA77" s="3144"/>
      <c r="AB77" s="3144"/>
      <c r="AC77" s="3144"/>
    </row>
    <row r="78" spans="1:29" ht="15.75" thickTop="1">
      <c r="A78" s="3213"/>
      <c r="B78" s="3219" t="s">
        <v>3523</v>
      </c>
      <c r="C78" s="3262" t="s">
        <v>3518</v>
      </c>
      <c r="D78" s="3262" t="s">
        <v>3519</v>
      </c>
      <c r="E78" s="3262" t="s">
        <v>3520</v>
      </c>
      <c r="F78" s="3262" t="s">
        <v>3521</v>
      </c>
      <c r="G78" s="3262" t="s">
        <v>3522</v>
      </c>
      <c r="H78" s="3220"/>
      <c r="I78" s="3220"/>
      <c r="J78" s="3220"/>
      <c r="K78" s="3221"/>
      <c r="L78" s="3222"/>
      <c r="M78" s="3223"/>
      <c r="N78" s="3211"/>
      <c r="O78" s="3211"/>
      <c r="P78" s="3212"/>
      <c r="Q78" s="3177"/>
      <c r="R78" s="3144"/>
      <c r="S78" s="3144"/>
      <c r="T78" s="3144"/>
      <c r="U78" s="3144"/>
      <c r="V78" s="3144"/>
      <c r="W78" s="3144"/>
      <c r="X78" s="3144"/>
      <c r="Y78" s="3144"/>
      <c r="Z78" s="3144"/>
      <c r="AA78" s="3144"/>
      <c r="AB78" s="3144"/>
      <c r="AC78" s="3144"/>
    </row>
    <row r="79" spans="1:29" ht="15.75" thickBot="1">
      <c r="A79" s="3213"/>
      <c r="B79" s="3224"/>
      <c r="C79" s="3225">
        <v>100</v>
      </c>
      <c r="D79" s="3225">
        <f>C79-$K17</f>
        <v>97</v>
      </c>
      <c r="E79" s="3225">
        <f>D79-$K17</f>
        <v>94</v>
      </c>
      <c r="F79" s="3225">
        <f>E79-$K17</f>
        <v>91</v>
      </c>
      <c r="G79" s="3225">
        <f>F79-$K17</f>
        <v>88</v>
      </c>
      <c r="H79" s="3225"/>
      <c r="I79" s="3225"/>
      <c r="J79" s="3225"/>
      <c r="K79" s="3225"/>
      <c r="L79" s="3225"/>
      <c r="M79" s="3226"/>
      <c r="N79" s="3218"/>
      <c r="O79" s="3218"/>
      <c r="P79" s="3212"/>
      <c r="Q79" s="3177"/>
      <c r="R79" s="3144"/>
      <c r="S79" s="3144"/>
      <c r="T79" s="3144"/>
      <c r="U79" s="3144"/>
      <c r="V79" s="3144"/>
      <c r="W79" s="3144"/>
      <c r="X79" s="3144"/>
      <c r="Y79" s="3144"/>
      <c r="Z79" s="3144"/>
      <c r="AA79" s="3144"/>
      <c r="AB79" s="3144"/>
      <c r="AC79" s="3144"/>
    </row>
    <row r="80" spans="1:29" ht="15.75" thickTop="1">
      <c r="A80" s="3213"/>
      <c r="B80" s="3263" t="s">
        <v>3466</v>
      </c>
      <c r="C80" s="3262" t="s">
        <v>3518</v>
      </c>
      <c r="D80" s="3262" t="s">
        <v>3519</v>
      </c>
      <c r="E80" s="3262" t="s">
        <v>3520</v>
      </c>
      <c r="F80" s="3262" t="s">
        <v>3521</v>
      </c>
      <c r="G80" s="3262" t="s">
        <v>3522</v>
      </c>
      <c r="H80" s="3220"/>
      <c r="I80" s="3220"/>
      <c r="J80" s="3220"/>
      <c r="K80" s="3221"/>
      <c r="L80" s="3222"/>
      <c r="M80" s="3223"/>
      <c r="N80" s="3211"/>
      <c r="O80" s="3211"/>
      <c r="P80" s="3212"/>
      <c r="Q80" s="3177"/>
      <c r="R80" s="3144"/>
      <c r="S80" s="3144"/>
      <c r="T80" s="3144"/>
      <c r="U80" s="3144"/>
      <c r="V80" s="3144"/>
      <c r="W80" s="3144"/>
      <c r="X80" s="3144"/>
      <c r="Y80" s="3144"/>
      <c r="Z80" s="3144"/>
      <c r="AA80" s="3144"/>
      <c r="AB80" s="3144"/>
      <c r="AC80" s="3144"/>
    </row>
    <row r="81" spans="1:29" ht="15.75" thickBot="1">
      <c r="A81" s="3213"/>
      <c r="B81" s="3224"/>
      <c r="C81" s="3225">
        <v>100</v>
      </c>
      <c r="D81" s="3225">
        <f>C81-$K19</f>
        <v>97</v>
      </c>
      <c r="E81" s="3225">
        <f>D81-$K19</f>
        <v>94</v>
      </c>
      <c r="F81" s="3225">
        <f>E81-$K19</f>
        <v>91</v>
      </c>
      <c r="G81" s="3225">
        <f>F81-$K19</f>
        <v>88</v>
      </c>
      <c r="H81" s="3225"/>
      <c r="I81" s="3225"/>
      <c r="J81" s="3225"/>
      <c r="K81" s="3225"/>
      <c r="L81" s="3225"/>
      <c r="M81" s="3226"/>
      <c r="N81" s="3218"/>
      <c r="O81" s="3218"/>
      <c r="P81" s="3212"/>
      <c r="Q81" s="3177"/>
      <c r="R81" s="3144"/>
      <c r="S81" s="3144"/>
      <c r="T81" s="3144"/>
      <c r="U81" s="3144"/>
      <c r="V81" s="3144"/>
      <c r="W81" s="3144"/>
      <c r="X81" s="3144"/>
      <c r="Y81" s="3144"/>
      <c r="Z81" s="3144"/>
      <c r="AA81" s="3144"/>
      <c r="AB81" s="3144"/>
      <c r="AC81" s="3144"/>
    </row>
    <row r="82" spans="1:29" ht="15.75" thickTop="1">
      <c r="A82" s="3213"/>
      <c r="B82" s="3264" t="s">
        <v>3467</v>
      </c>
      <c r="C82" s="3265" t="s">
        <v>3088</v>
      </c>
      <c r="D82" s="3265" t="s">
        <v>3089</v>
      </c>
      <c r="E82" s="3265" t="s">
        <v>3524</v>
      </c>
      <c r="F82" s="3265" t="s">
        <v>3525</v>
      </c>
      <c r="G82" s="3265" t="s">
        <v>3526</v>
      </c>
      <c r="H82" s="3220"/>
      <c r="I82" s="3220"/>
      <c r="J82" s="3220"/>
      <c r="K82" s="3220"/>
      <c r="L82" s="3220"/>
      <c r="M82" s="3266"/>
      <c r="N82" s="3218"/>
      <c r="O82" s="3218"/>
      <c r="P82" s="3212"/>
      <c r="Q82" s="3177"/>
      <c r="R82" s="3144"/>
      <c r="S82" s="3144"/>
      <c r="T82" s="3144"/>
      <c r="U82" s="3144"/>
      <c r="V82" s="3144"/>
      <c r="W82" s="3144"/>
      <c r="X82" s="3144"/>
      <c r="Y82" s="3144"/>
      <c r="Z82" s="3144"/>
      <c r="AA82" s="3144"/>
      <c r="AB82" s="3144"/>
      <c r="AC82" s="3144"/>
    </row>
    <row r="83" spans="1:29" ht="15.75" thickBot="1">
      <c r="A83" s="3213"/>
      <c r="B83" s="3227"/>
      <c r="C83" s="3225">
        <v>100</v>
      </c>
      <c r="D83" s="3225">
        <f>C83-$K21</f>
        <v>99</v>
      </c>
      <c r="E83" s="3225">
        <f>D83-$K21</f>
        <v>98</v>
      </c>
      <c r="F83" s="3225">
        <f>E83-$K21</f>
        <v>97</v>
      </c>
      <c r="G83" s="3225">
        <f>F83-$K21</f>
        <v>96</v>
      </c>
      <c r="H83" s="3267"/>
      <c r="I83" s="3267"/>
      <c r="J83" s="3267"/>
      <c r="K83" s="3267"/>
      <c r="L83" s="3267"/>
      <c r="M83" s="3083"/>
      <c r="N83" s="3218"/>
      <c r="O83" s="3218"/>
      <c r="P83" s="3212"/>
      <c r="Q83" s="3177"/>
      <c r="R83" s="3144"/>
      <c r="S83" s="3144"/>
      <c r="T83" s="3144"/>
      <c r="U83" s="3144"/>
      <c r="V83" s="3144"/>
      <c r="W83" s="3144"/>
      <c r="X83" s="3144"/>
      <c r="Y83" s="3144"/>
      <c r="Z83" s="3144"/>
      <c r="AA83" s="3144"/>
      <c r="AB83" s="3144"/>
      <c r="AC83" s="3144"/>
    </row>
    <row r="84" spans="1:29" ht="15.75" thickTop="1">
      <c r="A84" s="3213"/>
      <c r="B84" s="3219" t="s">
        <v>3527</v>
      </c>
      <c r="C84" s="3262" t="s">
        <v>3518</v>
      </c>
      <c r="D84" s="3262" t="s">
        <v>3519</v>
      </c>
      <c r="E84" s="3262" t="s">
        <v>3520</v>
      </c>
      <c r="F84" s="3262" t="s">
        <v>3521</v>
      </c>
      <c r="G84" s="3262" t="s">
        <v>3522</v>
      </c>
      <c r="H84" s="3220"/>
      <c r="I84" s="3220"/>
      <c r="J84" s="3220"/>
      <c r="K84" s="3221"/>
      <c r="L84" s="3222"/>
      <c r="M84" s="3223"/>
      <c r="N84" s="3211"/>
      <c r="O84" s="3211"/>
      <c r="P84" s="3212"/>
      <c r="Q84" s="3177"/>
      <c r="R84" s="3144"/>
      <c r="S84" s="3144"/>
      <c r="T84" s="3144"/>
      <c r="U84" s="3144"/>
      <c r="V84" s="3144"/>
      <c r="W84" s="3144"/>
      <c r="X84" s="3144"/>
      <c r="Y84" s="3144"/>
      <c r="Z84" s="3144"/>
      <c r="AA84" s="3144"/>
      <c r="AB84" s="3144"/>
      <c r="AC84" s="3144"/>
    </row>
    <row r="85" spans="1:29" ht="15.75" thickBot="1">
      <c r="A85" s="3213"/>
      <c r="B85" s="3224"/>
      <c r="C85" s="3225">
        <v>100</v>
      </c>
      <c r="D85" s="3225">
        <f>C85-$K23</f>
        <v>98</v>
      </c>
      <c r="E85" s="3225">
        <f>D85-$K23</f>
        <v>96</v>
      </c>
      <c r="F85" s="3225">
        <f>E85-$K23</f>
        <v>94</v>
      </c>
      <c r="G85" s="3225">
        <f>F85-$K23</f>
        <v>92</v>
      </c>
      <c r="H85" s="3225"/>
      <c r="I85" s="3225"/>
      <c r="J85" s="3225"/>
      <c r="K85" s="3225"/>
      <c r="L85" s="3225"/>
      <c r="M85" s="3226"/>
      <c r="N85" s="3218"/>
      <c r="O85" s="3218"/>
      <c r="P85" s="3212"/>
      <c r="Q85" s="3177"/>
      <c r="R85" s="3144"/>
      <c r="S85" s="3144"/>
      <c r="T85" s="3144"/>
      <c r="U85" s="3144"/>
      <c r="V85" s="3144"/>
      <c r="W85" s="3144"/>
      <c r="X85" s="3144"/>
      <c r="Y85" s="3144"/>
      <c r="Z85" s="3144"/>
      <c r="AA85" s="3144"/>
      <c r="AB85" s="3144"/>
      <c r="AC85" s="3144"/>
    </row>
    <row r="86" spans="1:29" s="3022" customFormat="1" ht="15.75" thickTop="1">
      <c r="A86" s="3268"/>
      <c r="B86" s="3263" t="s">
        <v>3469</v>
      </c>
      <c r="C86" s="3235"/>
      <c r="D86" s="3235"/>
      <c r="E86" s="3235"/>
      <c r="F86" s="3235"/>
      <c r="G86" s="3235"/>
      <c r="H86" s="3235"/>
      <c r="I86" s="3235"/>
      <c r="J86" s="3235"/>
      <c r="K86" s="3235"/>
      <c r="L86" s="3269"/>
      <c r="M86" s="3270"/>
      <c r="N86" s="3200"/>
      <c r="O86" s="3200"/>
      <c r="P86" s="3212"/>
      <c r="Q86" s="3177"/>
      <c r="R86" s="3188"/>
      <c r="S86" s="3188"/>
      <c r="T86" s="3188"/>
      <c r="U86" s="3188"/>
      <c r="V86" s="3188"/>
      <c r="W86" s="3188"/>
      <c r="X86" s="3188"/>
      <c r="Y86" s="3188"/>
      <c r="Z86" s="3188"/>
      <c r="AA86" s="3188"/>
      <c r="AB86" s="3188"/>
      <c r="AC86" s="3188"/>
    </row>
    <row r="87" spans="1:29" s="3022" customFormat="1" ht="15.75" thickBot="1">
      <c r="A87" s="3268"/>
      <c r="B87" s="3224"/>
      <c r="C87" s="3271">
        <v>100</v>
      </c>
      <c r="D87" s="3225">
        <f>$C$87-($C$86-D86)*$K$25</f>
        <v>100</v>
      </c>
      <c r="E87" s="3225">
        <f t="shared" ref="E87:M87" si="20">$C$87-($C$86-E86)*$K$25</f>
        <v>100</v>
      </c>
      <c r="F87" s="3225">
        <f t="shared" si="20"/>
        <v>100</v>
      </c>
      <c r="G87" s="3225">
        <f t="shared" si="20"/>
        <v>100</v>
      </c>
      <c r="H87" s="3225">
        <f t="shared" si="20"/>
        <v>100</v>
      </c>
      <c r="I87" s="3225">
        <f t="shared" si="20"/>
        <v>100</v>
      </c>
      <c r="J87" s="3225">
        <f t="shared" si="20"/>
        <v>100</v>
      </c>
      <c r="K87" s="3225">
        <f t="shared" si="20"/>
        <v>100</v>
      </c>
      <c r="L87" s="3225">
        <f t="shared" si="20"/>
        <v>100</v>
      </c>
      <c r="M87" s="3225">
        <f t="shared" si="20"/>
        <v>100</v>
      </c>
      <c r="N87" s="3218"/>
      <c r="O87" s="3218"/>
      <c r="P87" s="3212"/>
      <c r="Q87" s="3177"/>
      <c r="R87" s="3188"/>
      <c r="S87" s="3188"/>
      <c r="T87" s="3188"/>
      <c r="U87" s="3188"/>
      <c r="V87" s="3188"/>
      <c r="W87" s="3188"/>
      <c r="X87" s="3188"/>
      <c r="Y87" s="3188"/>
      <c r="Z87" s="3188"/>
      <c r="AA87" s="3188"/>
      <c r="AB87" s="3188"/>
      <c r="AC87" s="3188"/>
    </row>
    <row r="88" spans="1:29" s="3022" customFormat="1" ht="15.75" thickTop="1">
      <c r="A88" s="3268"/>
      <c r="B88" s="3219" t="s">
        <v>3528</v>
      </c>
      <c r="C88" s="3272" t="s">
        <v>3529</v>
      </c>
      <c r="D88" s="3235"/>
      <c r="E88" s="3235"/>
      <c r="F88" s="3273"/>
      <c r="G88" s="3235"/>
      <c r="H88" s="3235"/>
      <c r="I88" s="3235"/>
      <c r="J88" s="3235"/>
      <c r="K88" s="3235"/>
      <c r="L88" s="3235"/>
      <c r="M88" s="3270"/>
      <c r="N88" s="3200"/>
      <c r="O88" s="3200"/>
      <c r="P88" s="3212"/>
      <c r="Q88" s="3177"/>
      <c r="R88" s="3188"/>
      <c r="S88" s="3188"/>
      <c r="T88" s="3188"/>
      <c r="U88" s="3188"/>
      <c r="V88" s="3188"/>
      <c r="W88" s="3188"/>
      <c r="X88" s="3188"/>
      <c r="Y88" s="3188"/>
      <c r="Z88" s="3188"/>
      <c r="AA88" s="3188"/>
      <c r="AB88" s="3188"/>
      <c r="AC88" s="3188"/>
    </row>
    <row r="89" spans="1:29" s="3022" customFormat="1" ht="15.75" thickBot="1">
      <c r="A89" s="3268"/>
      <c r="B89" s="3224"/>
      <c r="C89" s="3271">
        <v>100</v>
      </c>
      <c r="D89" s="3225">
        <f t="shared" ref="D89:M89" si="21">C89-$K26</f>
        <v>99</v>
      </c>
      <c r="E89" s="3225">
        <f t="shared" si="21"/>
        <v>98</v>
      </c>
      <c r="F89" s="3225">
        <f t="shared" si="21"/>
        <v>97</v>
      </c>
      <c r="G89" s="3225">
        <f t="shared" si="21"/>
        <v>96</v>
      </c>
      <c r="H89" s="3225">
        <f t="shared" si="21"/>
        <v>95</v>
      </c>
      <c r="I89" s="3225">
        <f t="shared" si="21"/>
        <v>94</v>
      </c>
      <c r="J89" s="3225">
        <f t="shared" si="21"/>
        <v>93</v>
      </c>
      <c r="K89" s="3225">
        <f t="shared" si="21"/>
        <v>92</v>
      </c>
      <c r="L89" s="3225">
        <f t="shared" si="21"/>
        <v>91</v>
      </c>
      <c r="M89" s="3225">
        <f t="shared" si="21"/>
        <v>90</v>
      </c>
      <c r="N89" s="3218"/>
      <c r="O89" s="3218"/>
      <c r="P89" s="3212"/>
      <c r="Q89" s="3177"/>
      <c r="R89" s="3188"/>
      <c r="S89" s="3188"/>
      <c r="T89" s="3188"/>
      <c r="U89" s="3188"/>
      <c r="V89" s="3188"/>
      <c r="W89" s="3188"/>
      <c r="X89" s="3188"/>
      <c r="Y89" s="3188"/>
      <c r="Z89" s="3188"/>
      <c r="AA89" s="3188"/>
      <c r="AB89" s="3188"/>
      <c r="AC89" s="3188"/>
    </row>
    <row r="90" spans="1:29" s="3127" customFormat="1" ht="15.75" thickTop="1">
      <c r="A90" s="3234"/>
      <c r="B90" s="3219" t="str">
        <f>B27</f>
        <v>道路级别</v>
      </c>
      <c r="C90" s="3235"/>
      <c r="D90" s="3235"/>
      <c r="E90" s="3235"/>
      <c r="F90" s="3235"/>
      <c r="G90" s="3235"/>
      <c r="H90" s="3236"/>
      <c r="I90" s="3236"/>
      <c r="J90" s="3236"/>
      <c r="K90" s="3236"/>
      <c r="L90" s="3237"/>
      <c r="M90" s="3238"/>
      <c r="N90" s="3239"/>
      <c r="O90" s="3239"/>
      <c r="P90" s="3240"/>
      <c r="Q90" s="3241"/>
      <c r="R90" s="3242"/>
      <c r="S90" s="3242"/>
      <c r="T90" s="3242"/>
      <c r="U90" s="3242"/>
      <c r="V90" s="3242"/>
      <c r="W90" s="3242"/>
      <c r="X90" s="3242"/>
      <c r="Y90" s="3242"/>
      <c r="Z90" s="3242"/>
      <c r="AA90" s="3242"/>
      <c r="AB90" s="3242"/>
      <c r="AC90" s="3242"/>
    </row>
    <row r="91" spans="1:29" s="3127" customFormat="1" ht="15.75" thickBot="1">
      <c r="A91" s="3234"/>
      <c r="B91" s="3224"/>
      <c r="C91" s="3243"/>
      <c r="D91" s="3243"/>
      <c r="E91" s="3243"/>
      <c r="F91" s="3243"/>
      <c r="G91" s="3243"/>
      <c r="H91" s="3246"/>
      <c r="I91" s="3246"/>
      <c r="J91" s="3246"/>
      <c r="K91" s="3246"/>
      <c r="L91" s="3246"/>
      <c r="M91" s="3247"/>
      <c r="N91" s="3239"/>
      <c r="O91" s="3239"/>
      <c r="P91" s="3240"/>
      <c r="Q91" s="3241"/>
      <c r="R91" s="3242"/>
      <c r="S91" s="3242"/>
      <c r="T91" s="3242"/>
      <c r="U91" s="3242"/>
      <c r="V91" s="3242"/>
      <c r="W91" s="3242"/>
      <c r="X91" s="3242"/>
      <c r="Y91" s="3242"/>
      <c r="Z91" s="3242"/>
      <c r="AA91" s="3242"/>
      <c r="AB91" s="3242"/>
      <c r="AC91" s="3242"/>
    </row>
    <row r="92" spans="1:29" ht="15.75" thickTop="1">
      <c r="A92" s="3213"/>
      <c r="B92" s="3219">
        <f>B28</f>
        <v>111</v>
      </c>
      <c r="C92" s="3235"/>
      <c r="D92" s="3235"/>
      <c r="E92" s="3235"/>
      <c r="F92" s="3235"/>
      <c r="G92" s="3274"/>
      <c r="H92" s="3274"/>
      <c r="I92" s="3274"/>
      <c r="J92" s="3274"/>
      <c r="K92" s="3275"/>
      <c r="L92" s="3276"/>
      <c r="M92" s="3277"/>
      <c r="N92" s="3211"/>
      <c r="O92" s="3211"/>
      <c r="P92" s="3212"/>
      <c r="Q92" s="3177"/>
      <c r="R92" s="3144"/>
      <c r="S92" s="3144"/>
      <c r="T92" s="3144"/>
      <c r="U92" s="3144"/>
      <c r="V92" s="3144"/>
      <c r="W92" s="3144"/>
      <c r="X92" s="3144"/>
      <c r="Y92" s="3144"/>
      <c r="Z92" s="3144"/>
      <c r="AA92" s="3144"/>
      <c r="AB92" s="3144"/>
      <c r="AC92" s="3144"/>
    </row>
    <row r="93" spans="1:29" ht="15.75" thickBot="1">
      <c r="A93" s="3213"/>
      <c r="B93" s="3224"/>
      <c r="C93" s="3243"/>
      <c r="D93" s="3215"/>
      <c r="E93" s="3215"/>
      <c r="F93" s="3215"/>
      <c r="G93" s="3215"/>
      <c r="H93" s="3215"/>
      <c r="I93" s="3215"/>
      <c r="J93" s="3215"/>
      <c r="K93" s="3215"/>
      <c r="L93" s="3215"/>
      <c r="M93" s="3244"/>
      <c r="N93" s="3218"/>
      <c r="O93" s="3218"/>
      <c r="P93" s="3212"/>
      <c r="Q93" s="3177"/>
      <c r="R93" s="3144"/>
      <c r="S93" s="3144"/>
      <c r="T93" s="3144"/>
      <c r="U93" s="3144"/>
      <c r="V93" s="3144"/>
      <c r="W93" s="3144"/>
      <c r="X93" s="3144"/>
      <c r="Y93" s="3144"/>
      <c r="Z93" s="3144"/>
      <c r="AA93" s="3144"/>
      <c r="AB93" s="3144"/>
      <c r="AC93" s="3144"/>
    </row>
    <row r="94" spans="1:29" ht="15.75" thickTop="1">
      <c r="A94" s="3213"/>
      <c r="B94" s="3219">
        <f>B29</f>
        <v>111</v>
      </c>
      <c r="C94" s="3235"/>
      <c r="D94" s="3235"/>
      <c r="E94" s="3235"/>
      <c r="F94" s="3235"/>
      <c r="G94" s="3274"/>
      <c r="H94" s="3274"/>
      <c r="I94" s="3274"/>
      <c r="J94" s="3274"/>
      <c r="K94" s="3275"/>
      <c r="L94" s="3276"/>
      <c r="M94" s="3277"/>
      <c r="N94" s="3211"/>
      <c r="O94" s="3211"/>
      <c r="P94" s="3212"/>
      <c r="Q94" s="3177"/>
      <c r="R94" s="3144"/>
      <c r="S94" s="3144"/>
      <c r="T94" s="3144"/>
      <c r="U94" s="3144"/>
      <c r="V94" s="3144"/>
      <c r="W94" s="3144"/>
      <c r="X94" s="3144"/>
      <c r="Y94" s="3144"/>
      <c r="Z94" s="3144"/>
      <c r="AA94" s="3144"/>
      <c r="AB94" s="3144"/>
      <c r="AC94" s="3144"/>
    </row>
    <row r="95" spans="1:29" ht="15.75" thickBot="1">
      <c r="A95" s="3213"/>
      <c r="B95" s="3224"/>
      <c r="C95" s="3243"/>
      <c r="D95" s="3243"/>
      <c r="E95" s="3243"/>
      <c r="F95" s="3243"/>
      <c r="G95" s="3215"/>
      <c r="H95" s="3215"/>
      <c r="I95" s="3215"/>
      <c r="J95" s="3215"/>
      <c r="K95" s="3215"/>
      <c r="L95" s="3215"/>
      <c r="M95" s="3244"/>
      <c r="N95" s="3218"/>
      <c r="O95" s="3218"/>
      <c r="P95" s="3212"/>
      <c r="Q95" s="3177"/>
      <c r="R95" s="3144"/>
      <c r="S95" s="3144"/>
      <c r="T95" s="3144"/>
      <c r="U95" s="3144"/>
      <c r="V95" s="3144"/>
      <c r="W95" s="3144"/>
      <c r="X95" s="3144"/>
      <c r="Y95" s="3144"/>
      <c r="Z95" s="3144"/>
      <c r="AA95" s="3144"/>
      <c r="AB95" s="3144"/>
      <c r="AC95" s="3144"/>
    </row>
    <row r="96" spans="1:29" ht="15.75" thickTop="1">
      <c r="A96" s="3213"/>
      <c r="B96" s="3219">
        <f>B30</f>
        <v>111</v>
      </c>
      <c r="C96" s="3235"/>
      <c r="D96" s="3235"/>
      <c r="E96" s="3235"/>
      <c r="F96" s="3235"/>
      <c r="G96" s="3274"/>
      <c r="H96" s="3274"/>
      <c r="I96" s="3274"/>
      <c r="J96" s="3274"/>
      <c r="K96" s="3275"/>
      <c r="L96" s="3276"/>
      <c r="M96" s="3277"/>
      <c r="N96" s="3211"/>
      <c r="O96" s="3211"/>
      <c r="P96" s="3212"/>
      <c r="Q96" s="3177"/>
      <c r="R96" s="3144"/>
      <c r="S96" s="3144"/>
      <c r="T96" s="3144"/>
      <c r="U96" s="3144"/>
      <c r="V96" s="3144"/>
      <c r="W96" s="3144"/>
      <c r="X96" s="3144"/>
      <c r="Y96" s="3144"/>
      <c r="Z96" s="3144"/>
      <c r="AA96" s="3144"/>
      <c r="AB96" s="3144"/>
      <c r="AC96" s="3144"/>
    </row>
    <row r="97" spans="1:29" ht="15.75" thickBot="1">
      <c r="A97" s="3213"/>
      <c r="B97" s="3224"/>
      <c r="C97" s="3254"/>
      <c r="D97" s="3254"/>
      <c r="E97" s="3254"/>
      <c r="F97" s="3254"/>
      <c r="G97" s="3215"/>
      <c r="H97" s="3215"/>
      <c r="I97" s="3215"/>
      <c r="J97" s="3215"/>
      <c r="K97" s="3215"/>
      <c r="L97" s="3215"/>
      <c r="M97" s="3244"/>
      <c r="N97" s="3218"/>
      <c r="O97" s="3218"/>
      <c r="P97" s="3212"/>
      <c r="Q97" s="3177"/>
      <c r="R97" s="3144"/>
      <c r="S97" s="3144"/>
      <c r="T97" s="3144"/>
      <c r="U97" s="3144"/>
      <c r="V97" s="3144"/>
      <c r="W97" s="3144"/>
      <c r="X97" s="3144"/>
      <c r="Y97" s="3144"/>
      <c r="Z97" s="3144"/>
      <c r="AA97" s="3144"/>
      <c r="AB97" s="3144"/>
      <c r="AC97" s="3144"/>
    </row>
    <row r="98" spans="1:29" ht="15.75" thickTop="1">
      <c r="A98" s="3213"/>
      <c r="B98" s="3227">
        <f>B31</f>
        <v>111</v>
      </c>
      <c r="C98" s="3278"/>
      <c r="D98" s="3278"/>
      <c r="E98" s="3278"/>
      <c r="F98" s="3278"/>
      <c r="G98" s="3278"/>
      <c r="H98" s="3278"/>
      <c r="I98" s="3278"/>
      <c r="J98" s="3278"/>
      <c r="K98" s="3279"/>
      <c r="L98" s="3280"/>
      <c r="M98" s="3281"/>
      <c r="N98" s="3211"/>
      <c r="O98" s="3211"/>
      <c r="P98" s="3212"/>
      <c r="Q98" s="3177"/>
      <c r="R98" s="3144"/>
      <c r="S98" s="3144"/>
      <c r="T98" s="3144"/>
      <c r="U98" s="3144"/>
      <c r="V98" s="3144"/>
      <c r="W98" s="3144"/>
      <c r="X98" s="3144"/>
      <c r="Y98" s="3144"/>
      <c r="Z98" s="3144"/>
      <c r="AA98" s="3144"/>
      <c r="AB98" s="3144"/>
      <c r="AC98" s="3144"/>
    </row>
    <row r="99" spans="1:29" ht="15.75" thickBot="1">
      <c r="A99" s="3282"/>
      <c r="B99" s="3253"/>
      <c r="C99" s="3283"/>
      <c r="D99" s="3283"/>
      <c r="E99" s="3283"/>
      <c r="F99" s="3283"/>
      <c r="G99" s="3283"/>
      <c r="H99" s="3283"/>
      <c r="I99" s="3283"/>
      <c r="J99" s="3283"/>
      <c r="K99" s="3283"/>
      <c r="L99" s="3283"/>
      <c r="M99" s="3284"/>
      <c r="N99" s="3218"/>
      <c r="O99" s="3218"/>
      <c r="P99" s="3212"/>
      <c r="Q99" s="3177"/>
      <c r="R99" s="3144"/>
      <c r="S99" s="3144"/>
      <c r="T99" s="3144"/>
      <c r="U99" s="3144"/>
      <c r="V99" s="3144"/>
      <c r="W99" s="3144"/>
      <c r="X99" s="3144"/>
      <c r="Y99" s="3144"/>
      <c r="Z99" s="3144"/>
      <c r="AA99" s="3144"/>
      <c r="AB99" s="3144"/>
      <c r="AC99" s="3144"/>
    </row>
    <row r="100" spans="1:29">
      <c r="A100" s="3204" t="s">
        <v>3530</v>
      </c>
      <c r="B100" s="3205" t="s">
        <v>3531</v>
      </c>
      <c r="C100" s="3285" t="s">
        <v>3532</v>
      </c>
      <c r="D100" s="3285" t="s">
        <v>3533</v>
      </c>
      <c r="E100" s="3285" t="s">
        <v>3534</v>
      </c>
      <c r="F100" s="3207"/>
      <c r="G100" s="3207"/>
      <c r="H100" s="3207"/>
      <c r="I100" s="3207"/>
      <c r="J100" s="3207"/>
      <c r="K100" s="3208"/>
      <c r="L100" s="3209"/>
      <c r="M100" s="3210"/>
      <c r="N100" s="3211"/>
      <c r="O100" s="3211"/>
      <c r="P100" s="3212"/>
      <c r="Q100" s="3177"/>
      <c r="R100" s="3144"/>
      <c r="S100" s="3144"/>
      <c r="T100" s="3144"/>
      <c r="U100" s="3144"/>
      <c r="V100" s="3144"/>
      <c r="W100" s="3144"/>
      <c r="X100" s="3144"/>
      <c r="Y100" s="3144"/>
      <c r="Z100" s="3144"/>
      <c r="AA100" s="3144"/>
      <c r="AB100" s="3144"/>
      <c r="AC100" s="3144"/>
    </row>
    <row r="101" spans="1:29" ht="15.75" thickBot="1">
      <c r="A101" s="3213"/>
      <c r="B101" s="3224"/>
      <c r="C101" s="3225">
        <v>100</v>
      </c>
      <c r="D101" s="3225">
        <f t="shared" ref="D101:M101" si="22">C101-$K32</f>
        <v>85</v>
      </c>
      <c r="E101" s="3225">
        <f t="shared" si="22"/>
        <v>70</v>
      </c>
      <c r="F101" s="3225">
        <f t="shared" si="22"/>
        <v>55</v>
      </c>
      <c r="G101" s="3225">
        <f t="shared" si="22"/>
        <v>40</v>
      </c>
      <c r="H101" s="3225">
        <f t="shared" si="22"/>
        <v>25</v>
      </c>
      <c r="I101" s="3225">
        <f t="shared" si="22"/>
        <v>10</v>
      </c>
      <c r="J101" s="3225">
        <f t="shared" si="22"/>
        <v>-5</v>
      </c>
      <c r="K101" s="3225">
        <f t="shared" si="22"/>
        <v>-20</v>
      </c>
      <c r="L101" s="3225">
        <f t="shared" si="22"/>
        <v>-35</v>
      </c>
      <c r="M101" s="3225">
        <f t="shared" si="22"/>
        <v>-50</v>
      </c>
      <c r="N101" s="3218"/>
      <c r="O101" s="3218"/>
      <c r="P101" s="3212"/>
      <c r="Q101" s="3177"/>
      <c r="R101" s="3144"/>
      <c r="S101" s="3144"/>
      <c r="T101" s="3144"/>
      <c r="U101" s="3144"/>
      <c r="V101" s="3144"/>
      <c r="W101" s="3144"/>
      <c r="X101" s="3144"/>
      <c r="Y101" s="3144"/>
      <c r="Z101" s="3144"/>
      <c r="AA101" s="3144"/>
      <c r="AB101" s="3144"/>
      <c r="AC101" s="3144"/>
    </row>
    <row r="102" spans="1:29" ht="29.25" thickTop="1">
      <c r="A102" s="3213"/>
      <c r="B102" s="3219" t="s">
        <v>3535</v>
      </c>
      <c r="C102" s="3262" t="str">
        <f>C103&amp;"(含)"&amp;"-"&amp;D103</f>
        <v>0(含)-100000</v>
      </c>
      <c r="D102" s="3262" t="str">
        <f t="shared" ref="D102:L102" si="23">D103&amp;"(含)"&amp;"-"&amp;E103</f>
        <v>100000(含)-200000</v>
      </c>
      <c r="E102" s="3262" t="str">
        <f t="shared" si="23"/>
        <v>200000(含)-300000</v>
      </c>
      <c r="F102" s="3262" t="str">
        <f t="shared" si="23"/>
        <v>300000(含)-400000</v>
      </c>
      <c r="G102" s="3262" t="str">
        <f t="shared" si="23"/>
        <v>400000(含)-</v>
      </c>
      <c r="H102" s="3262" t="str">
        <f t="shared" si="23"/>
        <v>(含)-</v>
      </c>
      <c r="I102" s="3262" t="str">
        <f t="shared" si="23"/>
        <v>(含)-</v>
      </c>
      <c r="J102" s="3262" t="str">
        <f t="shared" si="23"/>
        <v>(含)-</v>
      </c>
      <c r="K102" s="3262" t="str">
        <f t="shared" si="23"/>
        <v>(含)-</v>
      </c>
      <c r="L102" s="3262" t="str">
        <f t="shared" si="23"/>
        <v>(含)-</v>
      </c>
      <c r="M102" s="3262" t="str">
        <f>M103&amp;"(含)"&amp;"-"&amp;P103</f>
        <v>(含)-</v>
      </c>
      <c r="N102" s="3200"/>
      <c r="O102" s="3200"/>
      <c r="P102" s="3212"/>
      <c r="Q102" s="3177"/>
      <c r="R102" s="3144"/>
      <c r="S102" s="3144"/>
      <c r="T102" s="3144"/>
      <c r="U102" s="3144"/>
      <c r="V102" s="3144"/>
      <c r="W102" s="3144"/>
      <c r="X102" s="3144"/>
      <c r="Y102" s="3144"/>
      <c r="Z102" s="3144"/>
      <c r="AA102" s="3144"/>
      <c r="AB102" s="3144"/>
      <c r="AC102" s="3144"/>
    </row>
    <row r="103" spans="1:29" s="3127" customFormat="1">
      <c r="A103" s="3286"/>
      <c r="B103" s="3287"/>
      <c r="C103" s="3288">
        <v>0</v>
      </c>
      <c r="D103" s="3288">
        <v>100000</v>
      </c>
      <c r="E103" s="3288">
        <v>200000</v>
      </c>
      <c r="F103" s="3288">
        <v>300000</v>
      </c>
      <c r="G103" s="3288">
        <v>400000</v>
      </c>
      <c r="H103" s="3288"/>
      <c r="I103" s="3288"/>
      <c r="J103" s="3289"/>
      <c r="K103" s="3289"/>
      <c r="L103" s="3290"/>
      <c r="M103" s="3291"/>
      <c r="N103" s="3239"/>
      <c r="O103" s="3239"/>
      <c r="P103" s="3240"/>
      <c r="Q103" s="3241"/>
      <c r="R103" s="3242"/>
      <c r="S103" s="3242"/>
      <c r="T103" s="3242"/>
      <c r="U103" s="3242"/>
      <c r="V103" s="3242"/>
      <c r="W103" s="3242"/>
      <c r="X103" s="3242"/>
      <c r="Y103" s="3242"/>
      <c r="Z103" s="3242"/>
      <c r="AA103" s="3242"/>
      <c r="AB103" s="3242"/>
      <c r="AC103" s="3242"/>
    </row>
    <row r="104" spans="1:29" s="3127" customFormat="1" ht="15.75" thickBot="1">
      <c r="A104" s="3234"/>
      <c r="B104" s="3224"/>
      <c r="C104" s="3243">
        <v>100</v>
      </c>
      <c r="D104" s="3215">
        <v>101</v>
      </c>
      <c r="E104" s="3215">
        <v>102</v>
      </c>
      <c r="F104" s="3215">
        <v>103</v>
      </c>
      <c r="G104" s="3215">
        <v>104</v>
      </c>
      <c r="H104" s="3215"/>
      <c r="I104" s="3215"/>
      <c r="J104" s="3215"/>
      <c r="K104" s="3215"/>
      <c r="L104" s="3215"/>
      <c r="M104" s="3215"/>
      <c r="N104" s="3218"/>
      <c r="O104" s="3218"/>
      <c r="P104" s="3240"/>
      <c r="Q104" s="3241"/>
      <c r="R104" s="3242"/>
      <c r="S104" s="3242"/>
      <c r="T104" s="3242"/>
      <c r="U104" s="3242"/>
      <c r="V104" s="3242"/>
      <c r="W104" s="3242"/>
      <c r="X104" s="3242"/>
      <c r="Y104" s="3242"/>
      <c r="Z104" s="3242"/>
      <c r="AA104" s="3242"/>
      <c r="AB104" s="3242"/>
      <c r="AC104" s="3242"/>
    </row>
    <row r="105" spans="1:29" ht="15" thickTop="1">
      <c r="A105" s="3292"/>
      <c r="B105" s="3219" t="s">
        <v>3536</v>
      </c>
      <c r="C105" s="3272" t="s">
        <v>3537</v>
      </c>
      <c r="D105" s="3235"/>
      <c r="E105" s="3274"/>
      <c r="F105" s="3274"/>
      <c r="G105" s="3274"/>
      <c r="H105" s="3274"/>
      <c r="I105" s="3274"/>
      <c r="J105" s="3274"/>
      <c r="K105" s="3275"/>
      <c r="L105" s="3276"/>
      <c r="M105" s="3277"/>
      <c r="N105" s="3211"/>
      <c r="O105" s="3211"/>
      <c r="P105" s="3212"/>
      <c r="Q105" s="3177"/>
      <c r="R105" s="3144"/>
      <c r="S105" s="3144"/>
      <c r="T105" s="3144"/>
      <c r="U105" s="3144"/>
      <c r="V105" s="3144"/>
      <c r="W105" s="3144"/>
      <c r="X105" s="3144"/>
      <c r="Y105" s="3144"/>
      <c r="Z105" s="3144"/>
      <c r="AA105" s="3144"/>
      <c r="AB105" s="3144"/>
      <c r="AC105" s="3144"/>
    </row>
    <row r="106" spans="1:29" ht="15.75" thickBot="1">
      <c r="A106" s="3213"/>
      <c r="B106" s="3224"/>
      <c r="C106" s="3225">
        <v>100</v>
      </c>
      <c r="D106" s="3225">
        <f t="shared" ref="D106:M106" si="24">C106-$K34</f>
        <v>99</v>
      </c>
      <c r="E106" s="3225">
        <f t="shared" si="24"/>
        <v>98</v>
      </c>
      <c r="F106" s="3225">
        <f t="shared" si="24"/>
        <v>97</v>
      </c>
      <c r="G106" s="3225">
        <f t="shared" si="24"/>
        <v>96</v>
      </c>
      <c r="H106" s="3225">
        <f t="shared" si="24"/>
        <v>95</v>
      </c>
      <c r="I106" s="3225">
        <f t="shared" si="24"/>
        <v>94</v>
      </c>
      <c r="J106" s="3225">
        <f t="shared" si="24"/>
        <v>93</v>
      </c>
      <c r="K106" s="3225">
        <f t="shared" si="24"/>
        <v>92</v>
      </c>
      <c r="L106" s="3225">
        <f t="shared" si="24"/>
        <v>91</v>
      </c>
      <c r="M106" s="3225">
        <f t="shared" si="24"/>
        <v>90</v>
      </c>
      <c r="N106" s="3218"/>
      <c r="O106" s="3218"/>
      <c r="P106" s="3212"/>
      <c r="Q106" s="3177"/>
      <c r="R106" s="3144"/>
      <c r="S106" s="3144"/>
      <c r="T106" s="3144"/>
      <c r="U106" s="3144"/>
      <c r="V106" s="3144"/>
      <c r="W106" s="3144"/>
      <c r="X106" s="3144"/>
      <c r="Y106" s="3144"/>
      <c r="Z106" s="3144"/>
      <c r="AA106" s="3144"/>
      <c r="AB106" s="3144"/>
      <c r="AC106" s="3144"/>
    </row>
    <row r="107" spans="1:29" ht="15" thickTop="1">
      <c r="A107" s="3292"/>
      <c r="B107" s="3219" t="s">
        <v>3538</v>
      </c>
      <c r="C107" s="3293" t="s">
        <v>3539</v>
      </c>
      <c r="D107" s="3293" t="s">
        <v>3540</v>
      </c>
      <c r="E107" s="3274"/>
      <c r="F107" s="3274"/>
      <c r="G107" s="3274"/>
      <c r="H107" s="3274"/>
      <c r="I107" s="3274"/>
      <c r="J107" s="3274"/>
      <c r="K107" s="3275"/>
      <c r="L107" s="3276"/>
      <c r="M107" s="3277"/>
      <c r="N107" s="3211"/>
      <c r="O107" s="3211"/>
      <c r="P107" s="3212"/>
      <c r="Q107" s="3177"/>
      <c r="R107" s="3144"/>
      <c r="S107" s="3144"/>
      <c r="T107" s="3144"/>
      <c r="U107" s="3144"/>
      <c r="V107" s="3144"/>
      <c r="W107" s="3144"/>
      <c r="X107" s="3144"/>
      <c r="Y107" s="3144"/>
      <c r="Z107" s="3144"/>
      <c r="AA107" s="3144"/>
      <c r="AB107" s="3144"/>
      <c r="AC107" s="3144"/>
    </row>
    <row r="108" spans="1:29" ht="15.75" thickBot="1">
      <c r="A108" s="3213"/>
      <c r="B108" s="3224"/>
      <c r="C108" s="3225">
        <v>100</v>
      </c>
      <c r="D108" s="3225">
        <f t="shared" ref="D108:M108" si="25">C108-$K35</f>
        <v>98</v>
      </c>
      <c r="E108" s="3225">
        <f t="shared" si="25"/>
        <v>96</v>
      </c>
      <c r="F108" s="3225">
        <f t="shared" si="25"/>
        <v>94</v>
      </c>
      <c r="G108" s="3225">
        <f t="shared" si="25"/>
        <v>92</v>
      </c>
      <c r="H108" s="3225">
        <f t="shared" si="25"/>
        <v>90</v>
      </c>
      <c r="I108" s="3225">
        <f t="shared" si="25"/>
        <v>88</v>
      </c>
      <c r="J108" s="3225">
        <f t="shared" si="25"/>
        <v>86</v>
      </c>
      <c r="K108" s="3225">
        <f t="shared" si="25"/>
        <v>84</v>
      </c>
      <c r="L108" s="3225">
        <f t="shared" si="25"/>
        <v>82</v>
      </c>
      <c r="M108" s="3225">
        <f t="shared" si="25"/>
        <v>80</v>
      </c>
      <c r="N108" s="3218"/>
      <c r="O108" s="3218"/>
      <c r="P108" s="3212"/>
      <c r="Q108" s="3177"/>
      <c r="R108" s="3144"/>
      <c r="S108" s="3144"/>
      <c r="T108" s="3144"/>
      <c r="U108" s="3144"/>
      <c r="V108" s="3144"/>
      <c r="W108" s="3144"/>
      <c r="X108" s="3144"/>
      <c r="Y108" s="3144"/>
      <c r="Z108" s="3144"/>
      <c r="AA108" s="3144"/>
      <c r="AB108" s="3144"/>
      <c r="AC108" s="3144"/>
    </row>
    <row r="109" spans="1:29" ht="15" thickTop="1">
      <c r="A109" s="3292"/>
      <c r="B109" s="3219" t="s">
        <v>3541</v>
      </c>
      <c r="C109" s="3272" t="s">
        <v>3542</v>
      </c>
      <c r="D109" s="3272" t="s">
        <v>3543</v>
      </c>
      <c r="E109" s="3272" t="s">
        <v>3544</v>
      </c>
      <c r="F109" s="3293" t="s">
        <v>3545</v>
      </c>
      <c r="G109" s="3274"/>
      <c r="H109" s="3274"/>
      <c r="I109" s="3274"/>
      <c r="J109" s="3274"/>
      <c r="K109" s="3275"/>
      <c r="L109" s="3276"/>
      <c r="M109" s="3277"/>
      <c r="N109" s="3211"/>
      <c r="O109" s="3211"/>
      <c r="P109" s="3212"/>
      <c r="Q109" s="3177"/>
      <c r="R109" s="3144"/>
      <c r="S109" s="3144"/>
      <c r="T109" s="3144"/>
      <c r="U109" s="3144"/>
      <c r="V109" s="3144"/>
      <c r="W109" s="3144"/>
      <c r="X109" s="3144"/>
      <c r="Y109" s="3144"/>
      <c r="Z109" s="3144"/>
      <c r="AA109" s="3144"/>
      <c r="AB109" s="3144"/>
      <c r="AC109" s="3144"/>
    </row>
    <row r="110" spans="1:29" ht="15.75" thickBot="1">
      <c r="A110" s="3213"/>
      <c r="B110" s="3224"/>
      <c r="C110" s="3225">
        <v>100</v>
      </c>
      <c r="D110" s="3225">
        <f t="shared" ref="D110:M110" si="26">C110-$K36</f>
        <v>98</v>
      </c>
      <c r="E110" s="3225">
        <f t="shared" si="26"/>
        <v>96</v>
      </c>
      <c r="F110" s="3225">
        <f t="shared" si="26"/>
        <v>94</v>
      </c>
      <c r="G110" s="3225">
        <f t="shared" si="26"/>
        <v>92</v>
      </c>
      <c r="H110" s="3225">
        <f t="shared" si="26"/>
        <v>90</v>
      </c>
      <c r="I110" s="3225">
        <f t="shared" si="26"/>
        <v>88</v>
      </c>
      <c r="J110" s="3225">
        <f t="shared" si="26"/>
        <v>86</v>
      </c>
      <c r="K110" s="3225">
        <f t="shared" si="26"/>
        <v>84</v>
      </c>
      <c r="L110" s="3225">
        <f t="shared" si="26"/>
        <v>82</v>
      </c>
      <c r="M110" s="3225">
        <f t="shared" si="26"/>
        <v>80</v>
      </c>
      <c r="N110" s="3218"/>
      <c r="O110" s="3218"/>
      <c r="P110" s="3212"/>
      <c r="Q110" s="3177"/>
      <c r="R110" s="3144"/>
      <c r="S110" s="3144"/>
      <c r="T110" s="3144"/>
      <c r="U110" s="3144"/>
      <c r="V110" s="3144"/>
      <c r="W110" s="3144"/>
      <c r="X110" s="3144"/>
      <c r="Y110" s="3144"/>
      <c r="Z110" s="3144"/>
      <c r="AA110" s="3144"/>
      <c r="AB110" s="3144"/>
      <c r="AC110" s="3144"/>
    </row>
    <row r="111" spans="1:29" s="3127" customFormat="1" ht="15" thickTop="1">
      <c r="A111" s="3286"/>
      <c r="B111" s="3219" t="s">
        <v>3546</v>
      </c>
      <c r="C111" s="3262" t="str">
        <f>C112&amp;"(含)"&amp;"-"&amp;D112</f>
        <v>0.5(含)-0.6</v>
      </c>
      <c r="D111" s="3262" t="str">
        <f>D112&amp;"(含)"&amp;"-"&amp;E112</f>
        <v>0.6(含)-0.7</v>
      </c>
      <c r="E111" s="3262" t="str">
        <f>E112&amp;"(含)"&amp;"-"&amp;F112</f>
        <v>0.7(含)-0.8</v>
      </c>
      <c r="F111" s="3262" t="str">
        <f>F112&amp;"(含)"&amp;"-"&amp;G112</f>
        <v>0.8(含)-0.9</v>
      </c>
      <c r="G111" s="3262" t="str">
        <f>G112&amp;"(含)"&amp;"-"&amp;ROUND(H112,0)</f>
        <v>0.9(含)-1</v>
      </c>
      <c r="H111" s="3262" t="str">
        <f>ROUND(H112,0)&amp;"(含)"&amp;"-"&amp;I112</f>
        <v>1(含)-</v>
      </c>
      <c r="I111" s="3262"/>
      <c r="J111" s="3294"/>
      <c r="K111" s="3294"/>
      <c r="L111" s="3295"/>
      <c r="M111" s="3296"/>
      <c r="N111" s="3239"/>
      <c r="O111" s="3239"/>
      <c r="P111" s="3240"/>
      <c r="Q111" s="3241"/>
      <c r="R111" s="3242"/>
      <c r="S111" s="3242"/>
      <c r="T111" s="3242"/>
      <c r="U111" s="3242"/>
      <c r="V111" s="3242"/>
      <c r="W111" s="3242"/>
      <c r="X111" s="3242"/>
      <c r="Y111" s="3242"/>
      <c r="Z111" s="3242"/>
      <c r="AA111" s="3242"/>
      <c r="AB111" s="3242"/>
      <c r="AC111" s="3242"/>
    </row>
    <row r="112" spans="1:29" s="3127" customFormat="1">
      <c r="A112" s="3286"/>
      <c r="B112" s="3227"/>
      <c r="C112" s="3297">
        <v>0.5</v>
      </c>
      <c r="D112" s="3297">
        <v>0.6</v>
      </c>
      <c r="E112" s="3297">
        <v>0.7</v>
      </c>
      <c r="F112" s="3297">
        <v>0.8</v>
      </c>
      <c r="G112" s="3297">
        <v>0.9</v>
      </c>
      <c r="H112" s="3297">
        <v>1.0001</v>
      </c>
      <c r="I112" s="3297"/>
      <c r="J112" s="3298"/>
      <c r="K112" s="3298"/>
      <c r="L112" s="3299"/>
      <c r="M112" s="3300"/>
      <c r="N112" s="3239"/>
      <c r="O112" s="3239"/>
      <c r="P112" s="3240"/>
      <c r="Q112" s="3241"/>
      <c r="R112" s="3242"/>
      <c r="S112" s="3242"/>
      <c r="T112" s="3242"/>
      <c r="U112" s="3242"/>
      <c r="V112" s="3242"/>
      <c r="W112" s="3242"/>
      <c r="X112" s="3242"/>
      <c r="Y112" s="3242"/>
      <c r="Z112" s="3242"/>
      <c r="AA112" s="3242"/>
      <c r="AB112" s="3242"/>
      <c r="AC112" s="3242"/>
    </row>
    <row r="113" spans="1:29" s="3127" customFormat="1" ht="15.75" thickBot="1">
      <c r="A113" s="3234"/>
      <c r="B113" s="3224"/>
      <c r="C113" s="3271">
        <v>100</v>
      </c>
      <c r="D113" s="3225">
        <f>C113+$K37</f>
        <v>101</v>
      </c>
      <c r="E113" s="3225">
        <f>D113+$K37</f>
        <v>102</v>
      </c>
      <c r="F113" s="3225">
        <f>E113+$K37</f>
        <v>103</v>
      </c>
      <c r="G113" s="3225">
        <f>F113+$K37</f>
        <v>104</v>
      </c>
      <c r="H113" s="3225">
        <f>G113+$K37</f>
        <v>105</v>
      </c>
      <c r="I113" s="3271"/>
      <c r="J113" s="3301"/>
      <c r="K113" s="3301"/>
      <c r="L113" s="3301"/>
      <c r="M113" s="3302"/>
      <c r="N113" s="3239"/>
      <c r="O113" s="3239"/>
      <c r="P113" s="3240"/>
      <c r="Q113" s="3241"/>
      <c r="R113" s="3242"/>
      <c r="S113" s="3242"/>
      <c r="T113" s="3242"/>
      <c r="U113" s="3242"/>
      <c r="V113" s="3242"/>
      <c r="W113" s="3242"/>
      <c r="X113" s="3242"/>
      <c r="Y113" s="3242"/>
      <c r="Z113" s="3242"/>
      <c r="AA113" s="3242"/>
      <c r="AB113" s="3242"/>
      <c r="AC113" s="3242"/>
    </row>
    <row r="114" spans="1:29" ht="15" thickTop="1">
      <c r="A114" s="3292"/>
      <c r="B114" s="3219" t="s">
        <v>3547</v>
      </c>
      <c r="C114" s="3272" t="s">
        <v>3548</v>
      </c>
      <c r="D114" s="3272" t="s">
        <v>3540</v>
      </c>
      <c r="E114" s="3274"/>
      <c r="F114" s="3274"/>
      <c r="G114" s="3274"/>
      <c r="H114" s="3274"/>
      <c r="I114" s="3274"/>
      <c r="J114" s="3274"/>
      <c r="K114" s="3275"/>
      <c r="L114" s="3276"/>
      <c r="M114" s="3277"/>
      <c r="N114" s="3211"/>
      <c r="O114" s="3211"/>
      <c r="P114" s="3212"/>
      <c r="Q114" s="3177"/>
      <c r="R114" s="3144"/>
      <c r="S114" s="3144"/>
      <c r="T114" s="3144"/>
      <c r="U114" s="3144"/>
      <c r="V114" s="3144"/>
      <c r="W114" s="3144"/>
      <c r="X114" s="3144"/>
      <c r="Y114" s="3144"/>
      <c r="Z114" s="3144"/>
      <c r="AA114" s="3144"/>
      <c r="AB114" s="3144"/>
      <c r="AC114" s="3144"/>
    </row>
    <row r="115" spans="1:29" ht="15.75" thickBot="1">
      <c r="A115" s="3213"/>
      <c r="B115" s="3224"/>
      <c r="C115" s="3225">
        <v>100</v>
      </c>
      <c r="D115" s="3225">
        <f t="shared" ref="D115:M115" si="27">C115-$K38</f>
        <v>98</v>
      </c>
      <c r="E115" s="3225">
        <f t="shared" si="27"/>
        <v>96</v>
      </c>
      <c r="F115" s="3225">
        <f t="shared" si="27"/>
        <v>94</v>
      </c>
      <c r="G115" s="3225">
        <f t="shared" si="27"/>
        <v>92</v>
      </c>
      <c r="H115" s="3225">
        <f t="shared" si="27"/>
        <v>90</v>
      </c>
      <c r="I115" s="3225">
        <f t="shared" si="27"/>
        <v>88</v>
      </c>
      <c r="J115" s="3225">
        <f t="shared" si="27"/>
        <v>86</v>
      </c>
      <c r="K115" s="3225">
        <f t="shared" si="27"/>
        <v>84</v>
      </c>
      <c r="L115" s="3225">
        <f t="shared" si="27"/>
        <v>82</v>
      </c>
      <c r="M115" s="3225">
        <f t="shared" si="27"/>
        <v>80</v>
      </c>
      <c r="N115" s="3218"/>
      <c r="O115" s="3218"/>
      <c r="P115" s="3212"/>
      <c r="Q115" s="3177"/>
      <c r="R115" s="3144"/>
      <c r="S115" s="3144"/>
      <c r="T115" s="3144"/>
      <c r="U115" s="3144"/>
      <c r="V115" s="3144"/>
      <c r="W115" s="3144"/>
      <c r="X115" s="3144"/>
      <c r="Y115" s="3144"/>
      <c r="Z115" s="3144"/>
      <c r="AA115" s="3144"/>
      <c r="AB115" s="3144"/>
      <c r="AC115" s="3144"/>
    </row>
    <row r="116" spans="1:29" ht="15" thickTop="1">
      <c r="A116" s="3292"/>
      <c r="B116" s="3263" t="s">
        <v>3491</v>
      </c>
      <c r="C116" s="3235" t="s">
        <v>3095</v>
      </c>
      <c r="D116" s="3235" t="s">
        <v>3549</v>
      </c>
      <c r="E116" s="3235" t="s">
        <v>3550</v>
      </c>
      <c r="F116" s="3235" t="s">
        <v>3551</v>
      </c>
      <c r="G116" s="3235" t="s">
        <v>3425</v>
      </c>
      <c r="H116" s="3274"/>
      <c r="I116" s="3274"/>
      <c r="J116" s="3274"/>
      <c r="K116" s="3275"/>
      <c r="L116" s="3276"/>
      <c r="M116" s="3277"/>
      <c r="N116" s="3211"/>
      <c r="O116" s="3211"/>
      <c r="P116" s="3212"/>
      <c r="Q116" s="3177"/>
      <c r="R116" s="3144"/>
      <c r="S116" s="3144"/>
      <c r="T116" s="3144"/>
      <c r="U116" s="3144"/>
      <c r="V116" s="3144"/>
      <c r="W116" s="3144"/>
      <c r="X116" s="3144"/>
      <c r="Y116" s="3144"/>
      <c r="Z116" s="3144"/>
      <c r="AA116" s="3144"/>
      <c r="AB116" s="3144"/>
      <c r="AC116" s="3144"/>
    </row>
    <row r="117" spans="1:29" ht="15.75" thickBot="1">
      <c r="A117" s="3213"/>
      <c r="B117" s="3224"/>
      <c r="C117" s="3225">
        <v>100</v>
      </c>
      <c r="D117" s="3225">
        <f>C117-$K39</f>
        <v>99</v>
      </c>
      <c r="E117" s="3225">
        <f>D117-$K39</f>
        <v>98</v>
      </c>
      <c r="F117" s="3225">
        <f>E117-$K39</f>
        <v>97</v>
      </c>
      <c r="G117" s="3225">
        <f>F117-$K39</f>
        <v>96</v>
      </c>
      <c r="H117" s="3225"/>
      <c r="I117" s="3225"/>
      <c r="J117" s="3225"/>
      <c r="K117" s="3225"/>
      <c r="L117" s="3225"/>
      <c r="M117" s="3226"/>
      <c r="N117" s="3218"/>
      <c r="O117" s="3218"/>
      <c r="P117" s="3212"/>
      <c r="Q117" s="3177"/>
      <c r="R117" s="3144"/>
      <c r="S117" s="3144"/>
      <c r="T117" s="3144"/>
      <c r="U117" s="3144"/>
      <c r="V117" s="3144"/>
      <c r="W117" s="3144"/>
      <c r="X117" s="3144"/>
      <c r="Y117" s="3144"/>
      <c r="Z117" s="3144"/>
      <c r="AA117" s="3144"/>
      <c r="AB117" s="3144"/>
      <c r="AC117" s="3144"/>
    </row>
    <row r="118" spans="1:29" ht="15" thickTop="1">
      <c r="A118" s="3292"/>
      <c r="B118" s="3219" t="s">
        <v>3552</v>
      </c>
      <c r="C118" s="3274"/>
      <c r="D118" s="3274"/>
      <c r="E118" s="3274"/>
      <c r="F118" s="3274"/>
      <c r="G118" s="3274"/>
      <c r="H118" s="3274"/>
      <c r="I118" s="3274"/>
      <c r="J118" s="3274"/>
      <c r="K118" s="3275"/>
      <c r="L118" s="3276"/>
      <c r="M118" s="3277"/>
      <c r="N118" s="3211"/>
      <c r="O118" s="3211"/>
      <c r="P118" s="3212"/>
      <c r="Q118" s="3177"/>
      <c r="R118" s="3144"/>
      <c r="S118" s="3144"/>
      <c r="T118" s="3144"/>
      <c r="U118" s="3144"/>
      <c r="V118" s="3144"/>
      <c r="W118" s="3144"/>
      <c r="X118" s="3144"/>
      <c r="Y118" s="3144"/>
      <c r="Z118" s="3144"/>
      <c r="AA118" s="3144"/>
      <c r="AB118" s="3144"/>
      <c r="AC118" s="3144"/>
    </row>
    <row r="119" spans="1:29" ht="15.75" thickBot="1">
      <c r="A119" s="3213"/>
      <c r="B119" s="3224"/>
      <c r="C119" s="3225">
        <v>100</v>
      </c>
      <c r="D119" s="3225">
        <f t="shared" ref="D119:M119" si="28">C119-$K40</f>
        <v>99</v>
      </c>
      <c r="E119" s="3225">
        <f t="shared" si="28"/>
        <v>98</v>
      </c>
      <c r="F119" s="3225">
        <f t="shared" si="28"/>
        <v>97</v>
      </c>
      <c r="G119" s="3225">
        <f t="shared" si="28"/>
        <v>96</v>
      </c>
      <c r="H119" s="3225">
        <f t="shared" si="28"/>
        <v>95</v>
      </c>
      <c r="I119" s="3225">
        <f t="shared" si="28"/>
        <v>94</v>
      </c>
      <c r="J119" s="3225">
        <f t="shared" si="28"/>
        <v>93</v>
      </c>
      <c r="K119" s="3225">
        <f t="shared" si="28"/>
        <v>92</v>
      </c>
      <c r="L119" s="3225">
        <f t="shared" si="28"/>
        <v>91</v>
      </c>
      <c r="M119" s="3225">
        <f t="shared" si="28"/>
        <v>90</v>
      </c>
      <c r="N119" s="3218"/>
      <c r="O119" s="3218"/>
      <c r="P119" s="3212"/>
      <c r="Q119" s="3177"/>
      <c r="R119" s="3144"/>
      <c r="S119" s="3144"/>
      <c r="T119" s="3144"/>
      <c r="U119" s="3144"/>
      <c r="V119" s="3144"/>
      <c r="W119" s="3144"/>
      <c r="X119" s="3144"/>
      <c r="Y119" s="3144"/>
      <c r="Z119" s="3144"/>
      <c r="AA119" s="3144"/>
      <c r="AB119" s="3144"/>
      <c r="AC119" s="3144"/>
    </row>
    <row r="120" spans="1:29" s="3127" customFormat="1" ht="28.5" thickTop="1">
      <c r="A120" s="3286"/>
      <c r="B120" s="3219" t="s">
        <v>3493</v>
      </c>
      <c r="C120" s="3235"/>
      <c r="D120" s="3235"/>
      <c r="E120" s="3235"/>
      <c r="F120" s="3235"/>
      <c r="G120" s="3235"/>
      <c r="H120" s="3235"/>
      <c r="I120" s="3235"/>
      <c r="J120" s="3235"/>
      <c r="K120" s="3235"/>
      <c r="L120" s="3269"/>
      <c r="M120" s="3270"/>
      <c r="N120" s="3239"/>
      <c r="O120" s="3239"/>
      <c r="P120" s="3240"/>
      <c r="Q120" s="3241"/>
      <c r="R120" s="3242"/>
      <c r="S120" s="3242"/>
      <c r="T120" s="3242"/>
      <c r="U120" s="3242"/>
      <c r="V120" s="3242"/>
      <c r="W120" s="3242"/>
      <c r="X120" s="3242"/>
      <c r="Y120" s="3242"/>
      <c r="Z120" s="3242"/>
      <c r="AA120" s="3242"/>
      <c r="AB120" s="3242"/>
      <c r="AC120" s="3242"/>
    </row>
    <row r="121" spans="1:29" s="3127" customFormat="1" ht="15.75" thickBot="1">
      <c r="A121" s="3234"/>
      <c r="B121" s="3214"/>
      <c r="C121" s="3243"/>
      <c r="D121" s="3215"/>
      <c r="E121" s="3215"/>
      <c r="F121" s="3215"/>
      <c r="G121" s="3215"/>
      <c r="H121" s="3215"/>
      <c r="I121" s="3215"/>
      <c r="J121" s="3215"/>
      <c r="K121" s="3215"/>
      <c r="L121" s="3215"/>
      <c r="M121" s="3215"/>
      <c r="N121" s="3239"/>
      <c r="O121" s="3239"/>
      <c r="P121" s="3240"/>
      <c r="Q121" s="3241"/>
      <c r="R121" s="3242"/>
      <c r="S121" s="3242"/>
      <c r="T121" s="3242"/>
      <c r="U121" s="3242"/>
      <c r="V121" s="3242"/>
      <c r="W121" s="3242"/>
      <c r="X121" s="3242"/>
      <c r="Y121" s="3242"/>
      <c r="Z121" s="3242"/>
      <c r="AA121" s="3242"/>
      <c r="AB121" s="3242"/>
      <c r="AC121" s="3242"/>
    </row>
    <row r="122" spans="1:29" ht="15" thickTop="1">
      <c r="A122" s="3292"/>
      <c r="B122" s="3219" t="s">
        <v>3553</v>
      </c>
      <c r="C122" s="3272" t="s">
        <v>3542</v>
      </c>
      <c r="D122" s="3272" t="s">
        <v>3543</v>
      </c>
      <c r="E122" s="3272" t="s">
        <v>3544</v>
      </c>
      <c r="F122" s="3293" t="s">
        <v>3545</v>
      </c>
      <c r="G122" s="3274"/>
      <c r="H122" s="3274"/>
      <c r="I122" s="3274"/>
      <c r="J122" s="3274"/>
      <c r="K122" s="3275"/>
      <c r="L122" s="3276"/>
      <c r="M122" s="3277"/>
      <c r="N122" s="3211"/>
      <c r="O122" s="3211"/>
      <c r="P122" s="3212"/>
      <c r="Q122" s="3177"/>
      <c r="R122" s="3144"/>
      <c r="S122" s="3144"/>
      <c r="T122" s="3144"/>
      <c r="U122" s="3144"/>
      <c r="V122" s="3144"/>
      <c r="W122" s="3144"/>
      <c r="X122" s="3144"/>
      <c r="Y122" s="3144"/>
      <c r="Z122" s="3144"/>
      <c r="AA122" s="3144"/>
      <c r="AB122" s="3144"/>
      <c r="AC122" s="3144"/>
    </row>
    <row r="123" spans="1:29" ht="15.75" thickBot="1">
      <c r="A123" s="3213"/>
      <c r="B123" s="3224"/>
      <c r="C123" s="3225">
        <v>100</v>
      </c>
      <c r="D123" s="3225">
        <f t="shared" ref="D123:M123" si="29">C123-$K42</f>
        <v>95</v>
      </c>
      <c r="E123" s="3225">
        <f t="shared" si="29"/>
        <v>90</v>
      </c>
      <c r="F123" s="3225">
        <f t="shared" si="29"/>
        <v>85</v>
      </c>
      <c r="G123" s="3225">
        <f t="shared" si="29"/>
        <v>80</v>
      </c>
      <c r="H123" s="3225">
        <f t="shared" si="29"/>
        <v>75</v>
      </c>
      <c r="I123" s="3225">
        <f t="shared" si="29"/>
        <v>70</v>
      </c>
      <c r="J123" s="3225">
        <f t="shared" si="29"/>
        <v>65</v>
      </c>
      <c r="K123" s="3225">
        <f t="shared" si="29"/>
        <v>60</v>
      </c>
      <c r="L123" s="3225">
        <f t="shared" si="29"/>
        <v>55</v>
      </c>
      <c r="M123" s="3225">
        <f t="shared" si="29"/>
        <v>50</v>
      </c>
      <c r="N123" s="3218"/>
      <c r="O123" s="3218"/>
      <c r="P123" s="3212"/>
      <c r="Q123" s="3177"/>
      <c r="R123" s="3144"/>
      <c r="S123" s="3144"/>
      <c r="T123" s="3144"/>
      <c r="U123" s="3144"/>
      <c r="V123" s="3144"/>
      <c r="W123" s="3144"/>
      <c r="X123" s="3144"/>
      <c r="Y123" s="3144"/>
      <c r="Z123" s="3144"/>
      <c r="AA123" s="3144"/>
      <c r="AB123" s="3144"/>
      <c r="AC123" s="3144"/>
    </row>
    <row r="124" spans="1:29" ht="27.75" thickTop="1">
      <c r="A124" s="3292"/>
      <c r="B124" s="3219" t="s">
        <v>3554</v>
      </c>
      <c r="C124" s="3262" t="s">
        <v>3518</v>
      </c>
      <c r="D124" s="3262" t="s">
        <v>3519</v>
      </c>
      <c r="E124" s="3262" t="s">
        <v>3520</v>
      </c>
      <c r="F124" s="3262" t="s">
        <v>3521</v>
      </c>
      <c r="G124" s="3262" t="s">
        <v>3522</v>
      </c>
      <c r="H124" s="3220"/>
      <c r="I124" s="3220"/>
      <c r="J124" s="3220"/>
      <c r="K124" s="3221"/>
      <c r="L124" s="3222"/>
      <c r="M124" s="3223"/>
      <c r="N124" s="3211"/>
      <c r="O124" s="3211"/>
      <c r="P124" s="3240"/>
      <c r="Q124" s="3177"/>
      <c r="R124" s="3144"/>
      <c r="S124" s="3144"/>
      <c r="T124" s="3144"/>
      <c r="U124" s="3144"/>
      <c r="V124" s="3144"/>
      <c r="W124" s="3144"/>
      <c r="X124" s="3144"/>
      <c r="Y124" s="3144"/>
      <c r="Z124" s="3144"/>
      <c r="AA124" s="3144"/>
      <c r="AB124" s="3144"/>
      <c r="AC124" s="3144"/>
    </row>
    <row r="125" spans="1:29" ht="15.75" thickBot="1">
      <c r="A125" s="3213"/>
      <c r="B125" s="3224"/>
      <c r="C125" s="3225">
        <v>100</v>
      </c>
      <c r="D125" s="3225">
        <f>C125-$K43</f>
        <v>99</v>
      </c>
      <c r="E125" s="3225">
        <f>D125-$K43</f>
        <v>98</v>
      </c>
      <c r="F125" s="3225">
        <f>E125-$K43</f>
        <v>97</v>
      </c>
      <c r="G125" s="3225">
        <f>F125-$K43</f>
        <v>96</v>
      </c>
      <c r="H125" s="3225"/>
      <c r="I125" s="3225"/>
      <c r="J125" s="3225"/>
      <c r="K125" s="3225"/>
      <c r="L125" s="3225"/>
      <c r="M125" s="3226"/>
      <c r="N125" s="3218"/>
      <c r="O125" s="3218"/>
      <c r="P125" s="3212"/>
      <c r="Q125" s="3177"/>
      <c r="R125" s="3144"/>
      <c r="S125" s="3144"/>
      <c r="T125" s="3144"/>
      <c r="U125" s="3144"/>
      <c r="V125" s="3144"/>
      <c r="W125" s="3144"/>
      <c r="X125" s="3144"/>
      <c r="Y125" s="3144"/>
      <c r="Z125" s="3144"/>
      <c r="AA125" s="3144"/>
      <c r="AB125" s="3144"/>
      <c r="AC125" s="3144"/>
    </row>
    <row r="126" spans="1:29" s="3127" customFormat="1" ht="15" thickTop="1">
      <c r="A126" s="3286"/>
      <c r="B126" s="3219">
        <f>B44</f>
        <v>111</v>
      </c>
      <c r="C126" s="3235"/>
      <c r="D126" s="3235"/>
      <c r="E126" s="3235"/>
      <c r="F126" s="3235"/>
      <c r="G126" s="3235"/>
      <c r="H126" s="3236"/>
      <c r="I126" s="3236"/>
      <c r="J126" s="3236"/>
      <c r="K126" s="3236"/>
      <c r="L126" s="3237"/>
      <c r="M126" s="3238"/>
      <c r="N126" s="3239"/>
      <c r="O126" s="3239"/>
      <c r="P126" s="3240"/>
      <c r="Q126" s="3241"/>
      <c r="R126" s="3242"/>
      <c r="S126" s="3242"/>
      <c r="T126" s="3242"/>
      <c r="U126" s="3242"/>
      <c r="V126" s="3242"/>
      <c r="W126" s="3242"/>
      <c r="X126" s="3242"/>
      <c r="Y126" s="3242"/>
      <c r="Z126" s="3242"/>
      <c r="AA126" s="3242"/>
      <c r="AB126" s="3242"/>
      <c r="AC126" s="3242"/>
    </row>
    <row r="127" spans="1:29" s="3127" customFormat="1" ht="15.75" thickBot="1">
      <c r="A127" s="3234"/>
      <c r="B127" s="3224"/>
      <c r="C127" s="3243"/>
      <c r="D127" s="3215"/>
      <c r="E127" s="3215"/>
      <c r="F127" s="3215"/>
      <c r="G127" s="3243"/>
      <c r="H127" s="3246"/>
      <c r="I127" s="3246"/>
      <c r="J127" s="3246"/>
      <c r="K127" s="3246"/>
      <c r="L127" s="3246"/>
      <c r="M127" s="3247"/>
      <c r="N127" s="3239"/>
      <c r="O127" s="3239"/>
      <c r="P127" s="3240"/>
      <c r="Q127" s="3241"/>
      <c r="R127" s="3242"/>
      <c r="S127" s="3242"/>
      <c r="T127" s="3242"/>
      <c r="U127" s="3242"/>
      <c r="V127" s="3242"/>
      <c r="W127" s="3242"/>
      <c r="X127" s="3242"/>
      <c r="Y127" s="3242"/>
      <c r="Z127" s="3242"/>
      <c r="AA127" s="3242"/>
      <c r="AB127" s="3242"/>
      <c r="AC127" s="3242"/>
    </row>
    <row r="128" spans="1:29" ht="15" thickTop="1">
      <c r="A128" s="3292"/>
      <c r="B128" s="3219">
        <f>B45</f>
        <v>111</v>
      </c>
      <c r="C128" s="3235"/>
      <c r="D128" s="3235"/>
      <c r="E128" s="3235"/>
      <c r="F128" s="3235"/>
      <c r="G128" s="3274"/>
      <c r="H128" s="3274"/>
      <c r="I128" s="3274"/>
      <c r="J128" s="3274"/>
      <c r="K128" s="3275"/>
      <c r="L128" s="3276"/>
      <c r="M128" s="3277"/>
      <c r="N128" s="3211"/>
      <c r="O128" s="3211"/>
      <c r="P128" s="3212"/>
      <c r="Q128" s="3177"/>
      <c r="R128" s="3144"/>
      <c r="S128" s="3144"/>
      <c r="T128" s="3144"/>
      <c r="U128" s="3144"/>
      <c r="V128" s="3144"/>
      <c r="W128" s="3144"/>
      <c r="X128" s="3144"/>
      <c r="Y128" s="3144"/>
      <c r="Z128" s="3144"/>
      <c r="AA128" s="3144"/>
      <c r="AB128" s="3144"/>
      <c r="AC128" s="3144"/>
    </row>
    <row r="129" spans="1:29" ht="15.75" thickBot="1">
      <c r="A129" s="3213"/>
      <c r="B129" s="3224"/>
      <c r="C129" s="3243"/>
      <c r="D129" s="3243"/>
      <c r="E129" s="3243"/>
      <c r="F129" s="3243"/>
      <c r="G129" s="3215"/>
      <c r="H129" s="3215"/>
      <c r="I129" s="3215"/>
      <c r="J129" s="3215"/>
      <c r="K129" s="3215"/>
      <c r="L129" s="3215"/>
      <c r="M129" s="3244"/>
      <c r="N129" s="3218"/>
      <c r="O129" s="3218"/>
      <c r="P129" s="3212"/>
      <c r="Q129" s="3177"/>
      <c r="R129" s="3144"/>
      <c r="S129" s="3144"/>
      <c r="T129" s="3144"/>
      <c r="U129" s="3144"/>
      <c r="V129" s="3144"/>
      <c r="W129" s="3144"/>
      <c r="X129" s="3144"/>
      <c r="Y129" s="3144"/>
      <c r="Z129" s="3144"/>
      <c r="AA129" s="3144"/>
      <c r="AB129" s="3144"/>
      <c r="AC129" s="3144"/>
    </row>
    <row r="130" spans="1:29" ht="15" thickTop="1">
      <c r="A130" s="3292"/>
      <c r="B130" s="3227">
        <f>B46</f>
        <v>111</v>
      </c>
      <c r="C130" s="3235"/>
      <c r="D130" s="3235"/>
      <c r="E130" s="3235"/>
      <c r="F130" s="3235"/>
      <c r="G130" s="3278"/>
      <c r="H130" s="3278"/>
      <c r="I130" s="3278"/>
      <c r="J130" s="3278"/>
      <c r="K130" s="3197"/>
      <c r="L130" s="3198"/>
      <c r="M130" s="3281"/>
      <c r="N130" s="3211"/>
      <c r="O130" s="3211"/>
      <c r="P130" s="3212"/>
      <c r="Q130" s="3177"/>
      <c r="R130" s="3144"/>
      <c r="S130" s="3144"/>
      <c r="T130" s="3144"/>
      <c r="U130" s="3144"/>
      <c r="V130" s="3144"/>
      <c r="W130" s="3144"/>
      <c r="X130" s="3144"/>
      <c r="Y130" s="3144"/>
      <c r="Z130" s="3144"/>
      <c r="AA130" s="3144"/>
      <c r="AB130" s="3144"/>
      <c r="AC130" s="3144"/>
    </row>
    <row r="131" spans="1:29" ht="15.75" thickBot="1">
      <c r="A131" s="3282"/>
      <c r="B131" s="3253"/>
      <c r="C131" s="3254"/>
      <c r="D131" s="3254"/>
      <c r="E131" s="3254"/>
      <c r="F131" s="3254"/>
      <c r="G131" s="3283"/>
      <c r="H131" s="3283"/>
      <c r="I131" s="3283"/>
      <c r="J131" s="3283"/>
      <c r="K131" s="3283"/>
      <c r="L131" s="3283"/>
      <c r="M131" s="3284"/>
      <c r="N131" s="3218"/>
      <c r="O131" s="3218"/>
      <c r="P131" s="3212"/>
      <c r="Q131" s="3177"/>
      <c r="R131" s="3144"/>
      <c r="S131" s="3144"/>
      <c r="T131" s="3144"/>
      <c r="U131" s="3144"/>
      <c r="V131" s="3144"/>
      <c r="W131" s="3144"/>
      <c r="X131" s="3144"/>
      <c r="Y131" s="3144"/>
      <c r="Z131" s="3144"/>
      <c r="AA131" s="3144"/>
      <c r="AB131" s="3144"/>
      <c r="AC131" s="3144"/>
    </row>
    <row r="132" spans="1:29">
      <c r="A132" s="3303"/>
      <c r="B132" s="3303"/>
      <c r="C132" s="3303"/>
      <c r="D132" s="3303"/>
      <c r="E132" s="3303"/>
      <c r="F132" s="3303"/>
      <c r="G132" s="3303"/>
      <c r="H132" s="3303"/>
      <c r="I132" s="3303"/>
      <c r="J132" s="3303"/>
      <c r="K132" s="3304"/>
      <c r="L132" s="3305"/>
      <c r="M132" s="3303"/>
      <c r="N132" s="3303"/>
      <c r="O132" s="3303"/>
      <c r="P132" s="3303"/>
      <c r="Q132" s="3303"/>
      <c r="R132" s="3303"/>
      <c r="S132" s="3303"/>
      <c r="T132" s="3303"/>
      <c r="U132" s="3303"/>
      <c r="V132" s="3303"/>
      <c r="W132" s="3303"/>
      <c r="X132" s="3303"/>
      <c r="Y132" s="3303"/>
      <c r="Z132" s="3303"/>
      <c r="AA132" s="3303"/>
      <c r="AB132" s="3303"/>
      <c r="AC132" s="3303"/>
    </row>
    <row r="133" spans="1:29">
      <c r="A133" s="3303"/>
      <c r="B133" s="3303"/>
      <c r="C133" s="3303"/>
      <c r="D133" s="3303"/>
      <c r="E133" s="3303"/>
      <c r="F133" s="3303"/>
      <c r="G133" s="3303"/>
      <c r="H133" s="3303"/>
      <c r="I133" s="3303"/>
      <c r="J133" s="3303"/>
      <c r="K133" s="3304"/>
      <c r="L133" s="3305"/>
      <c r="M133" s="3303"/>
      <c r="N133" s="3303"/>
      <c r="O133" s="3303"/>
      <c r="P133" s="3303"/>
      <c r="Q133" s="3303"/>
      <c r="R133" s="3303"/>
      <c r="S133" s="3303"/>
      <c r="T133" s="3303"/>
      <c r="U133" s="3303"/>
      <c r="V133" s="3303"/>
      <c r="W133" s="3303"/>
      <c r="X133" s="3303"/>
      <c r="Y133" s="3303"/>
      <c r="Z133" s="3303"/>
      <c r="AA133" s="3303"/>
      <c r="AB133" s="3303"/>
      <c r="AC133" s="3303"/>
    </row>
    <row r="134" spans="1:29">
      <c r="A134" s="3303"/>
      <c r="B134" s="3303"/>
      <c r="C134" s="3303"/>
      <c r="D134" s="3303"/>
      <c r="E134" s="3303"/>
      <c r="F134" s="3303"/>
      <c r="G134" s="3303"/>
      <c r="H134" s="3303"/>
      <c r="I134" s="3303"/>
      <c r="J134" s="3303"/>
      <c r="K134" s="3304"/>
      <c r="L134" s="3305"/>
      <c r="M134" s="3303"/>
      <c r="N134" s="3303"/>
      <c r="O134" s="3303"/>
      <c r="P134" s="3303"/>
      <c r="Q134" s="3303"/>
      <c r="R134" s="3303"/>
      <c r="S134" s="3303"/>
      <c r="T134" s="3303"/>
      <c r="U134" s="3303"/>
      <c r="V134" s="3303"/>
      <c r="W134" s="3303"/>
      <c r="X134" s="3303"/>
      <c r="Y134" s="3303"/>
      <c r="Z134" s="3303"/>
      <c r="AA134" s="3303"/>
      <c r="AB134" s="3303"/>
      <c r="AC134" s="3303"/>
    </row>
    <row r="135" spans="1:29">
      <c r="A135" s="3303"/>
      <c r="B135" s="3303"/>
      <c r="C135" s="3303"/>
      <c r="D135" s="3303"/>
      <c r="E135" s="3303"/>
      <c r="F135" s="3303"/>
      <c r="G135" s="3303"/>
      <c r="H135" s="3303"/>
      <c r="I135" s="3303"/>
      <c r="J135" s="3303"/>
      <c r="K135" s="3304"/>
      <c r="L135" s="3305"/>
      <c r="M135" s="3303"/>
      <c r="N135" s="3303"/>
      <c r="O135" s="3303"/>
      <c r="P135" s="3303"/>
      <c r="Q135" s="3303"/>
      <c r="R135" s="3303"/>
      <c r="S135" s="3303"/>
      <c r="T135" s="3303"/>
      <c r="U135" s="3303"/>
      <c r="V135" s="3303"/>
      <c r="W135" s="3303"/>
      <c r="X135" s="3303"/>
      <c r="Y135" s="3303"/>
      <c r="Z135" s="3303"/>
      <c r="AA135" s="3303"/>
      <c r="AB135" s="3303"/>
      <c r="AC135" s="3303"/>
    </row>
    <row r="136" spans="1:29" ht="15" thickBot="1">
      <c r="A136" s="3303"/>
      <c r="B136" s="3306" t="s">
        <v>3555</v>
      </c>
      <c r="C136" s="3307"/>
      <c r="D136" s="3307"/>
      <c r="E136" s="3307"/>
      <c r="F136" s="3307"/>
      <c r="G136" s="3307"/>
      <c r="H136" s="3307"/>
      <c r="I136" s="3307"/>
      <c r="J136" s="3307"/>
      <c r="K136" s="3308"/>
      <c r="L136" s="3305"/>
      <c r="M136" s="3303"/>
      <c r="N136" s="3303"/>
      <c r="O136" s="3303"/>
      <c r="P136" s="3303"/>
      <c r="Q136" s="3303"/>
      <c r="R136" s="3303"/>
      <c r="S136" s="3303"/>
      <c r="T136" s="3303"/>
      <c r="U136" s="3303"/>
      <c r="V136" s="3303"/>
      <c r="W136" s="3303"/>
      <c r="X136" s="3303"/>
      <c r="Y136" s="3303"/>
      <c r="Z136" s="3303"/>
      <c r="AA136" s="3303"/>
      <c r="AB136" s="3303"/>
      <c r="AC136" s="3303"/>
    </row>
    <row r="137" spans="1:29">
      <c r="A137" s="3303"/>
      <c r="B137" s="3309" t="s">
        <v>3556</v>
      </c>
      <c r="C137" s="3310"/>
      <c r="D137" s="3310"/>
      <c r="E137" s="3310"/>
      <c r="F137" s="3310"/>
      <c r="G137" s="3311"/>
      <c r="H137" s="3312"/>
      <c r="I137" s="3313" t="s">
        <v>3557</v>
      </c>
      <c r="J137" s="3310"/>
      <c r="K137" s="3314"/>
      <c r="L137" s="3305"/>
      <c r="M137" s="3303"/>
      <c r="N137" s="3303"/>
      <c r="O137" s="3303"/>
      <c r="P137" s="3303"/>
      <c r="Q137" s="3303"/>
      <c r="R137" s="3303"/>
      <c r="S137" s="3303"/>
      <c r="T137" s="3303"/>
      <c r="U137" s="3303"/>
      <c r="V137" s="3303"/>
      <c r="W137" s="3303"/>
      <c r="X137" s="3303"/>
      <c r="Y137" s="3303"/>
      <c r="Z137" s="3303"/>
      <c r="AA137" s="3303"/>
      <c r="AB137" s="3303"/>
      <c r="AC137" s="3303"/>
    </row>
    <row r="138" spans="1:29">
      <c r="A138" s="3303"/>
      <c r="B138" s="3315"/>
      <c r="C138" s="3316" t="s">
        <v>3558</v>
      </c>
      <c r="D138" s="3316" t="s">
        <v>3559</v>
      </c>
      <c r="E138" s="3317" t="s">
        <v>3560</v>
      </c>
      <c r="F138" s="3318" t="s">
        <v>3561</v>
      </c>
      <c r="G138" s="3316" t="s">
        <v>3559</v>
      </c>
      <c r="H138" s="3319" t="s">
        <v>3560</v>
      </c>
      <c r="I138" s="3320"/>
      <c r="J138" s="3316" t="s">
        <v>3562</v>
      </c>
      <c r="K138" s="3319" t="s">
        <v>3563</v>
      </c>
      <c r="L138" s="3305"/>
      <c r="M138" s="3303"/>
      <c r="N138" s="3303"/>
      <c r="O138" s="3303"/>
      <c r="P138" s="3303"/>
      <c r="Q138" s="3303"/>
      <c r="R138" s="3303"/>
      <c r="S138" s="3303"/>
      <c r="T138" s="3303"/>
      <c r="U138" s="3303"/>
      <c r="V138" s="3303"/>
      <c r="W138" s="3303"/>
      <c r="X138" s="3303"/>
      <c r="Y138" s="3303"/>
      <c r="Z138" s="3303"/>
      <c r="AA138" s="3303"/>
      <c r="AB138" s="3303"/>
      <c r="AC138" s="3303"/>
    </row>
    <row r="139" spans="1:29" ht="15">
      <c r="A139" s="3303"/>
      <c r="B139" s="3321">
        <v>6</v>
      </c>
      <c r="C139" s="3322">
        <v>96</v>
      </c>
      <c r="D139" s="3323" t="s">
        <v>3564</v>
      </c>
      <c r="E139" s="3324">
        <v>100</v>
      </c>
      <c r="F139" s="3325">
        <v>102.5</v>
      </c>
      <c r="G139" s="3323" t="s">
        <v>3564</v>
      </c>
      <c r="H139" s="3326">
        <v>105</v>
      </c>
      <c r="I139" s="3327" t="s">
        <v>3565</v>
      </c>
      <c r="J139" s="3322">
        <v>20</v>
      </c>
      <c r="K139" s="3328">
        <f>C145/(J139-2)</f>
        <v>4.0555555555555553E-3</v>
      </c>
      <c r="L139" s="3305"/>
      <c r="M139" s="3303"/>
      <c r="N139" s="3303"/>
      <c r="O139" s="3303"/>
      <c r="P139" s="3303"/>
      <c r="Q139" s="3303"/>
      <c r="R139" s="3303"/>
      <c r="S139" s="3303"/>
      <c r="T139" s="3303"/>
      <c r="U139" s="3303"/>
      <c r="V139" s="3303"/>
      <c r="W139" s="3303"/>
      <c r="X139" s="3303"/>
      <c r="Y139" s="3303"/>
      <c r="Z139" s="3303"/>
      <c r="AA139" s="3303"/>
      <c r="AB139" s="3303"/>
      <c r="AC139" s="3303"/>
    </row>
    <row r="140" spans="1:29" ht="15">
      <c r="A140" s="3303"/>
      <c r="B140" s="3329">
        <v>5</v>
      </c>
      <c r="C140" s="3330">
        <v>100</v>
      </c>
      <c r="D140" s="3331"/>
      <c r="E140" s="3332"/>
      <c r="F140" s="3333">
        <v>102</v>
      </c>
      <c r="G140" s="3331"/>
      <c r="H140" s="3334"/>
      <c r="I140" s="3335" t="s">
        <v>3566</v>
      </c>
      <c r="J140" s="3336">
        <f>ROUNDUP((J139-1)/2,0)</f>
        <v>10</v>
      </c>
      <c r="K140" s="3337">
        <v>100</v>
      </c>
      <c r="L140" s="3305"/>
      <c r="M140" s="3303"/>
      <c r="N140" s="3303"/>
      <c r="O140" s="3303"/>
      <c r="P140" s="3303"/>
      <c r="Q140" s="3303"/>
      <c r="R140" s="3303"/>
      <c r="S140" s="3303"/>
      <c r="T140" s="3303"/>
      <c r="U140" s="3303"/>
      <c r="V140" s="3303"/>
      <c r="W140" s="3303"/>
      <c r="X140" s="3303"/>
      <c r="Y140" s="3303"/>
      <c r="Z140" s="3303"/>
      <c r="AA140" s="3303"/>
      <c r="AB140" s="3303"/>
      <c r="AC140" s="3303"/>
    </row>
    <row r="141" spans="1:29" ht="15">
      <c r="A141" s="3303"/>
      <c r="B141" s="3329">
        <v>4</v>
      </c>
      <c r="C141" s="3330">
        <v>102</v>
      </c>
      <c r="D141" s="3331"/>
      <c r="E141" s="3332"/>
      <c r="F141" s="3333">
        <v>101.5</v>
      </c>
      <c r="G141" s="3331"/>
      <c r="H141" s="3334"/>
      <c r="I141" s="3335" t="s">
        <v>3567</v>
      </c>
      <c r="J141" s="3336">
        <v>1</v>
      </c>
      <c r="K141" s="3338">
        <f>ROUND(100+(J141-J140)*K139*100,1)</f>
        <v>96.4</v>
      </c>
      <c r="L141" s="3305"/>
      <c r="M141" s="3303"/>
      <c r="N141" s="3303"/>
      <c r="O141" s="3303"/>
      <c r="P141" s="3303"/>
      <c r="Q141" s="3303"/>
      <c r="R141" s="3303"/>
      <c r="S141" s="3303"/>
      <c r="T141" s="3303"/>
      <c r="U141" s="3303"/>
      <c r="V141" s="3303"/>
      <c r="W141" s="3303"/>
      <c r="X141" s="3303"/>
      <c r="Y141" s="3303"/>
      <c r="Z141" s="3303"/>
      <c r="AA141" s="3303"/>
      <c r="AB141" s="3303"/>
      <c r="AC141" s="3303"/>
    </row>
    <row r="142" spans="1:29" ht="15">
      <c r="A142" s="3303"/>
      <c r="B142" s="3329">
        <v>3</v>
      </c>
      <c r="C142" s="3330">
        <v>103</v>
      </c>
      <c r="D142" s="3331"/>
      <c r="E142" s="3332"/>
      <c r="F142" s="3333">
        <v>101</v>
      </c>
      <c r="G142" s="3331"/>
      <c r="H142" s="3334"/>
      <c r="I142" s="3335" t="s">
        <v>3568</v>
      </c>
      <c r="J142" s="3336">
        <f>J139</f>
        <v>20</v>
      </c>
      <c r="K142" s="3339">
        <v>95</v>
      </c>
      <c r="L142" s="3305"/>
      <c r="M142" s="3303"/>
      <c r="N142" s="3303"/>
      <c r="O142" s="3303"/>
      <c r="P142" s="3303"/>
      <c r="Q142" s="3303"/>
      <c r="R142" s="3303"/>
      <c r="S142" s="3303"/>
      <c r="T142" s="3303"/>
      <c r="U142" s="3303"/>
      <c r="V142" s="3303"/>
      <c r="W142" s="3303"/>
      <c r="X142" s="3303"/>
      <c r="Y142" s="3303"/>
      <c r="Z142" s="3303"/>
      <c r="AA142" s="3303"/>
      <c r="AB142" s="3303"/>
      <c r="AC142" s="3303"/>
    </row>
    <row r="143" spans="1:29" ht="15">
      <c r="A143" s="3303"/>
      <c r="B143" s="3329">
        <v>2</v>
      </c>
      <c r="C143" s="3330">
        <v>100</v>
      </c>
      <c r="D143" s="3331"/>
      <c r="E143" s="3332"/>
      <c r="F143" s="3333">
        <v>100.5</v>
      </c>
      <c r="G143" s="3331"/>
      <c r="H143" s="3334"/>
      <c r="I143" s="3335" t="s">
        <v>3569</v>
      </c>
      <c r="J143" s="3330">
        <v>15</v>
      </c>
      <c r="K143" s="3338">
        <f>ROUND(100+(J143-J140)*K139*100,1)</f>
        <v>102</v>
      </c>
      <c r="L143" s="3305"/>
      <c r="M143" s="3303"/>
      <c r="N143" s="3303"/>
      <c r="O143" s="3303"/>
      <c r="P143" s="3303"/>
      <c r="Q143" s="3303"/>
      <c r="R143" s="3303"/>
      <c r="S143" s="3303"/>
      <c r="T143" s="3303"/>
      <c r="U143" s="3303"/>
      <c r="V143" s="3303"/>
      <c r="W143" s="3303"/>
      <c r="X143" s="3303"/>
      <c r="Y143" s="3303"/>
      <c r="Z143" s="3303"/>
      <c r="AA143" s="3303"/>
      <c r="AB143" s="3303"/>
      <c r="AC143" s="3303"/>
    </row>
    <row r="144" spans="1:29" ht="15">
      <c r="A144" s="3303"/>
      <c r="B144" s="3329">
        <v>1</v>
      </c>
      <c r="C144" s="3330">
        <v>98</v>
      </c>
      <c r="D144" s="3340" t="s">
        <v>3570</v>
      </c>
      <c r="E144" s="3332">
        <v>102</v>
      </c>
      <c r="F144" s="3341">
        <v>100</v>
      </c>
      <c r="G144" s="3340" t="s">
        <v>3570</v>
      </c>
      <c r="H144" s="3334">
        <v>105</v>
      </c>
      <c r="I144" s="3335" t="s">
        <v>3569</v>
      </c>
      <c r="J144" s="3330">
        <v>18</v>
      </c>
      <c r="K144" s="3338">
        <f>ROUND(100+(J144-J140)*K139*100,1)</f>
        <v>103.2</v>
      </c>
      <c r="L144" s="3305"/>
      <c r="M144" s="3303"/>
      <c r="N144" s="3303"/>
      <c r="O144" s="3303"/>
      <c r="P144" s="3303"/>
      <c r="Q144" s="3303"/>
      <c r="R144" s="3303"/>
      <c r="S144" s="3303"/>
      <c r="T144" s="3303"/>
      <c r="U144" s="3303"/>
      <c r="V144" s="3303"/>
      <c r="W144" s="3303"/>
      <c r="X144" s="3303"/>
      <c r="Y144" s="3303"/>
      <c r="Z144" s="3303"/>
      <c r="AA144" s="3303"/>
      <c r="AB144" s="3303"/>
      <c r="AC144" s="3303"/>
    </row>
    <row r="145" spans="1:29" ht="15.75" thickBot="1">
      <c r="A145" s="3303"/>
      <c r="B145" s="3342" t="s">
        <v>3571</v>
      </c>
      <c r="C145" s="3343">
        <f>ROUND(MAX(C139:C144)/MIN(C139:C144)-1,3)</f>
        <v>7.2999999999999995E-2</v>
      </c>
      <c r="D145" s="3344"/>
      <c r="E145" s="3344"/>
      <c r="F145" s="3345" t="s">
        <v>3572</v>
      </c>
      <c r="G145" s="3346"/>
      <c r="H145" s="3347"/>
      <c r="I145" s="3348" t="s">
        <v>3569</v>
      </c>
      <c r="J145" s="3349">
        <v>8</v>
      </c>
      <c r="K145" s="3350">
        <f>ROUND(100+(J145-J140)*K139*100,1)</f>
        <v>99.2</v>
      </c>
      <c r="L145" s="3305"/>
      <c r="M145" s="3303"/>
      <c r="N145" s="3303"/>
      <c r="O145" s="3303"/>
      <c r="P145" s="3303"/>
      <c r="Q145" s="3303"/>
      <c r="R145" s="3303"/>
      <c r="S145" s="3303"/>
      <c r="T145" s="3303"/>
      <c r="U145" s="3303"/>
      <c r="V145" s="3303"/>
      <c r="W145" s="3303"/>
      <c r="X145" s="3303"/>
      <c r="Y145" s="3303"/>
      <c r="Z145" s="3303"/>
      <c r="AA145" s="3303"/>
      <c r="AB145" s="3303"/>
      <c r="AC145" s="3303"/>
    </row>
    <row r="146" spans="1:29">
      <c r="A146" s="3303"/>
      <c r="B146" s="3303"/>
      <c r="C146" s="3303"/>
      <c r="D146" s="3303"/>
      <c r="E146" s="3303"/>
      <c r="F146" s="3303"/>
      <c r="G146" s="3303"/>
      <c r="H146" s="3303"/>
      <c r="I146" s="3303"/>
      <c r="J146" s="3303"/>
      <c r="K146" s="3304"/>
      <c r="L146" s="3305"/>
      <c r="M146" s="3303"/>
      <c r="N146" s="3303"/>
      <c r="O146" s="3303"/>
      <c r="P146" s="3303"/>
      <c r="Q146" s="3303"/>
      <c r="R146" s="3303"/>
      <c r="S146" s="3303"/>
      <c r="T146" s="3303"/>
      <c r="U146" s="3303"/>
      <c r="V146" s="3303"/>
      <c r="W146" s="3303"/>
      <c r="X146" s="3303"/>
      <c r="Y146" s="3303"/>
      <c r="Z146" s="3303"/>
      <c r="AA146" s="3303"/>
      <c r="AB146" s="3303"/>
      <c r="AC146" s="3303"/>
    </row>
    <row r="147" spans="1:29">
      <c r="A147" s="3303"/>
      <c r="B147" s="3351" t="s">
        <v>3573</v>
      </c>
      <c r="L147" s="3305"/>
      <c r="M147" s="3303"/>
      <c r="N147" s="3303"/>
      <c r="O147" s="3303"/>
      <c r="P147" s="3303"/>
      <c r="Q147" s="3303"/>
      <c r="R147" s="3303"/>
      <c r="S147" s="3303"/>
      <c r="T147" s="3303"/>
      <c r="U147" s="3303"/>
      <c r="V147" s="3303"/>
      <c r="W147" s="3303"/>
      <c r="X147" s="3303"/>
      <c r="Y147" s="3303"/>
      <c r="Z147" s="3303"/>
      <c r="AA147" s="3303"/>
      <c r="AB147" s="3303"/>
      <c r="AC147" s="3303"/>
    </row>
    <row r="148" spans="1:29">
      <c r="A148" s="3303"/>
      <c r="B148" s="3351" t="s">
        <v>3574</v>
      </c>
      <c r="L148" s="3305"/>
      <c r="M148" s="3303"/>
      <c r="N148" s="3303"/>
      <c r="O148" s="3303"/>
      <c r="P148" s="3303"/>
      <c r="Q148" s="3303"/>
      <c r="R148" s="3303"/>
      <c r="S148" s="3303"/>
      <c r="T148" s="3303"/>
      <c r="U148" s="3303"/>
      <c r="V148" s="3303"/>
      <c r="W148" s="3303"/>
      <c r="X148" s="3303"/>
      <c r="Y148" s="3303"/>
      <c r="Z148" s="3303"/>
      <c r="AA148" s="3303"/>
      <c r="AB148" s="3303"/>
      <c r="AC148" s="3303"/>
    </row>
    <row r="149" spans="1:29">
      <c r="A149" s="3303"/>
      <c r="B149" s="3303"/>
      <c r="C149" s="3303"/>
      <c r="D149" s="3303"/>
      <c r="E149" s="3303"/>
      <c r="F149" s="3303"/>
      <c r="G149" s="3303"/>
      <c r="H149" s="3303"/>
      <c r="I149" s="3303"/>
      <c r="J149" s="3303"/>
      <c r="K149" s="3304"/>
      <c r="L149" s="3305"/>
      <c r="M149" s="3303"/>
      <c r="N149" s="3303"/>
      <c r="O149" s="3303"/>
      <c r="P149" s="3303"/>
      <c r="Q149" s="3303"/>
      <c r="R149" s="3303"/>
      <c r="S149" s="3303"/>
      <c r="T149" s="3303"/>
      <c r="U149" s="3303"/>
      <c r="V149" s="3303"/>
      <c r="W149" s="3303"/>
      <c r="X149" s="3303"/>
      <c r="Y149" s="3303"/>
      <c r="Z149" s="3303"/>
      <c r="AA149" s="3303"/>
      <c r="AB149" s="3303"/>
      <c r="AC149" s="3303"/>
    </row>
    <row r="150" spans="1:29">
      <c r="A150" s="3303"/>
      <c r="B150" s="3303"/>
      <c r="C150" s="3303"/>
      <c r="D150" s="3303"/>
      <c r="E150" s="3303"/>
      <c r="F150" s="3303"/>
      <c r="G150" s="3303"/>
      <c r="H150" s="3303"/>
      <c r="I150" s="3303"/>
      <c r="J150" s="3303"/>
      <c r="K150" s="3304"/>
      <c r="L150" s="3305"/>
      <c r="M150" s="3303"/>
      <c r="N150" s="3303"/>
      <c r="O150" s="3303"/>
      <c r="P150" s="3303"/>
      <c r="Q150" s="3303"/>
      <c r="R150" s="3303"/>
      <c r="S150" s="3303"/>
      <c r="T150" s="3303"/>
      <c r="U150" s="3303"/>
      <c r="V150" s="3303"/>
      <c r="W150" s="3303"/>
      <c r="X150" s="3303"/>
      <c r="Y150" s="3303"/>
      <c r="Z150" s="3303"/>
      <c r="AA150" s="3303"/>
      <c r="AB150" s="3303"/>
      <c r="AC150" s="3303"/>
    </row>
    <row r="151" spans="1:29">
      <c r="A151" s="3303"/>
      <c r="B151" s="3303"/>
      <c r="C151" s="3303"/>
      <c r="D151" s="3303"/>
      <c r="E151" s="3303"/>
      <c r="F151" s="3303"/>
      <c r="G151" s="3303"/>
      <c r="H151" s="3303"/>
      <c r="I151" s="3303"/>
      <c r="J151" s="3303"/>
      <c r="K151" s="3304"/>
      <c r="L151" s="3305"/>
      <c r="M151" s="3303"/>
      <c r="N151" s="3303"/>
      <c r="O151" s="3303"/>
      <c r="P151" s="3303"/>
      <c r="Q151" s="3303"/>
      <c r="R151" s="3303"/>
      <c r="S151" s="3303"/>
      <c r="T151" s="3303"/>
      <c r="U151" s="3303"/>
      <c r="V151" s="3303"/>
      <c r="W151" s="3303"/>
      <c r="X151" s="3303"/>
      <c r="Y151" s="3303"/>
      <c r="Z151" s="3303"/>
      <c r="AA151" s="3303"/>
      <c r="AB151" s="3303"/>
      <c r="AC151" s="3303"/>
    </row>
    <row r="152" spans="1:29">
      <c r="A152" s="3303"/>
      <c r="B152" s="3303"/>
      <c r="C152" s="3303"/>
      <c r="D152" s="3303"/>
      <c r="E152" s="3303"/>
      <c r="F152" s="3303"/>
      <c r="G152" s="3303"/>
      <c r="H152" s="3303"/>
      <c r="I152" s="3303"/>
      <c r="J152" s="3303"/>
      <c r="K152" s="3304"/>
      <c r="L152" s="3305"/>
      <c r="M152" s="3303"/>
      <c r="N152" s="3303"/>
      <c r="O152" s="3303"/>
      <c r="P152" s="3303"/>
      <c r="Q152" s="3303"/>
      <c r="R152" s="3303"/>
      <c r="S152" s="3303"/>
      <c r="T152" s="3303"/>
      <c r="U152" s="3303"/>
      <c r="V152" s="3303"/>
      <c r="W152" s="3303"/>
      <c r="X152" s="3303"/>
      <c r="Y152" s="3303"/>
      <c r="Z152" s="3303"/>
      <c r="AA152" s="3303"/>
      <c r="AB152" s="3303"/>
      <c r="AC152" s="3303"/>
    </row>
    <row r="153" spans="1:29">
      <c r="A153" s="3303"/>
      <c r="B153" s="3303"/>
      <c r="C153" s="3303"/>
      <c r="D153" s="3303"/>
      <c r="E153" s="3303"/>
      <c r="F153" s="3303"/>
      <c r="G153" s="3303"/>
      <c r="H153" s="3303"/>
      <c r="I153" s="3303"/>
      <c r="J153" s="3303"/>
      <c r="K153" s="3304"/>
      <c r="L153" s="3305"/>
      <c r="M153" s="3303"/>
      <c r="N153" s="3303"/>
      <c r="O153" s="3303"/>
      <c r="P153" s="3303"/>
      <c r="Q153" s="3303"/>
      <c r="R153" s="3303"/>
      <c r="S153" s="3303"/>
      <c r="T153" s="3303"/>
      <c r="U153" s="3303"/>
      <c r="V153" s="3303"/>
      <c r="W153" s="3303"/>
      <c r="X153" s="3303"/>
      <c r="Y153" s="3303"/>
      <c r="Z153" s="3303"/>
      <c r="AA153" s="3303"/>
      <c r="AB153" s="3303"/>
      <c r="AC153" s="3303"/>
    </row>
    <row r="154" spans="1:29">
      <c r="A154" s="3303"/>
      <c r="B154" s="3303"/>
      <c r="C154" s="3303"/>
      <c r="D154" s="3303"/>
      <c r="E154" s="3303"/>
      <c r="F154" s="3303"/>
      <c r="G154" s="3303"/>
      <c r="H154" s="3303"/>
      <c r="I154" s="3303"/>
      <c r="J154" s="3303"/>
      <c r="K154" s="3304"/>
      <c r="L154" s="3305"/>
      <c r="M154" s="3303"/>
      <c r="N154" s="3303"/>
      <c r="O154" s="3303"/>
      <c r="P154" s="3303"/>
      <c r="Q154" s="3303"/>
      <c r="R154" s="3303"/>
      <c r="S154" s="3303"/>
      <c r="T154" s="3303"/>
      <c r="U154" s="3303"/>
      <c r="V154" s="3303"/>
      <c r="W154" s="3303"/>
      <c r="X154" s="3303"/>
      <c r="Y154" s="3303"/>
      <c r="Z154" s="3303"/>
      <c r="AA154" s="3303"/>
      <c r="AB154" s="3303"/>
      <c r="AC154" s="3303"/>
    </row>
    <row r="155" spans="1:29">
      <c r="A155" s="3303"/>
      <c r="B155" s="3303"/>
      <c r="C155" s="3303"/>
      <c r="D155" s="3303"/>
      <c r="E155" s="3303"/>
      <c r="F155" s="3303"/>
      <c r="G155" s="3303"/>
      <c r="H155" s="3303"/>
      <c r="I155" s="3303"/>
      <c r="J155" s="3303"/>
      <c r="K155" s="3304"/>
      <c r="L155" s="3305"/>
      <c r="M155" s="3303"/>
      <c r="N155" s="3303"/>
      <c r="O155" s="3303"/>
      <c r="P155" s="3303"/>
      <c r="Q155" s="3303"/>
      <c r="R155" s="3303"/>
      <c r="S155" s="3303"/>
      <c r="T155" s="3303"/>
      <c r="U155" s="3303"/>
      <c r="V155" s="3303"/>
      <c r="W155" s="3303"/>
      <c r="X155" s="3303"/>
      <c r="Y155" s="3303"/>
      <c r="Z155" s="3303"/>
      <c r="AA155" s="3303"/>
      <c r="AB155" s="3303"/>
      <c r="AC155" s="3303"/>
    </row>
    <row r="156" spans="1:29">
      <c r="A156" s="3303"/>
      <c r="B156" s="3303"/>
      <c r="C156" s="3303"/>
      <c r="D156" s="3303"/>
      <c r="E156" s="3303"/>
      <c r="F156" s="3303"/>
      <c r="G156" s="3303"/>
      <c r="H156" s="3303"/>
      <c r="I156" s="3303"/>
      <c r="J156" s="3303"/>
      <c r="K156" s="3304"/>
      <c r="L156" s="3305"/>
      <c r="M156" s="3303"/>
      <c r="N156" s="3303"/>
      <c r="O156" s="3303"/>
      <c r="P156" s="3303"/>
      <c r="Q156" s="3303"/>
      <c r="R156" s="3303"/>
      <c r="S156" s="3303"/>
      <c r="T156" s="3303"/>
      <c r="U156" s="3303"/>
      <c r="V156" s="3303"/>
      <c r="W156" s="3303"/>
      <c r="X156" s="3303"/>
      <c r="Y156" s="3303"/>
      <c r="Z156" s="3303"/>
      <c r="AA156" s="3303"/>
      <c r="AB156" s="3303"/>
      <c r="AC156" s="3303"/>
    </row>
    <row r="157" spans="1:29">
      <c r="A157" s="3303"/>
      <c r="B157" s="3303"/>
      <c r="C157" s="3303"/>
      <c r="D157" s="3303"/>
      <c r="E157" s="3303"/>
      <c r="F157" s="3303"/>
      <c r="G157" s="3303"/>
      <c r="H157" s="3303"/>
      <c r="I157" s="3303"/>
      <c r="J157" s="3303"/>
      <c r="K157" s="3304"/>
      <c r="L157" s="3305"/>
      <c r="M157" s="3303"/>
      <c r="N157" s="3303"/>
      <c r="O157" s="3303"/>
      <c r="P157" s="3303"/>
      <c r="Q157" s="3303"/>
      <c r="R157" s="3303"/>
      <c r="S157" s="3303"/>
      <c r="T157" s="3303"/>
      <c r="U157" s="3303"/>
      <c r="V157" s="3303"/>
      <c r="W157" s="3303"/>
      <c r="X157" s="3303"/>
      <c r="Y157" s="3303"/>
      <c r="Z157" s="3303"/>
      <c r="AA157" s="3303"/>
      <c r="AB157" s="3303"/>
      <c r="AC157" s="3303"/>
    </row>
    <row r="158" spans="1:29">
      <c r="A158" s="3303"/>
      <c r="B158" s="3303"/>
      <c r="C158" s="3303"/>
      <c r="D158" s="3303"/>
      <c r="E158" s="3303"/>
      <c r="F158" s="3303"/>
      <c r="G158" s="3303"/>
      <c r="H158" s="3303"/>
      <c r="I158" s="3303"/>
      <c r="J158" s="3303"/>
      <c r="K158" s="3304"/>
      <c r="L158" s="3305"/>
      <c r="M158" s="3303"/>
      <c r="N158" s="3303"/>
      <c r="O158" s="3303"/>
      <c r="P158" s="3303"/>
      <c r="Q158" s="3303"/>
      <c r="R158" s="3303"/>
      <c r="S158" s="3303"/>
      <c r="T158" s="3303"/>
      <c r="U158" s="3303"/>
      <c r="V158" s="3303"/>
      <c r="W158" s="3303"/>
      <c r="X158" s="3303"/>
      <c r="Y158" s="3303"/>
      <c r="Z158" s="3303"/>
      <c r="AA158" s="3303"/>
      <c r="AB158" s="3303"/>
      <c r="AC158" s="3303"/>
    </row>
    <row r="159" spans="1:29">
      <c r="A159" s="3303"/>
      <c r="B159" s="3303"/>
      <c r="C159" s="3303"/>
      <c r="D159" s="3303"/>
      <c r="E159" s="3303"/>
      <c r="F159" s="3303"/>
      <c r="G159" s="3303"/>
      <c r="H159" s="3303"/>
      <c r="I159" s="3303"/>
      <c r="J159" s="3303"/>
      <c r="K159" s="3304"/>
      <c r="L159" s="3305"/>
      <c r="M159" s="3303"/>
      <c r="N159" s="3303"/>
      <c r="O159" s="3303"/>
      <c r="P159" s="3303"/>
      <c r="Q159" s="3303"/>
      <c r="R159" s="3303"/>
      <c r="S159" s="3303"/>
      <c r="T159" s="3303"/>
      <c r="U159" s="3303"/>
      <c r="V159" s="3303"/>
      <c r="W159" s="3303"/>
      <c r="X159" s="3303"/>
      <c r="Y159" s="3303"/>
      <c r="Z159" s="3303"/>
      <c r="AA159" s="3303"/>
      <c r="AB159" s="3303"/>
      <c r="AC159" s="3303"/>
    </row>
    <row r="160" spans="1:29">
      <c r="A160" s="3303"/>
      <c r="B160" s="3303"/>
      <c r="C160" s="3303"/>
      <c r="D160" s="3303"/>
      <c r="E160" s="3303"/>
      <c r="F160" s="3303"/>
      <c r="G160" s="3303"/>
      <c r="H160" s="3303"/>
      <c r="I160" s="3303"/>
      <c r="J160" s="3303"/>
      <c r="K160" s="3304"/>
      <c r="L160" s="3305"/>
      <c r="M160" s="3303"/>
      <c r="N160" s="3303"/>
      <c r="O160" s="3303"/>
      <c r="P160" s="3303"/>
      <c r="Q160" s="3303"/>
      <c r="R160" s="3303"/>
      <c r="S160" s="3303"/>
      <c r="T160" s="3303"/>
      <c r="U160" s="3303"/>
      <c r="V160" s="3303"/>
      <c r="W160" s="3303"/>
      <c r="X160" s="3303"/>
      <c r="Y160" s="3303"/>
      <c r="Z160" s="3303"/>
      <c r="AA160" s="3303"/>
      <c r="AB160" s="3303"/>
      <c r="AC160" s="3303"/>
    </row>
    <row r="161" spans="1:29">
      <c r="A161" s="3303"/>
      <c r="B161" s="3303"/>
      <c r="C161" s="3303"/>
      <c r="D161" s="3303"/>
      <c r="E161" s="3303"/>
      <c r="F161" s="3303"/>
      <c r="G161" s="3303"/>
      <c r="H161" s="3303"/>
      <c r="I161" s="3303"/>
      <c r="J161" s="3303"/>
      <c r="K161" s="3304"/>
      <c r="L161" s="3305"/>
      <c r="M161" s="3303"/>
      <c r="N161" s="3303"/>
      <c r="O161" s="3303"/>
      <c r="P161" s="3303"/>
      <c r="Q161" s="3303"/>
      <c r="R161" s="3303"/>
      <c r="S161" s="3303"/>
      <c r="T161" s="3303"/>
      <c r="U161" s="3303"/>
      <c r="V161" s="3303"/>
      <c r="W161" s="3303"/>
      <c r="X161" s="3303"/>
      <c r="Y161" s="3303"/>
      <c r="Z161" s="3303"/>
      <c r="AA161" s="3303"/>
      <c r="AB161" s="3303"/>
      <c r="AC161" s="3303"/>
    </row>
    <row r="162" spans="1:29">
      <c r="A162" s="3303"/>
      <c r="B162" s="3303"/>
      <c r="C162" s="3303"/>
      <c r="D162" s="3303"/>
      <c r="E162" s="3303"/>
      <c r="F162" s="3303"/>
      <c r="G162" s="3303"/>
      <c r="H162" s="3303"/>
      <c r="I162" s="3303"/>
      <c r="J162" s="3303"/>
      <c r="K162" s="3304"/>
      <c r="L162" s="3305"/>
      <c r="M162" s="3303"/>
      <c r="N162" s="3303"/>
      <c r="O162" s="3303"/>
      <c r="P162" s="3303"/>
      <c r="Q162" s="3303"/>
      <c r="R162" s="3303"/>
      <c r="S162" s="3303"/>
      <c r="T162" s="3303"/>
      <c r="U162" s="3303"/>
      <c r="V162" s="3303"/>
      <c r="W162" s="3303"/>
      <c r="X162" s="3303"/>
      <c r="Y162" s="3303"/>
      <c r="Z162" s="3303"/>
      <c r="AA162" s="3303"/>
      <c r="AB162" s="3303"/>
      <c r="AC162" s="3303"/>
    </row>
    <row r="163" spans="1:29">
      <c r="A163" s="3303"/>
      <c r="B163" s="3303"/>
      <c r="C163" s="3303"/>
      <c r="D163" s="3303"/>
      <c r="E163" s="3303"/>
      <c r="F163" s="3303"/>
      <c r="G163" s="3303"/>
      <c r="H163" s="3303"/>
      <c r="I163" s="3303"/>
      <c r="J163" s="3303"/>
      <c r="K163" s="3304"/>
      <c r="L163" s="3305"/>
      <c r="M163" s="3303"/>
      <c r="N163" s="3303"/>
      <c r="O163" s="3303"/>
      <c r="P163" s="3303"/>
      <c r="Q163" s="3303"/>
      <c r="R163" s="3303"/>
      <c r="S163" s="3303"/>
      <c r="T163" s="3303"/>
      <c r="U163" s="3303"/>
      <c r="V163" s="3303"/>
      <c r="W163" s="3303"/>
      <c r="X163" s="3303"/>
      <c r="Y163" s="3303"/>
      <c r="Z163" s="3303"/>
      <c r="AA163" s="3303"/>
      <c r="AB163" s="3303"/>
      <c r="AC163" s="3303"/>
    </row>
    <row r="164" spans="1:29">
      <c r="A164" s="3303"/>
      <c r="B164" s="3303"/>
      <c r="C164" s="3303"/>
      <c r="D164" s="3303"/>
      <c r="E164" s="3303"/>
      <c r="F164" s="3303"/>
      <c r="G164" s="3303"/>
      <c r="H164" s="3303"/>
      <c r="I164" s="3303"/>
      <c r="J164" s="3303"/>
      <c r="K164" s="3304"/>
      <c r="L164" s="3305"/>
      <c r="M164" s="3303"/>
      <c r="N164" s="3303"/>
      <c r="O164" s="3303"/>
      <c r="P164" s="3303"/>
      <c r="Q164" s="3303"/>
      <c r="R164" s="3303"/>
      <c r="S164" s="3303"/>
      <c r="T164" s="3303"/>
      <c r="U164" s="3303"/>
      <c r="V164" s="3303"/>
      <c r="W164" s="3303"/>
      <c r="X164" s="3303"/>
      <c r="Y164" s="3303"/>
      <c r="Z164" s="3303"/>
      <c r="AA164" s="3303"/>
      <c r="AB164" s="3303"/>
      <c r="AC164" s="3303"/>
    </row>
    <row r="165" spans="1:29">
      <c r="A165" s="3303"/>
      <c r="B165" s="3303"/>
      <c r="C165" s="3303"/>
      <c r="D165" s="3303"/>
      <c r="E165" s="3303"/>
      <c r="F165" s="3303"/>
      <c r="G165" s="3303"/>
      <c r="H165" s="3303"/>
      <c r="I165" s="3303"/>
      <c r="J165" s="3303"/>
      <c r="K165" s="3304"/>
      <c r="L165" s="3305"/>
      <c r="M165" s="3303"/>
      <c r="N165" s="3303"/>
      <c r="O165" s="3303"/>
      <c r="P165" s="3303"/>
      <c r="Q165" s="3303"/>
      <c r="R165" s="3303"/>
      <c r="S165" s="3303"/>
      <c r="T165" s="3303"/>
      <c r="U165" s="3303"/>
      <c r="V165" s="3303"/>
      <c r="W165" s="3303"/>
      <c r="X165" s="3303"/>
      <c r="Y165" s="3303"/>
      <c r="Z165" s="3303"/>
      <c r="AA165" s="3303"/>
      <c r="AB165" s="3303"/>
      <c r="AC165" s="3303"/>
    </row>
    <row r="166" spans="1:29">
      <c r="A166" s="3303"/>
      <c r="B166" s="3303"/>
      <c r="C166" s="3303"/>
      <c r="D166" s="3303"/>
      <c r="E166" s="3303"/>
      <c r="F166" s="3303"/>
      <c r="G166" s="3303"/>
      <c r="H166" s="3303"/>
      <c r="I166" s="3303"/>
      <c r="J166" s="3303"/>
      <c r="K166" s="3304"/>
      <c r="L166" s="3305"/>
      <c r="M166" s="3303"/>
      <c r="N166" s="3303"/>
      <c r="O166" s="3303"/>
      <c r="P166" s="3303"/>
      <c r="Q166" s="3303"/>
      <c r="R166" s="3303"/>
      <c r="S166" s="3303"/>
      <c r="T166" s="3303"/>
      <c r="U166" s="3303"/>
      <c r="V166" s="3303"/>
      <c r="W166" s="3303"/>
      <c r="X166" s="3303"/>
      <c r="Y166" s="3303"/>
      <c r="Z166" s="3303"/>
      <c r="AA166" s="3303"/>
      <c r="AB166" s="3303"/>
      <c r="AC166" s="3303"/>
    </row>
    <row r="167" spans="1:29">
      <c r="A167" s="3303"/>
      <c r="B167" s="3303"/>
      <c r="C167" s="3303"/>
      <c r="D167" s="3303"/>
      <c r="E167" s="3303"/>
      <c r="F167" s="3303"/>
      <c r="G167" s="3303"/>
      <c r="H167" s="3303"/>
      <c r="I167" s="3303"/>
      <c r="J167" s="3303"/>
      <c r="K167" s="3304"/>
      <c r="L167" s="3305"/>
      <c r="M167" s="3303"/>
      <c r="N167" s="3303"/>
      <c r="O167" s="3303"/>
      <c r="P167" s="3303"/>
      <c r="Q167" s="3303"/>
      <c r="R167" s="3303"/>
      <c r="S167" s="3303"/>
      <c r="T167" s="3303"/>
      <c r="U167" s="3303"/>
      <c r="V167" s="3303"/>
      <c r="W167" s="3303"/>
      <c r="X167" s="3303"/>
      <c r="Y167" s="3303"/>
      <c r="Z167" s="3303"/>
      <c r="AA167" s="3303"/>
      <c r="AB167" s="3303"/>
      <c r="AC167" s="3303"/>
    </row>
    <row r="168" spans="1:29">
      <c r="A168" s="3303"/>
      <c r="B168" s="3303"/>
      <c r="C168" s="3303"/>
      <c r="D168" s="3303"/>
      <c r="E168" s="3303"/>
      <c r="F168" s="3303"/>
      <c r="G168" s="3303"/>
      <c r="H168" s="3303"/>
      <c r="I168" s="3303"/>
      <c r="J168" s="3303"/>
      <c r="K168" s="3304"/>
      <c r="L168" s="3305"/>
      <c r="M168" s="3303"/>
      <c r="N168" s="3303"/>
      <c r="O168" s="3303"/>
      <c r="P168" s="3303"/>
      <c r="Q168" s="3303"/>
      <c r="R168" s="3303"/>
      <c r="S168" s="3303"/>
      <c r="T168" s="3303"/>
      <c r="U168" s="3303"/>
      <c r="V168" s="3303"/>
      <c r="W168" s="3303"/>
      <c r="X168" s="3303"/>
      <c r="Y168" s="3303"/>
      <c r="Z168" s="3303"/>
      <c r="AA168" s="3303"/>
      <c r="AB168" s="3303"/>
      <c r="AC168" s="3303"/>
    </row>
    <row r="169" spans="1:29">
      <c r="A169" s="3303"/>
      <c r="B169" s="3303"/>
      <c r="C169" s="3303"/>
      <c r="D169" s="3303"/>
      <c r="E169" s="3303"/>
      <c r="F169" s="3303"/>
      <c r="G169" s="3303"/>
      <c r="H169" s="3303"/>
      <c r="I169" s="3303"/>
      <c r="J169" s="3303"/>
      <c r="K169" s="3304"/>
      <c r="L169" s="3305"/>
      <c r="M169" s="3303"/>
      <c r="N169" s="3303"/>
      <c r="O169" s="3303"/>
      <c r="P169" s="3303"/>
      <c r="Q169" s="3303"/>
      <c r="R169" s="3303"/>
      <c r="S169" s="3303"/>
      <c r="T169" s="3303"/>
      <c r="U169" s="3303"/>
      <c r="V169" s="3303"/>
      <c r="W169" s="3303"/>
      <c r="X169" s="3303"/>
      <c r="Y169" s="3303"/>
      <c r="Z169" s="3303"/>
      <c r="AA169" s="3303"/>
      <c r="AB169" s="3303"/>
      <c r="AC169" s="3303"/>
    </row>
    <row r="170" spans="1:29">
      <c r="A170" s="3303"/>
      <c r="B170" s="3303"/>
      <c r="C170" s="3303"/>
      <c r="D170" s="3303"/>
      <c r="E170" s="3303"/>
      <c r="F170" s="3303"/>
      <c r="G170" s="3303"/>
      <c r="H170" s="3303"/>
      <c r="I170" s="3303"/>
      <c r="J170" s="3303"/>
      <c r="K170" s="3304"/>
      <c r="L170" s="3305"/>
      <c r="M170" s="3303"/>
      <c r="N170" s="3303"/>
      <c r="O170" s="3303"/>
      <c r="P170" s="3303"/>
      <c r="Q170" s="3303"/>
      <c r="R170" s="3303"/>
      <c r="S170" s="3303"/>
      <c r="T170" s="3303"/>
      <c r="U170" s="3303"/>
      <c r="V170" s="3303"/>
      <c r="W170" s="3303"/>
      <c r="X170" s="3303"/>
      <c r="Y170" s="3303"/>
      <c r="Z170" s="3303"/>
      <c r="AA170" s="3303"/>
      <c r="AB170" s="3303"/>
      <c r="AC170" s="3303"/>
    </row>
    <row r="171" spans="1:29">
      <c r="A171" s="3303"/>
      <c r="B171" s="3303"/>
      <c r="C171" s="3303"/>
      <c r="D171" s="3303"/>
      <c r="E171" s="3303"/>
      <c r="F171" s="3303"/>
      <c r="G171" s="3303"/>
      <c r="H171" s="3303"/>
      <c r="I171" s="3303"/>
      <c r="J171" s="3303"/>
      <c r="K171" s="3304"/>
      <c r="L171" s="3305"/>
      <c r="M171" s="3303"/>
      <c r="N171" s="3303"/>
      <c r="O171" s="3303"/>
      <c r="P171" s="3303"/>
      <c r="Q171" s="3303"/>
      <c r="R171" s="3303"/>
      <c r="S171" s="3303"/>
      <c r="T171" s="3303"/>
      <c r="U171" s="3303"/>
      <c r="V171" s="3303"/>
      <c r="W171" s="3303"/>
      <c r="X171" s="3303"/>
      <c r="Y171" s="3303"/>
      <c r="Z171" s="3303"/>
      <c r="AA171" s="3303"/>
      <c r="AB171" s="3303"/>
      <c r="AC171" s="3303"/>
    </row>
    <row r="172" spans="1:29">
      <c r="A172" s="3303"/>
      <c r="B172" s="3303"/>
      <c r="C172" s="3303"/>
      <c r="D172" s="3303"/>
      <c r="E172" s="3303"/>
      <c r="F172" s="3303"/>
      <c r="G172" s="3303"/>
      <c r="H172" s="3303"/>
      <c r="I172" s="3303"/>
      <c r="J172" s="3303"/>
      <c r="K172" s="3304"/>
      <c r="L172" s="3305"/>
      <c r="M172" s="3303"/>
      <c r="N172" s="3303"/>
      <c r="O172" s="3303"/>
      <c r="P172" s="3303"/>
      <c r="Q172" s="3303"/>
      <c r="R172" s="3303"/>
      <c r="S172" s="3303"/>
      <c r="T172" s="3303"/>
      <c r="U172" s="3303"/>
      <c r="V172" s="3303"/>
      <c r="W172" s="3303"/>
      <c r="X172" s="3303"/>
      <c r="Y172" s="3303"/>
      <c r="Z172" s="3303"/>
      <c r="AA172" s="3303"/>
      <c r="AB172" s="3303"/>
      <c r="AC172" s="3303"/>
    </row>
    <row r="173" spans="1:29">
      <c r="A173" s="3303"/>
      <c r="B173" s="3303"/>
      <c r="C173" s="3303"/>
      <c r="D173" s="3303"/>
      <c r="E173" s="3303"/>
      <c r="F173" s="3303"/>
      <c r="G173" s="3303"/>
      <c r="H173" s="3303"/>
      <c r="I173" s="3303"/>
      <c r="J173" s="3303"/>
      <c r="K173" s="3304"/>
      <c r="L173" s="3305"/>
      <c r="M173" s="3303"/>
      <c r="N173" s="3303"/>
      <c r="O173" s="3303"/>
      <c r="P173" s="3303"/>
      <c r="Q173" s="3303"/>
      <c r="R173" s="3303"/>
      <c r="S173" s="3303"/>
      <c r="T173" s="3303"/>
      <c r="U173" s="3303"/>
      <c r="V173" s="3303"/>
      <c r="W173" s="3303"/>
      <c r="X173" s="3303"/>
      <c r="Y173" s="3303"/>
      <c r="Z173" s="3303"/>
      <c r="AA173" s="3303"/>
      <c r="AB173" s="3303"/>
      <c r="AC173" s="3303"/>
    </row>
    <row r="174" spans="1:29">
      <c r="A174" s="3303"/>
      <c r="B174" s="3303"/>
      <c r="C174" s="3303"/>
      <c r="D174" s="3303"/>
      <c r="E174" s="3303"/>
      <c r="F174" s="3303"/>
      <c r="G174" s="3303"/>
      <c r="H174" s="3303"/>
      <c r="I174" s="3303"/>
      <c r="J174" s="3303"/>
      <c r="K174" s="3304"/>
      <c r="L174" s="3305"/>
      <c r="M174" s="3303"/>
      <c r="N174" s="3303"/>
      <c r="O174" s="3303"/>
      <c r="P174" s="3303"/>
      <c r="Q174" s="3303"/>
      <c r="R174" s="3303"/>
      <c r="S174" s="3303"/>
      <c r="T174" s="3303"/>
      <c r="U174" s="3303"/>
      <c r="V174" s="3303"/>
      <c r="W174" s="3303"/>
      <c r="X174" s="3303"/>
      <c r="Y174" s="3303"/>
      <c r="Z174" s="3303"/>
      <c r="AA174" s="3303"/>
      <c r="AB174" s="3303"/>
      <c r="AC174" s="3303"/>
    </row>
    <row r="175" spans="1:29">
      <c r="A175" s="3303"/>
      <c r="B175" s="3303"/>
      <c r="C175" s="3303"/>
      <c r="D175" s="3303"/>
      <c r="E175" s="3303"/>
      <c r="F175" s="3303"/>
      <c r="G175" s="3303"/>
      <c r="H175" s="3303"/>
      <c r="I175" s="3303"/>
      <c r="J175" s="3303"/>
      <c r="K175" s="3304"/>
      <c r="L175" s="3305"/>
      <c r="M175" s="3303"/>
      <c r="N175" s="3303"/>
      <c r="O175" s="3303"/>
      <c r="P175" s="3303"/>
      <c r="Q175" s="3303"/>
      <c r="R175" s="3303"/>
      <c r="S175" s="3303"/>
      <c r="T175" s="3303"/>
      <c r="U175" s="3303"/>
      <c r="V175" s="3303"/>
      <c r="W175" s="3303"/>
      <c r="X175" s="3303"/>
      <c r="Y175" s="3303"/>
      <c r="Z175" s="3303"/>
      <c r="AA175" s="3303"/>
      <c r="AB175" s="3303"/>
      <c r="AC175" s="3303"/>
    </row>
    <row r="176" spans="1:29">
      <c r="A176" s="3303"/>
      <c r="B176" s="3303"/>
      <c r="C176" s="3303"/>
      <c r="D176" s="3303"/>
      <c r="E176" s="3303"/>
      <c r="F176" s="3303"/>
      <c r="G176" s="3303"/>
      <c r="H176" s="3303"/>
      <c r="I176" s="3303"/>
      <c r="J176" s="3303"/>
      <c r="K176" s="3304"/>
      <c r="L176" s="3305"/>
      <c r="M176" s="3303"/>
      <c r="N176" s="3303"/>
      <c r="O176" s="3303"/>
      <c r="P176" s="3303"/>
      <c r="Q176" s="3303"/>
      <c r="R176" s="3303"/>
      <c r="S176" s="3303"/>
      <c r="T176" s="3303"/>
      <c r="U176" s="3303"/>
      <c r="V176" s="3303"/>
      <c r="W176" s="3303"/>
      <c r="X176" s="3303"/>
      <c r="Y176" s="3303"/>
      <c r="Z176" s="3303"/>
      <c r="AA176" s="3303"/>
      <c r="AB176" s="3303"/>
      <c r="AC176" s="3303"/>
    </row>
    <row r="177" spans="1:29">
      <c r="A177" s="3303"/>
      <c r="B177" s="3303"/>
      <c r="C177" s="3303"/>
      <c r="D177" s="3303"/>
      <c r="E177" s="3303"/>
      <c r="F177" s="3303"/>
      <c r="G177" s="3303"/>
      <c r="H177" s="3303"/>
      <c r="I177" s="3303"/>
      <c r="J177" s="3303"/>
      <c r="K177" s="3304"/>
      <c r="L177" s="3305"/>
      <c r="M177" s="3303"/>
      <c r="N177" s="3303"/>
      <c r="O177" s="3303"/>
      <c r="P177" s="3303"/>
      <c r="Q177" s="3303"/>
      <c r="R177" s="3303"/>
      <c r="S177" s="3303"/>
      <c r="T177" s="3303"/>
      <c r="U177" s="3303"/>
      <c r="V177" s="3303"/>
      <c r="W177" s="3303"/>
      <c r="X177" s="3303"/>
      <c r="Y177" s="3303"/>
      <c r="Z177" s="3303"/>
      <c r="AA177" s="3303"/>
      <c r="AB177" s="3303"/>
      <c r="AC177" s="3303"/>
    </row>
    <row r="178" spans="1:29">
      <c r="A178" s="3303"/>
      <c r="B178" s="3303"/>
      <c r="C178" s="3303"/>
      <c r="D178" s="3303"/>
      <c r="E178" s="3303"/>
      <c r="F178" s="3303"/>
      <c r="G178" s="3303"/>
      <c r="H178" s="3303"/>
      <c r="I178" s="3303"/>
      <c r="J178" s="3303"/>
      <c r="K178" s="3304"/>
      <c r="L178" s="3305"/>
      <c r="M178" s="3303"/>
      <c r="N178" s="3303"/>
      <c r="O178" s="3303"/>
      <c r="P178" s="3303"/>
      <c r="Q178" s="3303"/>
      <c r="R178" s="3303"/>
      <c r="S178" s="3303"/>
      <c r="T178" s="3303"/>
      <c r="U178" s="3303"/>
      <c r="V178" s="3303"/>
      <c r="W178" s="3303"/>
      <c r="X178" s="3303"/>
      <c r="Y178" s="3303"/>
      <c r="Z178" s="3303"/>
      <c r="AA178" s="3303"/>
      <c r="AB178" s="3303"/>
      <c r="AC178" s="3303"/>
    </row>
    <row r="179" spans="1:29">
      <c r="A179" s="3303"/>
      <c r="B179" s="3303"/>
      <c r="C179" s="3303"/>
      <c r="D179" s="3303"/>
      <c r="E179" s="3303"/>
      <c r="F179" s="3303"/>
      <c r="G179" s="3303"/>
      <c r="H179" s="3303"/>
      <c r="I179" s="3303"/>
      <c r="J179" s="3303"/>
      <c r="K179" s="3304"/>
      <c r="L179" s="3305"/>
      <c r="M179" s="3303"/>
      <c r="N179" s="3303"/>
      <c r="O179" s="3303"/>
      <c r="P179" s="3303"/>
      <c r="Q179" s="3303"/>
      <c r="R179" s="3303"/>
      <c r="S179" s="3303"/>
      <c r="T179" s="3303"/>
      <c r="U179" s="3303"/>
      <c r="V179" s="3303"/>
      <c r="W179" s="3303"/>
      <c r="X179" s="3303"/>
      <c r="Y179" s="3303"/>
      <c r="Z179" s="3303"/>
      <c r="AA179" s="3303"/>
      <c r="AB179" s="3303"/>
      <c r="AC179" s="3303"/>
    </row>
    <row r="180" spans="1:29">
      <c r="A180" s="3303"/>
      <c r="B180" s="3303"/>
      <c r="C180" s="3303"/>
      <c r="D180" s="3303"/>
      <c r="E180" s="3303"/>
      <c r="F180" s="3303"/>
      <c r="G180" s="3303"/>
      <c r="H180" s="3303"/>
      <c r="I180" s="3303"/>
      <c r="J180" s="3303"/>
      <c r="K180" s="3304"/>
      <c r="L180" s="3305"/>
      <c r="M180" s="3303"/>
      <c r="N180" s="3303"/>
      <c r="O180" s="3303"/>
      <c r="P180" s="3303"/>
      <c r="Q180" s="3303"/>
      <c r="R180" s="3303"/>
      <c r="S180" s="3303"/>
      <c r="T180" s="3303"/>
      <c r="U180" s="3303"/>
      <c r="V180" s="3303"/>
      <c r="W180" s="3303"/>
      <c r="X180" s="3303"/>
      <c r="Y180" s="3303"/>
      <c r="Z180" s="3303"/>
      <c r="AA180" s="3303"/>
      <c r="AB180" s="3303"/>
      <c r="AC180" s="3303"/>
    </row>
    <row r="181" spans="1:29">
      <c r="A181" s="3303"/>
      <c r="B181" s="3303"/>
      <c r="C181" s="3303"/>
      <c r="D181" s="3303"/>
      <c r="E181" s="3303"/>
      <c r="F181" s="3303"/>
      <c r="G181" s="3303"/>
      <c r="H181" s="3303"/>
      <c r="I181" s="3303"/>
      <c r="J181" s="3303"/>
      <c r="K181" s="3304"/>
      <c r="L181" s="3305"/>
      <c r="M181" s="3303"/>
      <c r="N181" s="3303"/>
      <c r="O181" s="3303"/>
      <c r="P181" s="3303"/>
      <c r="Q181" s="3303"/>
      <c r="R181" s="3303"/>
      <c r="S181" s="3303"/>
      <c r="T181" s="3303"/>
      <c r="U181" s="3303"/>
      <c r="V181" s="3303"/>
      <c r="W181" s="3303"/>
      <c r="X181" s="3303"/>
      <c r="Y181" s="3303"/>
      <c r="Z181" s="3303"/>
      <c r="AA181" s="3303"/>
      <c r="AB181" s="3303"/>
      <c r="AC181" s="3303"/>
    </row>
    <row r="182" spans="1:29">
      <c r="A182" s="3303"/>
      <c r="B182" s="3303"/>
      <c r="C182" s="3303"/>
      <c r="D182" s="3303"/>
      <c r="E182" s="3303"/>
      <c r="F182" s="3303"/>
      <c r="G182" s="3303"/>
      <c r="H182" s="3303"/>
      <c r="I182" s="3303"/>
      <c r="J182" s="3303"/>
      <c r="K182" s="3304"/>
      <c r="L182" s="3305"/>
      <c r="M182" s="3303"/>
      <c r="N182" s="3303"/>
      <c r="O182" s="3303"/>
      <c r="P182" s="3303"/>
      <c r="Q182" s="3303"/>
      <c r="R182" s="3303"/>
      <c r="S182" s="3303"/>
      <c r="T182" s="3303"/>
      <c r="U182" s="3303"/>
      <c r="V182" s="3303"/>
      <c r="W182" s="3303"/>
      <c r="X182" s="3303"/>
      <c r="Y182" s="3303"/>
      <c r="Z182" s="3303"/>
      <c r="AA182" s="3303"/>
      <c r="AB182" s="3303"/>
      <c r="AC182" s="3303"/>
    </row>
    <row r="183" spans="1:29">
      <c r="A183" s="3303"/>
      <c r="B183" s="3303"/>
      <c r="C183" s="3303"/>
      <c r="D183" s="3303"/>
      <c r="E183" s="3303"/>
      <c r="F183" s="3303"/>
      <c r="G183" s="3303"/>
      <c r="H183" s="3303"/>
      <c r="I183" s="3303"/>
      <c r="J183" s="3303"/>
      <c r="K183" s="3304"/>
      <c r="L183" s="3305"/>
      <c r="M183" s="3303"/>
      <c r="N183" s="3303"/>
      <c r="O183" s="3303"/>
      <c r="P183" s="3303"/>
      <c r="Q183" s="3303"/>
      <c r="R183" s="3303"/>
      <c r="S183" s="3303"/>
      <c r="T183" s="3303"/>
      <c r="U183" s="3303"/>
      <c r="V183" s="3303"/>
      <c r="W183" s="3303"/>
      <c r="X183" s="3303"/>
      <c r="Y183" s="3303"/>
      <c r="Z183" s="3303"/>
      <c r="AA183" s="3303"/>
      <c r="AB183" s="3303"/>
      <c r="AC183" s="3303"/>
    </row>
    <row r="184" spans="1:29">
      <c r="A184" s="3303"/>
      <c r="B184" s="3303"/>
      <c r="C184" s="3303"/>
      <c r="D184" s="3303"/>
      <c r="E184" s="3303"/>
      <c r="F184" s="3303"/>
      <c r="G184" s="3303"/>
      <c r="H184" s="3303"/>
      <c r="I184" s="3303"/>
      <c r="J184" s="3303"/>
      <c r="K184" s="3304"/>
      <c r="L184" s="3305"/>
      <c r="M184" s="3303"/>
      <c r="N184" s="3303"/>
      <c r="O184" s="3303"/>
      <c r="P184" s="3303"/>
      <c r="Q184" s="3303"/>
      <c r="R184" s="3303"/>
      <c r="S184" s="3303"/>
      <c r="T184" s="3303"/>
      <c r="U184" s="3303"/>
      <c r="V184" s="3303"/>
      <c r="W184" s="3303"/>
      <c r="X184" s="3303"/>
      <c r="Y184" s="3303"/>
      <c r="Z184" s="3303"/>
      <c r="AA184" s="3303"/>
      <c r="AB184" s="3303"/>
      <c r="AC184" s="3303"/>
    </row>
    <row r="185" spans="1:29">
      <c r="A185" s="3303"/>
      <c r="B185" s="3303"/>
      <c r="C185" s="3303"/>
      <c r="D185" s="3303"/>
      <c r="E185" s="3303"/>
      <c r="F185" s="3303"/>
      <c r="G185" s="3303"/>
      <c r="H185" s="3303"/>
      <c r="I185" s="3303"/>
      <c r="J185" s="3303"/>
      <c r="K185" s="3304"/>
      <c r="L185" s="3305"/>
      <c r="M185" s="3303"/>
      <c r="N185" s="3303"/>
      <c r="O185" s="3303"/>
      <c r="P185" s="3303"/>
      <c r="Q185" s="3303"/>
      <c r="R185" s="3303"/>
      <c r="S185" s="3303"/>
      <c r="T185" s="3303"/>
      <c r="U185" s="3303"/>
      <c r="V185" s="3303"/>
      <c r="W185" s="3303"/>
      <c r="X185" s="3303"/>
      <c r="Y185" s="3303"/>
      <c r="Z185" s="3303"/>
      <c r="AA185" s="3303"/>
      <c r="AB185" s="3303"/>
      <c r="AC185" s="3303"/>
    </row>
    <row r="186" spans="1:29">
      <c r="A186" s="3303"/>
      <c r="B186" s="3303"/>
      <c r="C186" s="3303"/>
      <c r="D186" s="3303"/>
      <c r="E186" s="3303"/>
      <c r="F186" s="3303"/>
      <c r="G186" s="3303"/>
      <c r="H186" s="3303"/>
      <c r="I186" s="3303"/>
      <c r="J186" s="3303"/>
      <c r="K186" s="3304"/>
      <c r="L186" s="3305"/>
      <c r="M186" s="3303"/>
      <c r="N186" s="3303"/>
      <c r="O186" s="3303"/>
      <c r="P186" s="3303"/>
      <c r="Q186" s="3303"/>
      <c r="R186" s="3303"/>
      <c r="S186" s="3303"/>
      <c r="T186" s="3303"/>
      <c r="U186" s="3303"/>
      <c r="V186" s="3303"/>
      <c r="W186" s="3303"/>
      <c r="X186" s="3303"/>
      <c r="Y186" s="3303"/>
      <c r="Z186" s="3303"/>
      <c r="AA186" s="3303"/>
      <c r="AB186" s="3303"/>
      <c r="AC186" s="3303"/>
    </row>
    <row r="187" spans="1:29">
      <c r="A187" s="3303"/>
      <c r="B187" s="3303"/>
      <c r="C187" s="3303"/>
      <c r="D187" s="3303"/>
      <c r="E187" s="3303"/>
      <c r="F187" s="3303"/>
      <c r="G187" s="3303"/>
      <c r="H187" s="3303"/>
      <c r="I187" s="3303"/>
      <c r="J187" s="3303"/>
      <c r="K187" s="3304"/>
      <c r="L187" s="3305"/>
      <c r="M187" s="3303"/>
      <c r="N187" s="3303"/>
      <c r="O187" s="3303"/>
      <c r="P187" s="3303"/>
      <c r="Q187" s="3303"/>
      <c r="R187" s="3303"/>
      <c r="S187" s="3303"/>
      <c r="T187" s="3303"/>
      <c r="U187" s="3303"/>
      <c r="V187" s="3303"/>
      <c r="W187" s="3303"/>
      <c r="X187" s="3303"/>
      <c r="Y187" s="3303"/>
      <c r="Z187" s="3303"/>
      <c r="AA187" s="3303"/>
      <c r="AB187" s="3303"/>
      <c r="AC187" s="3303"/>
    </row>
    <row r="188" spans="1:29">
      <c r="A188" s="3303"/>
      <c r="B188" s="3303"/>
      <c r="C188" s="3303"/>
      <c r="D188" s="3303"/>
      <c r="E188" s="3303"/>
      <c r="F188" s="3303"/>
      <c r="G188" s="3303"/>
      <c r="H188" s="3303"/>
      <c r="I188" s="3303"/>
      <c r="J188" s="3303"/>
      <c r="K188" s="3304"/>
      <c r="L188" s="3305"/>
      <c r="M188" s="3303"/>
      <c r="N188" s="3303"/>
      <c r="O188" s="3303"/>
      <c r="P188" s="3303"/>
      <c r="Q188" s="3303"/>
      <c r="R188" s="3303"/>
      <c r="S188" s="3303"/>
      <c r="T188" s="3303"/>
      <c r="U188" s="3303"/>
      <c r="V188" s="3303"/>
      <c r="W188" s="3303"/>
      <c r="X188" s="3303"/>
      <c r="Y188" s="3303"/>
      <c r="Z188" s="3303"/>
      <c r="AA188" s="3303"/>
      <c r="AB188" s="3303"/>
      <c r="AC188" s="3303"/>
    </row>
    <row r="189" spans="1:29">
      <c r="A189" s="3303"/>
      <c r="B189" s="3303"/>
      <c r="C189" s="3303"/>
      <c r="D189" s="3303"/>
      <c r="E189" s="3303"/>
      <c r="F189" s="3303"/>
      <c r="G189" s="3303"/>
      <c r="H189" s="3303"/>
      <c r="I189" s="3303"/>
      <c r="J189" s="3303"/>
      <c r="K189" s="3304"/>
      <c r="L189" s="3305"/>
      <c r="M189" s="3303"/>
      <c r="N189" s="3303"/>
      <c r="O189" s="3303"/>
      <c r="P189" s="3303"/>
      <c r="Q189" s="3303"/>
      <c r="R189" s="3303"/>
      <c r="S189" s="3303"/>
      <c r="T189" s="3303"/>
      <c r="U189" s="3303"/>
      <c r="V189" s="3303"/>
      <c r="W189" s="3303"/>
      <c r="X189" s="3303"/>
      <c r="Y189" s="3303"/>
      <c r="Z189" s="3303"/>
      <c r="AA189" s="3303"/>
      <c r="AB189" s="3303"/>
      <c r="AC189" s="3303"/>
    </row>
    <row r="190" spans="1:29">
      <c r="A190" s="3303"/>
      <c r="B190" s="3303"/>
      <c r="C190" s="3303"/>
      <c r="D190" s="3303"/>
      <c r="E190" s="3303"/>
      <c r="F190" s="3303"/>
      <c r="G190" s="3303"/>
      <c r="H190" s="3303"/>
      <c r="I190" s="3303"/>
      <c r="J190" s="3303"/>
      <c r="K190" s="3304"/>
      <c r="L190" s="3305"/>
      <c r="M190" s="3303"/>
      <c r="N190" s="3303"/>
      <c r="O190" s="3303"/>
      <c r="P190" s="3303"/>
      <c r="Q190" s="3303"/>
      <c r="R190" s="3303"/>
      <c r="S190" s="3303"/>
      <c r="T190" s="3303"/>
      <c r="U190" s="3303"/>
      <c r="V190" s="3303"/>
      <c r="W190" s="3303"/>
      <c r="X190" s="3303"/>
      <c r="Y190" s="3303"/>
      <c r="Z190" s="3303"/>
      <c r="AA190" s="3303"/>
      <c r="AB190" s="3303"/>
      <c r="AC190" s="3303"/>
    </row>
    <row r="191" spans="1:29">
      <c r="A191" s="3303"/>
      <c r="B191" s="3303"/>
      <c r="C191" s="3303"/>
      <c r="D191" s="3303"/>
      <c r="E191" s="3303"/>
      <c r="F191" s="3303"/>
      <c r="G191" s="3303"/>
      <c r="H191" s="3303"/>
      <c r="I191" s="3303"/>
      <c r="J191" s="3303"/>
      <c r="K191" s="3304"/>
      <c r="L191" s="3305"/>
      <c r="M191" s="3303"/>
      <c r="N191" s="3303"/>
      <c r="O191" s="3303"/>
      <c r="P191" s="3303"/>
      <c r="Q191" s="3303"/>
      <c r="R191" s="3303"/>
      <c r="S191" s="3303"/>
      <c r="T191" s="3303"/>
      <c r="U191" s="3303"/>
      <c r="V191" s="3303"/>
      <c r="W191" s="3303"/>
      <c r="X191" s="3303"/>
      <c r="Y191" s="3303"/>
      <c r="Z191" s="3303"/>
      <c r="AA191" s="3303"/>
      <c r="AB191" s="3303"/>
      <c r="AC191" s="3303"/>
    </row>
    <row r="192" spans="1:29">
      <c r="A192" s="3303"/>
      <c r="B192" s="3303"/>
      <c r="C192" s="3303"/>
      <c r="D192" s="3303"/>
      <c r="E192" s="3303"/>
      <c r="F192" s="3303"/>
      <c r="G192" s="3303"/>
      <c r="H192" s="3303"/>
      <c r="I192" s="3303"/>
      <c r="J192" s="3303"/>
      <c r="K192" s="3304"/>
      <c r="L192" s="3305"/>
      <c r="M192" s="3303"/>
      <c r="N192" s="3303"/>
      <c r="O192" s="3303"/>
      <c r="P192" s="3303"/>
      <c r="Q192" s="3303"/>
      <c r="R192" s="3303"/>
      <c r="S192" s="3303"/>
      <c r="T192" s="3303"/>
      <c r="U192" s="3303"/>
      <c r="V192" s="3303"/>
      <c r="W192" s="3303"/>
      <c r="X192" s="3303"/>
      <c r="Y192" s="3303"/>
      <c r="Z192" s="3303"/>
      <c r="AA192" s="3303"/>
      <c r="AB192" s="3303"/>
      <c r="AC192" s="3303"/>
    </row>
    <row r="193" spans="1:29">
      <c r="A193" s="3303"/>
      <c r="B193" s="3303"/>
      <c r="C193" s="3303"/>
      <c r="D193" s="3303"/>
      <c r="E193" s="3303"/>
      <c r="F193" s="3303"/>
      <c r="G193" s="3303"/>
      <c r="H193" s="3303"/>
      <c r="I193" s="3303"/>
      <c r="J193" s="3303"/>
      <c r="K193" s="3304"/>
      <c r="L193" s="3305"/>
      <c r="M193" s="3303"/>
      <c r="N193" s="3303"/>
      <c r="O193" s="3303"/>
      <c r="P193" s="3303"/>
      <c r="Q193" s="3303"/>
      <c r="R193" s="3303"/>
      <c r="S193" s="3303"/>
      <c r="T193" s="3303"/>
      <c r="U193" s="3303"/>
      <c r="V193" s="3303"/>
      <c r="W193" s="3303"/>
      <c r="X193" s="3303"/>
      <c r="Y193" s="3303"/>
      <c r="Z193" s="3303"/>
      <c r="AA193" s="3303"/>
      <c r="AB193" s="3303"/>
      <c r="AC193" s="3303"/>
    </row>
    <row r="194" spans="1:29">
      <c r="A194" s="3303"/>
      <c r="B194" s="3303"/>
      <c r="C194" s="3303"/>
      <c r="D194" s="3303"/>
      <c r="E194" s="3303"/>
      <c r="F194" s="3303"/>
      <c r="G194" s="3303"/>
      <c r="H194" s="3303"/>
      <c r="I194" s="3303"/>
      <c r="J194" s="3303"/>
      <c r="K194" s="3304"/>
      <c r="L194" s="3305"/>
      <c r="M194" s="3303"/>
      <c r="N194" s="3303"/>
      <c r="O194" s="3303"/>
      <c r="P194" s="3303"/>
      <c r="Q194" s="3303"/>
      <c r="R194" s="3303"/>
      <c r="S194" s="3303"/>
      <c r="T194" s="3303"/>
      <c r="U194" s="3303"/>
      <c r="V194" s="3303"/>
      <c r="W194" s="3303"/>
      <c r="X194" s="3303"/>
      <c r="Y194" s="3303"/>
      <c r="Z194" s="3303"/>
      <c r="AA194" s="3303"/>
      <c r="AB194" s="3303"/>
      <c r="AC194" s="3303"/>
    </row>
    <row r="195" spans="1:29">
      <c r="A195" s="3303"/>
      <c r="B195" s="3303"/>
      <c r="C195" s="3303"/>
      <c r="D195" s="3303"/>
      <c r="E195" s="3303"/>
      <c r="F195" s="3303"/>
      <c r="G195" s="3303"/>
      <c r="H195" s="3303"/>
      <c r="I195" s="3303"/>
      <c r="J195" s="3303"/>
      <c r="K195" s="3304"/>
      <c r="L195" s="3305"/>
      <c r="M195" s="3303"/>
      <c r="N195" s="3303"/>
      <c r="O195" s="3303"/>
      <c r="P195" s="3303"/>
      <c r="Q195" s="3303"/>
      <c r="R195" s="3303"/>
      <c r="S195" s="3303"/>
      <c r="T195" s="3303"/>
      <c r="U195" s="3303"/>
      <c r="V195" s="3303"/>
      <c r="W195" s="3303"/>
      <c r="X195" s="3303"/>
      <c r="Y195" s="3303"/>
      <c r="Z195" s="3303"/>
      <c r="AA195" s="3303"/>
      <c r="AB195" s="3303"/>
      <c r="AC195" s="3303"/>
    </row>
    <row r="196" spans="1:29">
      <c r="A196" s="3303"/>
      <c r="B196" s="3303"/>
      <c r="C196" s="3303"/>
      <c r="D196" s="3303"/>
      <c r="E196" s="3303"/>
      <c r="F196" s="3303"/>
      <c r="G196" s="3303"/>
      <c r="H196" s="3303"/>
      <c r="I196" s="3303"/>
      <c r="J196" s="3303"/>
      <c r="K196" s="3304"/>
      <c r="L196" s="3305"/>
      <c r="M196" s="3303"/>
      <c r="N196" s="3303"/>
      <c r="O196" s="3303"/>
      <c r="P196" s="3303"/>
      <c r="Q196" s="3303"/>
      <c r="R196" s="3303"/>
      <c r="S196" s="3303"/>
      <c r="T196" s="3303"/>
      <c r="U196" s="3303"/>
      <c r="V196" s="3303"/>
      <c r="W196" s="3303"/>
      <c r="X196" s="3303"/>
      <c r="Y196" s="3303"/>
      <c r="Z196" s="3303"/>
      <c r="AA196" s="3303"/>
      <c r="AB196" s="3303"/>
      <c r="AC196" s="3303"/>
    </row>
    <row r="197" spans="1:29">
      <c r="A197" s="3303"/>
      <c r="B197" s="3303"/>
      <c r="C197" s="3303"/>
      <c r="D197" s="3303"/>
      <c r="E197" s="3303"/>
      <c r="F197" s="3303"/>
      <c r="G197" s="3303"/>
      <c r="H197" s="3303"/>
      <c r="I197" s="3303"/>
      <c r="J197" s="3303"/>
      <c r="K197" s="3304"/>
      <c r="L197" s="3305"/>
      <c r="M197" s="3303"/>
      <c r="N197" s="3303"/>
      <c r="O197" s="3303"/>
      <c r="P197" s="3303"/>
      <c r="Q197" s="3303"/>
      <c r="R197" s="3303"/>
      <c r="S197" s="3303"/>
      <c r="T197" s="3303"/>
      <c r="U197" s="3303"/>
      <c r="V197" s="3303"/>
      <c r="W197" s="3303"/>
      <c r="X197" s="3303"/>
      <c r="Y197" s="3303"/>
      <c r="Z197" s="3303"/>
      <c r="AA197" s="3303"/>
      <c r="AB197" s="3303"/>
      <c r="AC197" s="3303"/>
    </row>
    <row r="198" spans="1:29">
      <c r="A198" s="3303"/>
      <c r="B198" s="3303"/>
      <c r="C198" s="3303"/>
      <c r="D198" s="3303"/>
      <c r="E198" s="3303"/>
      <c r="F198" s="3303"/>
      <c r="G198" s="3303"/>
      <c r="H198" s="3303"/>
      <c r="I198" s="3303"/>
      <c r="J198" s="3303"/>
      <c r="K198" s="3304"/>
      <c r="L198" s="3305"/>
      <c r="M198" s="3303"/>
      <c r="N198" s="3303"/>
      <c r="O198" s="3303"/>
      <c r="P198" s="3303"/>
      <c r="Q198" s="3303"/>
      <c r="R198" s="3303"/>
      <c r="S198" s="3303"/>
      <c r="T198" s="3303"/>
      <c r="U198" s="3303"/>
      <c r="V198" s="3303"/>
      <c r="W198" s="3303"/>
      <c r="X198" s="3303"/>
      <c r="Y198" s="3303"/>
      <c r="Z198" s="3303"/>
      <c r="AA198" s="3303"/>
      <c r="AB198" s="3303"/>
      <c r="AC198" s="3303"/>
    </row>
    <row r="199" spans="1:29">
      <c r="A199" s="3303"/>
      <c r="B199" s="3303"/>
      <c r="C199" s="3303"/>
      <c r="D199" s="3303"/>
      <c r="E199" s="3303"/>
      <c r="F199" s="3303"/>
      <c r="G199" s="3303"/>
      <c r="H199" s="3303"/>
      <c r="I199" s="3303"/>
      <c r="J199" s="3303"/>
      <c r="K199" s="3304"/>
      <c r="L199" s="3305"/>
      <c r="M199" s="3303"/>
      <c r="N199" s="3303"/>
      <c r="O199" s="3303"/>
      <c r="P199" s="3303"/>
      <c r="Q199" s="3303"/>
      <c r="R199" s="3303"/>
      <c r="S199" s="3303"/>
      <c r="T199" s="3303"/>
      <c r="U199" s="3303"/>
      <c r="V199" s="3303"/>
      <c r="W199" s="3303"/>
      <c r="X199" s="3303"/>
      <c r="Y199" s="3303"/>
      <c r="Z199" s="3303"/>
      <c r="AA199" s="3303"/>
      <c r="AB199" s="3303"/>
      <c r="AC199" s="3303"/>
    </row>
    <row r="200" spans="1:29">
      <c r="A200" s="3303"/>
      <c r="B200" s="3303"/>
      <c r="C200" s="3303"/>
      <c r="D200" s="3303"/>
      <c r="E200" s="3303"/>
      <c r="F200" s="3303"/>
      <c r="G200" s="3303"/>
      <c r="H200" s="3303"/>
      <c r="I200" s="3303"/>
      <c r="J200" s="3303"/>
      <c r="K200" s="3304"/>
      <c r="L200" s="3305"/>
      <c r="M200" s="3303"/>
      <c r="N200" s="3303"/>
      <c r="O200" s="3303"/>
      <c r="P200" s="3303"/>
      <c r="Q200" s="3303"/>
      <c r="R200" s="3303"/>
      <c r="S200" s="3303"/>
      <c r="T200" s="3303"/>
      <c r="U200" s="3303"/>
      <c r="V200" s="3303"/>
      <c r="W200" s="3303"/>
      <c r="X200" s="3303"/>
      <c r="Y200" s="3303"/>
      <c r="Z200" s="3303"/>
      <c r="AA200" s="3303"/>
      <c r="AB200" s="3303"/>
      <c r="AC200" s="3303"/>
    </row>
    <row r="201" spans="1:29">
      <c r="A201" s="3303"/>
      <c r="B201" s="3303"/>
      <c r="C201" s="3303"/>
      <c r="D201" s="3303"/>
      <c r="E201" s="3303"/>
      <c r="F201" s="3303"/>
      <c r="G201" s="3303"/>
      <c r="H201" s="3303"/>
      <c r="I201" s="3303"/>
      <c r="J201" s="3303"/>
      <c r="K201" s="3304"/>
      <c r="L201" s="3305"/>
      <c r="M201" s="3303"/>
      <c r="N201" s="3303"/>
      <c r="O201" s="3303"/>
      <c r="P201" s="3303"/>
      <c r="Q201" s="3303"/>
      <c r="R201" s="3303"/>
      <c r="S201" s="3303"/>
      <c r="T201" s="3303"/>
      <c r="U201" s="3303"/>
      <c r="V201" s="3303"/>
      <c r="W201" s="3303"/>
      <c r="X201" s="3303"/>
      <c r="Y201" s="3303"/>
      <c r="Z201" s="3303"/>
      <c r="AA201" s="3303"/>
      <c r="AB201" s="3303"/>
      <c r="AC201" s="3303"/>
    </row>
    <row r="202" spans="1:29">
      <c r="A202" s="3303"/>
      <c r="B202" s="3303"/>
      <c r="C202" s="3303"/>
      <c r="D202" s="3303"/>
      <c r="E202" s="3303"/>
      <c r="F202" s="3303"/>
      <c r="G202" s="3303"/>
      <c r="H202" s="3303"/>
      <c r="I202" s="3303"/>
      <c r="J202" s="3303"/>
      <c r="K202" s="3304"/>
      <c r="L202" s="3305"/>
      <c r="M202" s="3303"/>
      <c r="N202" s="3303"/>
      <c r="O202" s="3303"/>
      <c r="P202" s="3303"/>
      <c r="Q202" s="3303"/>
      <c r="R202" s="3303"/>
      <c r="S202" s="3303"/>
      <c r="T202" s="3303"/>
      <c r="U202" s="3303"/>
      <c r="V202" s="3303"/>
      <c r="W202" s="3303"/>
      <c r="X202" s="3303"/>
      <c r="Y202" s="3303"/>
      <c r="Z202" s="3303"/>
      <c r="AA202" s="3303"/>
      <c r="AB202" s="3303"/>
      <c r="AC202" s="3303"/>
    </row>
    <row r="203" spans="1:29">
      <c r="A203" s="3303"/>
      <c r="B203" s="3303"/>
      <c r="C203" s="3303"/>
      <c r="D203" s="3303"/>
      <c r="E203" s="3303"/>
      <c r="F203" s="3303"/>
      <c r="G203" s="3303"/>
      <c r="H203" s="3303"/>
      <c r="I203" s="3303"/>
      <c r="J203" s="3303"/>
      <c r="K203" s="3304"/>
      <c r="L203" s="3305"/>
      <c r="M203" s="3303"/>
      <c r="N203" s="3303"/>
      <c r="O203" s="3303"/>
      <c r="P203" s="3303"/>
      <c r="Q203" s="3303"/>
      <c r="R203" s="3303"/>
      <c r="S203" s="3303"/>
      <c r="T203" s="3303"/>
      <c r="U203" s="3303"/>
      <c r="V203" s="3303"/>
      <c r="W203" s="3303"/>
      <c r="X203" s="3303"/>
      <c r="Y203" s="3303"/>
      <c r="Z203" s="3303"/>
      <c r="AA203" s="3303"/>
      <c r="AB203" s="3303"/>
      <c r="AC203" s="3303"/>
    </row>
    <row r="204" spans="1:29">
      <c r="A204" s="3303"/>
      <c r="B204" s="3303"/>
      <c r="C204" s="3303"/>
      <c r="D204" s="3303"/>
      <c r="E204" s="3303"/>
      <c r="F204" s="3303"/>
      <c r="G204" s="3303"/>
      <c r="H204" s="3303"/>
      <c r="I204" s="3303"/>
      <c r="J204" s="3303"/>
      <c r="K204" s="3304"/>
      <c r="L204" s="3305"/>
      <c r="M204" s="3303"/>
      <c r="N204" s="3303"/>
      <c r="O204" s="3303"/>
      <c r="P204" s="3303"/>
      <c r="Q204" s="3303"/>
      <c r="R204" s="3303"/>
      <c r="S204" s="3303"/>
      <c r="T204" s="3303"/>
      <c r="U204" s="3303"/>
      <c r="V204" s="3303"/>
      <c r="W204" s="3303"/>
      <c r="X204" s="3303"/>
      <c r="Y204" s="3303"/>
      <c r="Z204" s="3303"/>
      <c r="AA204" s="3303"/>
      <c r="AB204" s="3303"/>
      <c r="AC204" s="3303"/>
    </row>
    <row r="205" spans="1:29">
      <c r="A205" s="3303"/>
      <c r="B205" s="3303"/>
      <c r="C205" s="3303"/>
      <c r="D205" s="3303"/>
      <c r="E205" s="3303"/>
      <c r="F205" s="3303"/>
      <c r="G205" s="3303"/>
      <c r="H205" s="3303"/>
      <c r="I205" s="3303"/>
      <c r="J205" s="3303"/>
      <c r="K205" s="3304"/>
      <c r="L205" s="3305"/>
      <c r="M205" s="3303"/>
      <c r="N205" s="3303"/>
      <c r="O205" s="3303"/>
      <c r="P205" s="3303"/>
      <c r="Q205" s="3303"/>
      <c r="R205" s="3303"/>
      <c r="S205" s="3303"/>
      <c r="T205" s="3303"/>
      <c r="U205" s="3303"/>
      <c r="V205" s="3303"/>
      <c r="W205" s="3303"/>
      <c r="X205" s="3303"/>
      <c r="Y205" s="3303"/>
      <c r="Z205" s="3303"/>
      <c r="AA205" s="3303"/>
      <c r="AB205" s="3303"/>
      <c r="AC205" s="3303"/>
    </row>
    <row r="206" spans="1:29">
      <c r="A206" s="3303"/>
      <c r="B206" s="3303"/>
      <c r="C206" s="3303"/>
      <c r="D206" s="3303"/>
      <c r="E206" s="3303"/>
      <c r="F206" s="3303"/>
      <c r="G206" s="3303"/>
      <c r="H206" s="3303"/>
      <c r="I206" s="3303"/>
      <c r="J206" s="3303"/>
      <c r="K206" s="3304"/>
      <c r="L206" s="3305"/>
      <c r="M206" s="3303"/>
      <c r="N206" s="3303"/>
      <c r="O206" s="3303"/>
      <c r="P206" s="3303"/>
      <c r="Q206" s="3303"/>
      <c r="R206" s="3303"/>
      <c r="S206" s="3303"/>
      <c r="T206" s="3303"/>
      <c r="U206" s="3303"/>
      <c r="V206" s="3303"/>
      <c r="W206" s="3303"/>
      <c r="X206" s="3303"/>
      <c r="Y206" s="3303"/>
      <c r="Z206" s="3303"/>
      <c r="AA206" s="3303"/>
      <c r="AB206" s="3303"/>
      <c r="AC206" s="3303"/>
    </row>
    <row r="207" spans="1:29">
      <c r="A207" s="3303"/>
      <c r="B207" s="3303"/>
      <c r="C207" s="3303"/>
      <c r="D207" s="3303"/>
      <c r="E207" s="3303"/>
      <c r="F207" s="3303"/>
      <c r="G207" s="3303"/>
      <c r="H207" s="3303"/>
      <c r="I207" s="3303"/>
      <c r="J207" s="3303"/>
      <c r="K207" s="3304"/>
      <c r="L207" s="3305"/>
      <c r="M207" s="3303"/>
      <c r="N207" s="3303"/>
      <c r="O207" s="3303"/>
      <c r="P207" s="3303"/>
      <c r="Q207" s="3303"/>
      <c r="R207" s="3303"/>
      <c r="S207" s="3303"/>
      <c r="T207" s="3303"/>
      <c r="U207" s="3303"/>
      <c r="V207" s="3303"/>
      <c r="W207" s="3303"/>
      <c r="X207" s="3303"/>
      <c r="Y207" s="3303"/>
      <c r="Z207" s="3303"/>
      <c r="AA207" s="3303"/>
      <c r="AB207" s="3303"/>
      <c r="AC207" s="3303"/>
    </row>
    <row r="208" spans="1:29">
      <c r="A208" s="3303"/>
      <c r="B208" s="3303"/>
      <c r="C208" s="3303"/>
      <c r="D208" s="3303"/>
      <c r="E208" s="3303"/>
      <c r="F208" s="3303"/>
      <c r="G208" s="3303"/>
      <c r="H208" s="3303"/>
      <c r="I208" s="3303"/>
      <c r="J208" s="3303"/>
      <c r="K208" s="3304"/>
      <c r="L208" s="3305"/>
      <c r="M208" s="3303"/>
      <c r="N208" s="3303"/>
      <c r="O208" s="3303"/>
      <c r="P208" s="3303"/>
      <c r="Q208" s="3303"/>
      <c r="R208" s="3303"/>
      <c r="S208" s="3303"/>
      <c r="T208" s="3303"/>
      <c r="U208" s="3303"/>
      <c r="V208" s="3303"/>
      <c r="W208" s="3303"/>
      <c r="X208" s="3303"/>
      <c r="Y208" s="3303"/>
      <c r="Z208" s="3303"/>
      <c r="AA208" s="3303"/>
      <c r="AB208" s="3303"/>
      <c r="AC208" s="3303"/>
    </row>
    <row r="209" spans="1:29">
      <c r="A209" s="3303"/>
      <c r="B209" s="3303"/>
      <c r="C209" s="3303"/>
      <c r="D209" s="3303"/>
      <c r="E209" s="3303"/>
      <c r="F209" s="3303"/>
      <c r="G209" s="3303"/>
      <c r="H209" s="3303"/>
      <c r="I209" s="3303"/>
      <c r="J209" s="3303"/>
      <c r="K209" s="3304"/>
      <c r="L209" s="3305"/>
      <c r="M209" s="3303"/>
      <c r="N209" s="3303"/>
      <c r="O209" s="3303"/>
      <c r="P209" s="3303"/>
      <c r="Q209" s="3303"/>
      <c r="R209" s="3303"/>
      <c r="S209" s="3303"/>
      <c r="T209" s="3303"/>
      <c r="U209" s="3303"/>
      <c r="V209" s="3303"/>
      <c r="W209" s="3303"/>
      <c r="X209" s="3303"/>
      <c r="Y209" s="3303"/>
      <c r="Z209" s="3303"/>
      <c r="AA209" s="3303"/>
      <c r="AB209" s="3303"/>
      <c r="AC209" s="3303"/>
    </row>
    <row r="210" spans="1:29">
      <c r="A210" s="3303"/>
      <c r="B210" s="3303"/>
      <c r="C210" s="3303"/>
      <c r="D210" s="3303"/>
      <c r="E210" s="3303"/>
      <c r="F210" s="3303"/>
      <c r="G210" s="3303"/>
      <c r="H210" s="3303"/>
      <c r="I210" s="3303"/>
      <c r="J210" s="3303"/>
      <c r="K210" s="3304"/>
      <c r="L210" s="3305"/>
      <c r="M210" s="3303"/>
      <c r="N210" s="3303"/>
      <c r="O210" s="3303"/>
      <c r="P210" s="3303"/>
      <c r="Q210" s="3303"/>
      <c r="R210" s="3303"/>
      <c r="S210" s="3303"/>
      <c r="T210" s="3303"/>
      <c r="U210" s="3303"/>
      <c r="V210" s="3303"/>
      <c r="W210" s="3303"/>
      <c r="X210" s="3303"/>
      <c r="Y210" s="3303"/>
      <c r="Z210" s="3303"/>
      <c r="AA210" s="3303"/>
      <c r="AB210" s="3303"/>
      <c r="AC210" s="3303"/>
    </row>
    <row r="211" spans="1:29">
      <c r="A211" s="3303"/>
      <c r="B211" s="3303"/>
      <c r="C211" s="3303"/>
      <c r="D211" s="3303"/>
      <c r="E211" s="3303"/>
      <c r="F211" s="3303"/>
      <c r="G211" s="3303"/>
      <c r="H211" s="3303"/>
      <c r="I211" s="3303"/>
      <c r="J211" s="3303"/>
      <c r="K211" s="3304"/>
      <c r="L211" s="3305"/>
      <c r="M211" s="3303"/>
      <c r="N211" s="3303"/>
      <c r="O211" s="3303"/>
      <c r="P211" s="3303"/>
      <c r="Q211" s="3303"/>
      <c r="R211" s="3303"/>
      <c r="S211" s="3303"/>
      <c r="T211" s="3303"/>
      <c r="U211" s="3303"/>
      <c r="V211" s="3303"/>
      <c r="W211" s="3303"/>
      <c r="X211" s="3303"/>
      <c r="Y211" s="3303"/>
      <c r="Z211" s="3303"/>
      <c r="AA211" s="3303"/>
      <c r="AB211" s="3303"/>
      <c r="AC211" s="3303"/>
    </row>
    <row r="212" spans="1:29">
      <c r="A212" s="3303"/>
      <c r="B212" s="3303"/>
      <c r="C212" s="3303"/>
      <c r="D212" s="3303"/>
      <c r="E212" s="3303"/>
      <c r="F212" s="3303"/>
      <c r="G212" s="3303"/>
      <c r="H212" s="3303"/>
      <c r="I212" s="3303"/>
      <c r="J212" s="3303"/>
      <c r="K212" s="3304"/>
      <c r="L212" s="3305"/>
      <c r="M212" s="3303"/>
      <c r="N212" s="3303"/>
      <c r="O212" s="3303"/>
      <c r="P212" s="3303"/>
      <c r="Q212" s="3303"/>
      <c r="R212" s="3303"/>
      <c r="S212" s="3303"/>
      <c r="T212" s="3303"/>
      <c r="U212" s="3303"/>
      <c r="V212" s="3303"/>
      <c r="W212" s="3303"/>
      <c r="X212" s="3303"/>
      <c r="Y212" s="3303"/>
      <c r="Z212" s="3303"/>
      <c r="AA212" s="3303"/>
      <c r="AB212" s="3303"/>
      <c r="AC212" s="3303"/>
    </row>
    <row r="213" spans="1:29">
      <c r="A213" s="3303"/>
      <c r="B213" s="3303"/>
      <c r="C213" s="3303"/>
      <c r="D213" s="3303"/>
      <c r="E213" s="3303"/>
      <c r="F213" s="3303"/>
      <c r="G213" s="3303"/>
      <c r="H213" s="3303"/>
      <c r="I213" s="3303"/>
      <c r="J213" s="3303"/>
      <c r="K213" s="3304"/>
      <c r="L213" s="3305"/>
      <c r="M213" s="3303"/>
      <c r="N213" s="3303"/>
      <c r="O213" s="3303"/>
      <c r="P213" s="3303"/>
      <c r="Q213" s="3303"/>
      <c r="R213" s="3303"/>
      <c r="S213" s="3303"/>
      <c r="T213" s="3303"/>
      <c r="U213" s="3303"/>
      <c r="V213" s="3303"/>
      <c r="W213" s="3303"/>
      <c r="X213" s="3303"/>
      <c r="Y213" s="3303"/>
      <c r="Z213" s="3303"/>
      <c r="AA213" s="3303"/>
      <c r="AB213" s="3303"/>
      <c r="AC213" s="3303"/>
    </row>
    <row r="214" spans="1:29">
      <c r="A214" s="3303"/>
      <c r="B214" s="3303"/>
      <c r="C214" s="3303"/>
      <c r="D214" s="3303"/>
      <c r="E214" s="3303"/>
      <c r="F214" s="3303"/>
      <c r="G214" s="3303"/>
      <c r="H214" s="3303"/>
      <c r="I214" s="3303"/>
      <c r="J214" s="3303"/>
      <c r="K214" s="3304"/>
      <c r="L214" s="3305"/>
      <c r="M214" s="3303"/>
      <c r="N214" s="3303"/>
      <c r="O214" s="3303"/>
      <c r="P214" s="3303"/>
      <c r="Q214" s="3303"/>
      <c r="R214" s="3303"/>
      <c r="S214" s="3303"/>
      <c r="T214" s="3303"/>
      <c r="U214" s="3303"/>
      <c r="V214" s="3303"/>
      <c r="W214" s="3303"/>
      <c r="X214" s="3303"/>
      <c r="Y214" s="3303"/>
      <c r="Z214" s="3303"/>
      <c r="AA214" s="3303"/>
      <c r="AB214" s="3303"/>
      <c r="AC214" s="3303"/>
    </row>
    <row r="215" spans="1:29">
      <c r="A215" s="3303"/>
      <c r="B215" s="3303"/>
      <c r="C215" s="3303"/>
      <c r="D215" s="3303"/>
      <c r="E215" s="3303"/>
      <c r="F215" s="3303"/>
      <c r="G215" s="3303"/>
      <c r="H215" s="3303"/>
      <c r="I215" s="3303"/>
      <c r="J215" s="3303"/>
      <c r="K215" s="3304"/>
      <c r="L215" s="3305"/>
      <c r="M215" s="3303"/>
      <c r="N215" s="3303"/>
      <c r="O215" s="3303"/>
      <c r="P215" s="3303"/>
      <c r="Q215" s="3303"/>
      <c r="R215" s="3303"/>
      <c r="S215" s="3303"/>
      <c r="T215" s="3303"/>
      <c r="U215" s="3303"/>
      <c r="V215" s="3303"/>
      <c r="W215" s="3303"/>
      <c r="X215" s="3303"/>
      <c r="Y215" s="3303"/>
      <c r="Z215" s="3303"/>
      <c r="AA215" s="3303"/>
      <c r="AB215" s="3303"/>
      <c r="AC215" s="3303"/>
    </row>
    <row r="216" spans="1:29">
      <c r="A216" s="3303"/>
      <c r="B216" s="3303"/>
      <c r="C216" s="3303"/>
      <c r="D216" s="3303"/>
      <c r="E216" s="3303"/>
      <c r="F216" s="3303"/>
      <c r="G216" s="3303"/>
      <c r="H216" s="3303"/>
      <c r="I216" s="3303"/>
      <c r="J216" s="3303"/>
      <c r="K216" s="3304"/>
      <c r="L216" s="3305"/>
      <c r="M216" s="3303"/>
      <c r="N216" s="3303"/>
      <c r="O216" s="3303"/>
      <c r="P216" s="3303"/>
      <c r="Q216" s="3303"/>
      <c r="R216" s="3303"/>
      <c r="S216" s="3303"/>
      <c r="T216" s="3303"/>
      <c r="U216" s="3303"/>
      <c r="V216" s="3303"/>
      <c r="W216" s="3303"/>
      <c r="X216" s="3303"/>
      <c r="Y216" s="3303"/>
      <c r="Z216" s="3303"/>
      <c r="AA216" s="3303"/>
      <c r="AB216" s="3303"/>
      <c r="AC216" s="3303"/>
    </row>
    <row r="217" spans="1:29">
      <c r="A217" s="3303"/>
      <c r="B217" s="3303"/>
      <c r="C217" s="3303"/>
      <c r="D217" s="3303"/>
      <c r="E217" s="3303"/>
      <c r="F217" s="3303"/>
      <c r="G217" s="3303"/>
      <c r="H217" s="3303"/>
      <c r="I217" s="3303"/>
      <c r="J217" s="3303"/>
      <c r="K217" s="3304"/>
      <c r="L217" s="3305"/>
      <c r="M217" s="3303"/>
      <c r="N217" s="3303"/>
      <c r="O217" s="3303"/>
      <c r="P217" s="3303"/>
      <c r="Q217" s="3303"/>
      <c r="R217" s="3303"/>
      <c r="S217" s="3303"/>
      <c r="T217" s="3303"/>
      <c r="U217" s="3303"/>
      <c r="V217" s="3303"/>
      <c r="W217" s="3303"/>
      <c r="X217" s="3303"/>
      <c r="Y217" s="3303"/>
      <c r="Z217" s="3303"/>
      <c r="AA217" s="3303"/>
      <c r="AB217" s="3303"/>
      <c r="AC217" s="3303"/>
    </row>
    <row r="218" spans="1:29">
      <c r="A218" s="3303"/>
      <c r="B218" s="3303"/>
      <c r="C218" s="3303"/>
      <c r="D218" s="3303"/>
      <c r="E218" s="3303"/>
      <c r="F218" s="3303"/>
      <c r="G218" s="3303"/>
      <c r="H218" s="3303"/>
      <c r="I218" s="3303"/>
      <c r="J218" s="3303"/>
      <c r="K218" s="3304"/>
      <c r="L218" s="3305"/>
      <c r="M218" s="3303"/>
      <c r="N218" s="3303"/>
      <c r="O218" s="3303"/>
      <c r="P218" s="3303"/>
      <c r="Q218" s="3303"/>
      <c r="R218" s="3303"/>
      <c r="S218" s="3303"/>
      <c r="T218" s="3303"/>
      <c r="U218" s="3303"/>
      <c r="V218" s="3303"/>
      <c r="W218" s="3303"/>
      <c r="X218" s="3303"/>
      <c r="Y218" s="3303"/>
      <c r="Z218" s="3303"/>
      <c r="AA218" s="3303"/>
      <c r="AB218" s="3303"/>
      <c r="AC218" s="3303"/>
    </row>
    <row r="219" spans="1:29">
      <c r="A219" s="3303"/>
      <c r="B219" s="3303"/>
      <c r="C219" s="3303"/>
      <c r="D219" s="3303"/>
      <c r="E219" s="3303"/>
      <c r="F219" s="3303"/>
      <c r="G219" s="3303"/>
      <c r="H219" s="3303"/>
      <c r="I219" s="3303"/>
      <c r="J219" s="3303"/>
      <c r="K219" s="3304"/>
      <c r="L219" s="3305"/>
      <c r="M219" s="3303"/>
      <c r="N219" s="3303"/>
      <c r="O219" s="3303"/>
      <c r="P219" s="3303"/>
      <c r="Q219" s="3303"/>
      <c r="R219" s="3303"/>
      <c r="S219" s="3303"/>
      <c r="T219" s="3303"/>
      <c r="U219" s="3303"/>
      <c r="V219" s="3303"/>
      <c r="W219" s="3303"/>
      <c r="X219" s="3303"/>
      <c r="Y219" s="3303"/>
      <c r="Z219" s="3303"/>
      <c r="AA219" s="3303"/>
      <c r="AB219" s="3303"/>
      <c r="AC219" s="3303"/>
    </row>
    <row r="220" spans="1:29">
      <c r="A220" s="3303"/>
      <c r="B220" s="3303"/>
      <c r="C220" s="3303"/>
      <c r="D220" s="3303"/>
      <c r="E220" s="3303"/>
      <c r="F220" s="3303"/>
      <c r="G220" s="3303"/>
      <c r="H220" s="3303"/>
      <c r="I220" s="3303"/>
      <c r="J220" s="3303"/>
      <c r="K220" s="3304"/>
      <c r="L220" s="3305"/>
      <c r="M220" s="3303"/>
      <c r="N220" s="3303"/>
      <c r="O220" s="3303"/>
      <c r="P220" s="3303"/>
      <c r="Q220" s="3303"/>
      <c r="R220" s="3303"/>
      <c r="S220" s="3303"/>
      <c r="T220" s="3303"/>
      <c r="U220" s="3303"/>
      <c r="V220" s="3303"/>
      <c r="W220" s="3303"/>
      <c r="X220" s="3303"/>
      <c r="Y220" s="3303"/>
      <c r="Z220" s="3303"/>
      <c r="AA220" s="3303"/>
      <c r="AB220" s="3303"/>
      <c r="AC220" s="3303"/>
    </row>
    <row r="221" spans="1:29">
      <c r="A221" s="3303"/>
      <c r="B221" s="3303"/>
      <c r="C221" s="3303"/>
      <c r="D221" s="3303"/>
      <c r="E221" s="3303"/>
      <c r="F221" s="3303"/>
      <c r="G221" s="3303"/>
      <c r="H221" s="3303"/>
      <c r="I221" s="3303"/>
      <c r="J221" s="3303"/>
      <c r="K221" s="3304"/>
      <c r="L221" s="3305"/>
      <c r="M221" s="3303"/>
      <c r="N221" s="3303"/>
      <c r="O221" s="3303"/>
      <c r="P221" s="3303"/>
      <c r="Q221" s="3303"/>
      <c r="R221" s="3303"/>
      <c r="S221" s="3303"/>
      <c r="T221" s="3303"/>
      <c r="U221" s="3303"/>
      <c r="V221" s="3303"/>
      <c r="W221" s="3303"/>
      <c r="X221" s="3303"/>
      <c r="Y221" s="3303"/>
      <c r="Z221" s="3303"/>
      <c r="AA221" s="3303"/>
      <c r="AB221" s="3303"/>
      <c r="AC221" s="3303"/>
    </row>
    <row r="222" spans="1:29">
      <c r="A222" s="3303"/>
      <c r="B222" s="3303"/>
      <c r="C222" s="3303"/>
      <c r="D222" s="3303"/>
      <c r="E222" s="3303"/>
      <c r="F222" s="3303"/>
      <c r="G222" s="3303"/>
      <c r="H222" s="3303"/>
      <c r="I222" s="3303"/>
      <c r="J222" s="3303"/>
      <c r="K222" s="3304"/>
      <c r="L222" s="3305"/>
      <c r="M222" s="3303"/>
      <c r="N222" s="3303"/>
      <c r="O222" s="3303"/>
      <c r="P222" s="3303"/>
      <c r="Q222" s="3303"/>
      <c r="R222" s="3303"/>
      <c r="S222" s="3303"/>
      <c r="T222" s="3303"/>
      <c r="U222" s="3303"/>
      <c r="V222" s="3303"/>
      <c r="W222" s="3303"/>
      <c r="X222" s="3303"/>
      <c r="Y222" s="3303"/>
      <c r="Z222" s="3303"/>
      <c r="AA222" s="3303"/>
      <c r="AB222" s="3303"/>
      <c r="AC222" s="3303"/>
    </row>
    <row r="223" spans="1:29">
      <c r="A223" s="3303"/>
      <c r="B223" s="3303"/>
      <c r="C223" s="3303"/>
      <c r="D223" s="3303"/>
      <c r="E223" s="3303"/>
      <c r="F223" s="3303"/>
      <c r="G223" s="3303"/>
      <c r="H223" s="3303"/>
      <c r="I223" s="3303"/>
      <c r="J223" s="3303"/>
      <c r="K223" s="3304"/>
      <c r="L223" s="3305"/>
      <c r="M223" s="3303"/>
      <c r="N223" s="3303"/>
      <c r="O223" s="3303"/>
      <c r="P223" s="3303"/>
      <c r="Q223" s="3303"/>
      <c r="R223" s="3303"/>
      <c r="S223" s="3303"/>
      <c r="T223" s="3303"/>
      <c r="U223" s="3303"/>
      <c r="V223" s="3303"/>
      <c r="W223" s="3303"/>
      <c r="X223" s="3303"/>
      <c r="Y223" s="3303"/>
      <c r="Z223" s="3303"/>
      <c r="AA223" s="3303"/>
      <c r="AB223" s="3303"/>
      <c r="AC223" s="3303"/>
    </row>
    <row r="224" spans="1:29">
      <c r="A224" s="3303"/>
      <c r="B224" s="3303"/>
      <c r="C224" s="3303"/>
      <c r="D224" s="3303"/>
      <c r="E224" s="3303"/>
      <c r="F224" s="3303"/>
      <c r="G224" s="3303"/>
      <c r="H224" s="3303"/>
      <c r="I224" s="3303"/>
      <c r="J224" s="3303"/>
      <c r="K224" s="3304"/>
      <c r="L224" s="3305"/>
      <c r="M224" s="3303"/>
      <c r="N224" s="3303"/>
      <c r="O224" s="3303"/>
      <c r="P224" s="3303"/>
      <c r="Q224" s="3303"/>
      <c r="R224" s="3303"/>
      <c r="S224" s="3303"/>
      <c r="T224" s="3303"/>
      <c r="U224" s="3303"/>
      <c r="V224" s="3303"/>
      <c r="W224" s="3303"/>
      <c r="X224" s="3303"/>
      <c r="Y224" s="3303"/>
      <c r="Z224" s="3303"/>
      <c r="AA224" s="3303"/>
      <c r="AB224" s="3303"/>
      <c r="AC224" s="3303"/>
    </row>
    <row r="225" spans="1:29">
      <c r="A225" s="3303"/>
      <c r="B225" s="3303"/>
      <c r="C225" s="3303"/>
      <c r="D225" s="3303"/>
      <c r="E225" s="3303"/>
      <c r="F225" s="3303"/>
      <c r="G225" s="3303"/>
      <c r="H225" s="3303"/>
      <c r="I225" s="3303"/>
      <c r="J225" s="3303"/>
      <c r="K225" s="3304"/>
      <c r="L225" s="3305"/>
      <c r="M225" s="3303"/>
      <c r="N225" s="3303"/>
      <c r="O225" s="3303"/>
      <c r="P225" s="3303"/>
      <c r="Q225" s="3303"/>
      <c r="R225" s="3303"/>
      <c r="S225" s="3303"/>
      <c r="T225" s="3303"/>
      <c r="U225" s="3303"/>
      <c r="V225" s="3303"/>
      <c r="W225" s="3303"/>
      <c r="X225" s="3303"/>
      <c r="Y225" s="3303"/>
      <c r="Z225" s="3303"/>
      <c r="AA225" s="3303"/>
      <c r="AB225" s="3303"/>
      <c r="AC225" s="3303"/>
    </row>
    <row r="226" spans="1:29">
      <c r="A226" s="3303"/>
      <c r="B226" s="3303"/>
      <c r="C226" s="3303"/>
      <c r="D226" s="3303"/>
      <c r="E226" s="3303"/>
      <c r="F226" s="3303"/>
      <c r="G226" s="3303"/>
      <c r="H226" s="3303"/>
      <c r="I226" s="3303"/>
      <c r="J226" s="3303"/>
      <c r="K226" s="3304"/>
      <c r="L226" s="3305"/>
      <c r="M226" s="3303"/>
      <c r="N226" s="3303"/>
      <c r="O226" s="3303"/>
      <c r="P226" s="3303"/>
      <c r="Q226" s="3303"/>
      <c r="R226" s="3303"/>
      <c r="S226" s="3303"/>
      <c r="T226" s="3303"/>
      <c r="U226" s="3303"/>
      <c r="V226" s="3303"/>
      <c r="W226" s="3303"/>
      <c r="X226" s="3303"/>
      <c r="Y226" s="3303"/>
      <c r="Z226" s="3303"/>
      <c r="AA226" s="3303"/>
      <c r="AB226" s="3303"/>
      <c r="AC226" s="3303"/>
    </row>
    <row r="227" spans="1:29">
      <c r="A227" s="3303"/>
      <c r="B227" s="3303"/>
      <c r="C227" s="3303"/>
      <c r="D227" s="3303"/>
      <c r="E227" s="3303"/>
      <c r="F227" s="3303"/>
      <c r="G227" s="3303"/>
      <c r="H227" s="3303"/>
      <c r="I227" s="3303"/>
      <c r="J227" s="3303"/>
      <c r="K227" s="3304"/>
      <c r="L227" s="3305"/>
      <c r="M227" s="3303"/>
      <c r="N227" s="3303"/>
      <c r="O227" s="3303"/>
      <c r="P227" s="3303"/>
      <c r="Q227" s="3303"/>
      <c r="R227" s="3303"/>
      <c r="S227" s="3303"/>
      <c r="T227" s="3303"/>
      <c r="U227" s="3303"/>
      <c r="V227" s="3303"/>
      <c r="W227" s="3303"/>
      <c r="X227" s="3303"/>
      <c r="Y227" s="3303"/>
      <c r="Z227" s="3303"/>
      <c r="AA227" s="3303"/>
      <c r="AB227" s="3303"/>
      <c r="AC227" s="3303"/>
    </row>
    <row r="228" spans="1:29">
      <c r="A228" s="3303"/>
      <c r="B228" s="3303"/>
      <c r="C228" s="3303"/>
      <c r="D228" s="3303"/>
      <c r="E228" s="3303"/>
      <c r="F228" s="3303"/>
      <c r="G228" s="3303"/>
      <c r="H228" s="3303"/>
      <c r="I228" s="3303"/>
      <c r="J228" s="3303"/>
      <c r="K228" s="3304"/>
      <c r="L228" s="3305"/>
      <c r="M228" s="3303"/>
      <c r="N228" s="3303"/>
      <c r="O228" s="3303"/>
      <c r="P228" s="3303"/>
      <c r="Q228" s="3303"/>
      <c r="R228" s="3303"/>
      <c r="S228" s="3303"/>
      <c r="T228" s="3303"/>
      <c r="U228" s="3303"/>
      <c r="V228" s="3303"/>
      <c r="W228" s="3303"/>
      <c r="X228" s="3303"/>
      <c r="Y228" s="3303"/>
      <c r="Z228" s="3303"/>
      <c r="AA228" s="3303"/>
      <c r="AB228" s="3303"/>
      <c r="AC228" s="3303"/>
    </row>
    <row r="229" spans="1:29">
      <c r="A229" s="3303"/>
      <c r="B229" s="3303"/>
      <c r="C229" s="3303"/>
      <c r="D229" s="3303"/>
      <c r="E229" s="3303"/>
      <c r="F229" s="3303"/>
      <c r="G229" s="3303"/>
      <c r="H229" s="3303"/>
      <c r="I229" s="3303"/>
      <c r="J229" s="3303"/>
      <c r="K229" s="3304"/>
      <c r="L229" s="3305"/>
      <c r="M229" s="3303"/>
      <c r="N229" s="3303"/>
      <c r="O229" s="3303"/>
      <c r="P229" s="3303"/>
      <c r="Q229" s="3303"/>
      <c r="R229" s="3303"/>
      <c r="S229" s="3303"/>
      <c r="T229" s="3303"/>
      <c r="U229" s="3303"/>
      <c r="V229" s="3303"/>
      <c r="W229" s="3303"/>
      <c r="X229" s="3303"/>
      <c r="Y229" s="3303"/>
      <c r="Z229" s="3303"/>
      <c r="AA229" s="3303"/>
      <c r="AB229" s="3303"/>
      <c r="AC229" s="3303"/>
    </row>
    <row r="230" spans="1:29">
      <c r="A230" s="3303"/>
      <c r="B230" s="3303"/>
      <c r="C230" s="3303"/>
      <c r="D230" s="3303"/>
      <c r="E230" s="3303"/>
      <c r="F230" s="3303"/>
      <c r="G230" s="3303"/>
      <c r="H230" s="3303"/>
      <c r="I230" s="3303"/>
      <c r="J230" s="3303"/>
      <c r="K230" s="3304"/>
      <c r="L230" s="3305"/>
      <c r="M230" s="3303"/>
      <c r="N230" s="3303"/>
      <c r="O230" s="3303"/>
      <c r="P230" s="3303"/>
      <c r="Q230" s="3303"/>
      <c r="R230" s="3303"/>
      <c r="S230" s="3303"/>
      <c r="T230" s="3303"/>
      <c r="U230" s="3303"/>
      <c r="V230" s="3303"/>
      <c r="W230" s="3303"/>
      <c r="X230" s="3303"/>
      <c r="Y230" s="3303"/>
      <c r="Z230" s="3303"/>
      <c r="AA230" s="3303"/>
      <c r="AB230" s="3303"/>
      <c r="AC230" s="3303"/>
    </row>
    <row r="231" spans="1:29">
      <c r="A231" s="3303"/>
      <c r="B231" s="3303"/>
      <c r="C231" s="3303"/>
      <c r="D231" s="3303"/>
      <c r="E231" s="3303"/>
      <c r="F231" s="3303"/>
      <c r="G231" s="3303"/>
      <c r="H231" s="3303"/>
      <c r="I231" s="3303"/>
      <c r="J231" s="3303"/>
      <c r="K231" s="3304"/>
      <c r="L231" s="3305"/>
      <c r="M231" s="3303"/>
      <c r="N231" s="3303"/>
      <c r="O231" s="3303"/>
      <c r="P231" s="3303"/>
      <c r="Q231" s="3303"/>
      <c r="R231" s="3303"/>
      <c r="S231" s="3303"/>
      <c r="T231" s="3303"/>
      <c r="U231" s="3303"/>
      <c r="V231" s="3303"/>
      <c r="W231" s="3303"/>
      <c r="X231" s="3303"/>
      <c r="Y231" s="3303"/>
      <c r="Z231" s="3303"/>
      <c r="AA231" s="3303"/>
      <c r="AB231" s="3303"/>
      <c r="AC231" s="3303"/>
    </row>
    <row r="232" spans="1:29">
      <c r="A232" s="3303"/>
      <c r="B232" s="3303"/>
      <c r="C232" s="3303"/>
      <c r="D232" s="3303"/>
      <c r="E232" s="3303"/>
      <c r="F232" s="3303"/>
      <c r="G232" s="3303"/>
      <c r="H232" s="3303"/>
      <c r="I232" s="3303"/>
      <c r="J232" s="3303"/>
      <c r="K232" s="3304"/>
      <c r="L232" s="3305"/>
      <c r="M232" s="3303"/>
      <c r="N232" s="3303"/>
      <c r="O232" s="3303"/>
      <c r="P232" s="3303"/>
      <c r="Q232" s="3303"/>
      <c r="R232" s="3303"/>
      <c r="S232" s="3303"/>
      <c r="T232" s="3303"/>
      <c r="U232" s="3303"/>
      <c r="V232" s="3303"/>
      <c r="W232" s="3303"/>
      <c r="X232" s="3303"/>
      <c r="Y232" s="3303"/>
      <c r="Z232" s="3303"/>
      <c r="AA232" s="3303"/>
      <c r="AB232" s="3303"/>
      <c r="AC232" s="3303"/>
    </row>
    <row r="233" spans="1:29">
      <c r="A233" s="3303"/>
      <c r="B233" s="3303"/>
      <c r="C233" s="3303"/>
      <c r="D233" s="3303"/>
      <c r="E233" s="3303"/>
      <c r="F233" s="3303"/>
      <c r="G233" s="3303"/>
      <c r="H233" s="3303"/>
      <c r="I233" s="3303"/>
      <c r="J233" s="3303"/>
      <c r="K233" s="3304"/>
      <c r="L233" s="3305"/>
      <c r="M233" s="3303"/>
      <c r="N233" s="3303"/>
      <c r="O233" s="3303"/>
      <c r="P233" s="3303"/>
      <c r="Q233" s="3303"/>
      <c r="R233" s="3303"/>
      <c r="S233" s="3303"/>
      <c r="T233" s="3303"/>
      <c r="U233" s="3303"/>
      <c r="V233" s="3303"/>
      <c r="W233" s="3303"/>
      <c r="X233" s="3303"/>
      <c r="Y233" s="3303"/>
      <c r="Z233" s="3303"/>
      <c r="AA233" s="3303"/>
      <c r="AB233" s="3303"/>
      <c r="AC233" s="3303"/>
    </row>
    <row r="234" spans="1:29">
      <c r="A234" s="3303"/>
      <c r="B234" s="3303"/>
      <c r="C234" s="3303"/>
      <c r="D234" s="3303"/>
      <c r="E234" s="3303"/>
      <c r="F234" s="3303"/>
      <c r="G234" s="3303"/>
      <c r="H234" s="3303"/>
      <c r="I234" s="3303"/>
      <c r="J234" s="3303"/>
      <c r="K234" s="3304"/>
      <c r="L234" s="3305"/>
      <c r="M234" s="3303"/>
      <c r="N234" s="3303"/>
      <c r="O234" s="3303"/>
      <c r="P234" s="3303"/>
      <c r="Q234" s="3303"/>
      <c r="R234" s="3303"/>
      <c r="S234" s="3303"/>
      <c r="T234" s="3303"/>
      <c r="U234" s="3303"/>
      <c r="V234" s="3303"/>
      <c r="W234" s="3303"/>
      <c r="X234" s="3303"/>
      <c r="Y234" s="3303"/>
      <c r="Z234" s="3303"/>
      <c r="AA234" s="3303"/>
      <c r="AB234" s="3303"/>
      <c r="AC234" s="3303"/>
    </row>
    <row r="235" spans="1:29">
      <c r="A235" s="3303"/>
      <c r="B235" s="3303"/>
      <c r="C235" s="3303"/>
      <c r="D235" s="3303"/>
      <c r="E235" s="3303"/>
      <c r="F235" s="3303"/>
      <c r="G235" s="3303"/>
      <c r="H235" s="3303"/>
      <c r="I235" s="3303"/>
      <c r="J235" s="3303"/>
      <c r="K235" s="3304"/>
      <c r="L235" s="3305"/>
      <c r="M235" s="3303"/>
      <c r="N235" s="3303"/>
      <c r="O235" s="3303"/>
      <c r="P235" s="3303"/>
      <c r="Q235" s="3303"/>
      <c r="R235" s="3303"/>
      <c r="S235" s="3303"/>
      <c r="T235" s="3303"/>
      <c r="U235" s="3303"/>
      <c r="V235" s="3303"/>
      <c r="W235" s="3303"/>
      <c r="X235" s="3303"/>
      <c r="Y235" s="3303"/>
      <c r="Z235" s="3303"/>
      <c r="AA235" s="3303"/>
      <c r="AB235" s="3303"/>
      <c r="AC235" s="3303"/>
    </row>
    <row r="236" spans="1:29">
      <c r="A236" s="3303"/>
      <c r="B236" s="3303"/>
      <c r="C236" s="3303"/>
      <c r="D236" s="3303"/>
      <c r="E236" s="3303"/>
      <c r="F236" s="3303"/>
      <c r="G236" s="3303"/>
      <c r="H236" s="3303"/>
      <c r="I236" s="3303"/>
      <c r="J236" s="3303"/>
      <c r="K236" s="3304"/>
      <c r="L236" s="3305"/>
      <c r="M236" s="3303"/>
      <c r="N236" s="3303"/>
      <c r="O236" s="3303"/>
      <c r="P236" s="3303"/>
      <c r="Q236" s="3303"/>
      <c r="R236" s="3303"/>
      <c r="S236" s="3303"/>
      <c r="T236" s="3303"/>
      <c r="U236" s="3303"/>
      <c r="V236" s="3303"/>
      <c r="W236" s="3303"/>
      <c r="X236" s="3303"/>
      <c r="Y236" s="3303"/>
      <c r="Z236" s="3303"/>
      <c r="AA236" s="3303"/>
      <c r="AB236" s="3303"/>
      <c r="AC236" s="3303"/>
    </row>
    <row r="237" spans="1:29">
      <c r="A237" s="3303"/>
      <c r="B237" s="3303"/>
      <c r="C237" s="3303"/>
      <c r="D237" s="3303"/>
      <c r="E237" s="3303"/>
      <c r="F237" s="3303"/>
      <c r="G237" s="3303"/>
      <c r="H237" s="3303"/>
      <c r="I237" s="3303"/>
      <c r="J237" s="3303"/>
      <c r="K237" s="3304"/>
      <c r="L237" s="3305"/>
      <c r="M237" s="3303"/>
      <c r="N237" s="3303"/>
      <c r="O237" s="3303"/>
      <c r="P237" s="3303"/>
      <c r="Q237" s="3303"/>
      <c r="R237" s="3303"/>
      <c r="S237" s="3303"/>
      <c r="T237" s="3303"/>
      <c r="U237" s="3303"/>
      <c r="V237" s="3303"/>
      <c r="W237" s="3303"/>
      <c r="X237" s="3303"/>
      <c r="Y237" s="3303"/>
      <c r="Z237" s="3303"/>
      <c r="AA237" s="3303"/>
      <c r="AB237" s="3303"/>
      <c r="AC237" s="3303"/>
    </row>
    <row r="238" spans="1:29">
      <c r="A238" s="3303"/>
      <c r="B238" s="3303"/>
      <c r="C238" s="3303"/>
      <c r="D238" s="3303"/>
      <c r="E238" s="3303"/>
      <c r="F238" s="3303"/>
      <c r="G238" s="3303"/>
      <c r="H238" s="3303"/>
      <c r="I238" s="3303"/>
      <c r="J238" s="3303"/>
      <c r="K238" s="3304"/>
      <c r="L238" s="3305"/>
      <c r="M238" s="3303"/>
      <c r="N238" s="3303"/>
      <c r="O238" s="3303"/>
      <c r="P238" s="3303"/>
      <c r="Q238" s="3303"/>
      <c r="R238" s="3303"/>
      <c r="S238" s="3303"/>
      <c r="T238" s="3303"/>
      <c r="U238" s="3303"/>
      <c r="V238" s="3303"/>
      <c r="W238" s="3303"/>
      <c r="X238" s="3303"/>
      <c r="Y238" s="3303"/>
      <c r="Z238" s="3303"/>
      <c r="AA238" s="3303"/>
      <c r="AB238" s="3303"/>
      <c r="AC238" s="3303"/>
    </row>
    <row r="239" spans="1:29">
      <c r="A239" s="3303"/>
      <c r="B239" s="3303"/>
      <c r="C239" s="3303"/>
      <c r="D239" s="3303"/>
      <c r="E239" s="3303"/>
      <c r="F239" s="3303"/>
      <c r="G239" s="3303"/>
      <c r="H239" s="3303"/>
      <c r="I239" s="3303"/>
      <c r="J239" s="3303"/>
      <c r="K239" s="3304"/>
      <c r="L239" s="3305"/>
      <c r="M239" s="3303"/>
      <c r="N239" s="3303"/>
      <c r="O239" s="3303"/>
      <c r="P239" s="3303"/>
      <c r="Q239" s="3303"/>
      <c r="R239" s="3303"/>
      <c r="S239" s="3303"/>
      <c r="T239" s="3303"/>
      <c r="U239" s="3303"/>
      <c r="V239" s="3303"/>
      <c r="W239" s="3303"/>
      <c r="X239" s="3303"/>
      <c r="Y239" s="3303"/>
      <c r="Z239" s="3303"/>
      <c r="AA239" s="3303"/>
      <c r="AB239" s="3303"/>
      <c r="AC239" s="3303"/>
    </row>
    <row r="240" spans="1:29">
      <c r="A240" s="3303"/>
      <c r="B240" s="3303"/>
      <c r="C240" s="3303"/>
      <c r="D240" s="3303"/>
      <c r="E240" s="3303"/>
      <c r="F240" s="3303"/>
      <c r="G240" s="3303"/>
      <c r="H240" s="3303"/>
      <c r="I240" s="3303"/>
      <c r="J240" s="3303"/>
      <c r="K240" s="3304"/>
      <c r="L240" s="3305"/>
      <c r="M240" s="3303"/>
      <c r="N240" s="3303"/>
      <c r="O240" s="3303"/>
      <c r="P240" s="3303"/>
      <c r="Q240" s="3303"/>
      <c r="R240" s="3303"/>
      <c r="S240" s="3303"/>
      <c r="T240" s="3303"/>
      <c r="U240" s="3303"/>
      <c r="V240" s="3303"/>
      <c r="W240" s="3303"/>
      <c r="X240" s="3303"/>
      <c r="Y240" s="3303"/>
      <c r="Z240" s="3303"/>
      <c r="AA240" s="3303"/>
      <c r="AB240" s="3303"/>
      <c r="AC240" s="3303"/>
    </row>
    <row r="241" spans="1:29">
      <c r="A241" s="3303"/>
      <c r="B241" s="3303"/>
      <c r="C241" s="3303"/>
      <c r="D241" s="3303"/>
      <c r="E241" s="3303"/>
      <c r="F241" s="3303"/>
      <c r="G241" s="3303"/>
      <c r="H241" s="3303"/>
      <c r="I241" s="3303"/>
      <c r="J241" s="3303"/>
      <c r="K241" s="3304"/>
      <c r="L241" s="3305"/>
      <c r="M241" s="3303"/>
      <c r="N241" s="3303"/>
      <c r="O241" s="3303"/>
      <c r="P241" s="3303"/>
      <c r="Q241" s="3303"/>
      <c r="R241" s="3303"/>
      <c r="S241" s="3303"/>
      <c r="T241" s="3303"/>
      <c r="U241" s="3303"/>
      <c r="V241" s="3303"/>
      <c r="W241" s="3303"/>
      <c r="X241" s="3303"/>
      <c r="Y241" s="3303"/>
      <c r="Z241" s="3303"/>
      <c r="AA241" s="3303"/>
      <c r="AB241" s="3303"/>
      <c r="AC241" s="3303"/>
    </row>
    <row r="242" spans="1:29">
      <c r="A242" s="3303"/>
      <c r="B242" s="3303"/>
      <c r="C242" s="3303"/>
      <c r="D242" s="3303"/>
      <c r="E242" s="3303"/>
      <c r="F242" s="3303"/>
      <c r="G242" s="3303"/>
      <c r="H242" s="3303"/>
      <c r="I242" s="3303"/>
      <c r="J242" s="3303"/>
      <c r="K242" s="3304"/>
      <c r="L242" s="3305"/>
      <c r="M242" s="3303"/>
      <c r="N242" s="3303"/>
      <c r="O242" s="3303"/>
      <c r="P242" s="3303"/>
      <c r="Q242" s="3303"/>
      <c r="R242" s="3303"/>
      <c r="S242" s="3303"/>
      <c r="T242" s="3303"/>
      <c r="U242" s="3303"/>
      <c r="V242" s="3303"/>
      <c r="W242" s="3303"/>
      <c r="X242" s="3303"/>
      <c r="Y242" s="3303"/>
      <c r="Z242" s="3303"/>
      <c r="AA242" s="3303"/>
      <c r="AB242" s="3303"/>
      <c r="AC242" s="3303"/>
    </row>
    <row r="243" spans="1:29">
      <c r="A243" s="3303"/>
      <c r="B243" s="3303"/>
      <c r="C243" s="3303"/>
      <c r="D243" s="3303"/>
      <c r="E243" s="3303"/>
      <c r="F243" s="3303"/>
      <c r="G243" s="3303"/>
      <c r="H243" s="3303"/>
      <c r="I243" s="3303"/>
      <c r="J243" s="3303"/>
      <c r="K243" s="3304"/>
      <c r="L243" s="3305"/>
      <c r="M243" s="3303"/>
      <c r="N243" s="3303"/>
      <c r="O243" s="3303"/>
      <c r="P243" s="3303"/>
      <c r="Q243" s="3303"/>
      <c r="R243" s="3303"/>
      <c r="S243" s="3303"/>
      <c r="T243" s="3303"/>
      <c r="U243" s="3303"/>
      <c r="V243" s="3303"/>
      <c r="W243" s="3303"/>
      <c r="X243" s="3303"/>
      <c r="Y243" s="3303"/>
      <c r="Z243" s="3303"/>
      <c r="AA243" s="3303"/>
      <c r="AB243" s="3303"/>
      <c r="AC243" s="3303"/>
    </row>
    <row r="244" spans="1:29">
      <c r="A244" s="3303"/>
      <c r="B244" s="3303"/>
      <c r="C244" s="3303"/>
      <c r="D244" s="3303"/>
      <c r="E244" s="3303"/>
      <c r="F244" s="3303"/>
      <c r="G244" s="3303"/>
      <c r="H244" s="3303"/>
      <c r="I244" s="3303"/>
      <c r="J244" s="3303"/>
      <c r="K244" s="3304"/>
      <c r="L244" s="3305"/>
      <c r="M244" s="3303"/>
      <c r="N244" s="3303"/>
      <c r="O244" s="3303"/>
      <c r="P244" s="3303"/>
      <c r="Q244" s="3303"/>
      <c r="R244" s="3303"/>
      <c r="S244" s="3303"/>
      <c r="T244" s="3303"/>
      <c r="U244" s="3303"/>
      <c r="V244" s="3303"/>
      <c r="W244" s="3303"/>
      <c r="X244" s="3303"/>
      <c r="Y244" s="3303"/>
      <c r="Z244" s="3303"/>
      <c r="AA244" s="3303"/>
      <c r="AB244" s="3303"/>
      <c r="AC244" s="3303"/>
    </row>
    <row r="245" spans="1:29">
      <c r="A245" s="3303"/>
      <c r="B245" s="3303"/>
      <c r="C245" s="3303"/>
      <c r="D245" s="3303"/>
      <c r="E245" s="3303"/>
      <c r="F245" s="3303"/>
      <c r="G245" s="3303"/>
      <c r="H245" s="3303"/>
      <c r="I245" s="3303"/>
      <c r="J245" s="3303"/>
      <c r="K245" s="3304"/>
      <c r="L245" s="3305"/>
      <c r="M245" s="3303"/>
      <c r="N245" s="3303"/>
      <c r="O245" s="3303"/>
      <c r="P245" s="3303"/>
      <c r="Q245" s="3303"/>
      <c r="R245" s="3303"/>
      <c r="S245" s="3303"/>
      <c r="T245" s="3303"/>
      <c r="U245" s="3303"/>
      <c r="V245" s="3303"/>
      <c r="W245" s="3303"/>
      <c r="X245" s="3303"/>
      <c r="Y245" s="3303"/>
      <c r="Z245" s="3303"/>
      <c r="AA245" s="3303"/>
      <c r="AB245" s="3303"/>
      <c r="AC245" s="3303"/>
    </row>
    <row r="246" spans="1:29">
      <c r="A246" s="3303"/>
      <c r="B246" s="3303"/>
      <c r="C246" s="3303"/>
      <c r="D246" s="3303"/>
      <c r="E246" s="3303"/>
      <c r="F246" s="3303"/>
      <c r="G246" s="3303"/>
      <c r="H246" s="3303"/>
      <c r="I246" s="3303"/>
      <c r="J246" s="3303"/>
      <c r="K246" s="3304"/>
      <c r="L246" s="3305"/>
      <c r="M246" s="3303"/>
      <c r="N246" s="3303"/>
      <c r="O246" s="3303"/>
      <c r="P246" s="3303"/>
      <c r="Q246" s="3303"/>
      <c r="R246" s="3303"/>
      <c r="S246" s="3303"/>
      <c r="T246" s="3303"/>
      <c r="U246" s="3303"/>
      <c r="V246" s="3303"/>
      <c r="W246" s="3303"/>
      <c r="X246" s="3303"/>
      <c r="Y246" s="3303"/>
      <c r="Z246" s="3303"/>
      <c r="AA246" s="3303"/>
      <c r="AB246" s="3303"/>
      <c r="AC246" s="3303"/>
    </row>
    <row r="247" spans="1:29">
      <c r="A247" s="3303"/>
      <c r="B247" s="3303"/>
      <c r="C247" s="3303"/>
      <c r="D247" s="3303"/>
      <c r="E247" s="3303"/>
      <c r="F247" s="3303"/>
      <c r="G247" s="3303"/>
      <c r="H247" s="3303"/>
      <c r="I247" s="3303"/>
      <c r="J247" s="3303"/>
      <c r="K247" s="3304"/>
      <c r="L247" s="3305"/>
      <c r="M247" s="3303"/>
      <c r="N247" s="3303"/>
      <c r="O247" s="3303"/>
      <c r="P247" s="3303"/>
      <c r="Q247" s="3303"/>
      <c r="R247" s="3303"/>
      <c r="S247" s="3303"/>
      <c r="T247" s="3303"/>
      <c r="U247" s="3303"/>
      <c r="V247" s="3303"/>
      <c r="W247" s="3303"/>
      <c r="X247" s="3303"/>
      <c r="Y247" s="3303"/>
      <c r="Z247" s="3303"/>
      <c r="AA247" s="3303"/>
      <c r="AB247" s="3303"/>
      <c r="AC247" s="3303"/>
    </row>
    <row r="248" spans="1:29">
      <c r="A248" s="3303"/>
      <c r="B248" s="3303"/>
      <c r="C248" s="3303"/>
      <c r="D248" s="3303"/>
      <c r="E248" s="3303"/>
      <c r="F248" s="3303"/>
      <c r="G248" s="3303"/>
      <c r="H248" s="3303"/>
      <c r="I248" s="3303"/>
      <c r="J248" s="3303"/>
      <c r="K248" s="3304"/>
      <c r="L248" s="3305"/>
      <c r="M248" s="3303"/>
      <c r="N248" s="3303"/>
      <c r="O248" s="3303"/>
      <c r="P248" s="3303"/>
      <c r="Q248" s="3303"/>
      <c r="R248" s="3303"/>
      <c r="S248" s="3303"/>
      <c r="T248" s="3303"/>
      <c r="U248" s="3303"/>
      <c r="V248" s="3303"/>
      <c r="W248" s="3303"/>
      <c r="X248" s="3303"/>
      <c r="Y248" s="3303"/>
      <c r="Z248" s="3303"/>
      <c r="AA248" s="3303"/>
      <c r="AB248" s="3303"/>
      <c r="AC248" s="3303"/>
    </row>
    <row r="249" spans="1:29">
      <c r="A249" s="3303"/>
      <c r="B249" s="3303"/>
      <c r="C249" s="3303"/>
      <c r="D249" s="3303"/>
      <c r="E249" s="3303"/>
      <c r="F249" s="3303"/>
      <c r="G249" s="3303"/>
      <c r="H249" s="3303"/>
      <c r="I249" s="3303"/>
      <c r="J249" s="3303"/>
      <c r="K249" s="3304"/>
      <c r="L249" s="3305"/>
      <c r="M249" s="3303"/>
      <c r="N249" s="3303"/>
      <c r="O249" s="3303"/>
      <c r="P249" s="3303"/>
      <c r="Q249" s="3303"/>
      <c r="R249" s="3303"/>
      <c r="S249" s="3303"/>
      <c r="T249" s="3303"/>
      <c r="U249" s="3303"/>
      <c r="V249" s="3303"/>
      <c r="W249" s="3303"/>
      <c r="X249" s="3303"/>
      <c r="Y249" s="3303"/>
      <c r="Z249" s="3303"/>
      <c r="AA249" s="3303"/>
      <c r="AB249" s="3303"/>
      <c r="AC249" s="3303"/>
    </row>
    <row r="250" spans="1:29">
      <c r="A250" s="3303"/>
      <c r="B250" s="3303"/>
      <c r="C250" s="3303"/>
      <c r="D250" s="3303"/>
      <c r="E250" s="3303"/>
      <c r="F250" s="3303"/>
      <c r="G250" s="3303"/>
      <c r="H250" s="3303"/>
      <c r="I250" s="3303"/>
      <c r="J250" s="3303"/>
      <c r="K250" s="3304"/>
      <c r="L250" s="3305"/>
      <c r="M250" s="3303"/>
      <c r="N250" s="3303"/>
      <c r="O250" s="3303"/>
      <c r="P250" s="3303"/>
      <c r="Q250" s="3303"/>
      <c r="R250" s="3303"/>
      <c r="S250" s="3303"/>
      <c r="T250" s="3303"/>
      <c r="U250" s="3303"/>
      <c r="V250" s="3303"/>
      <c r="W250" s="3303"/>
      <c r="X250" s="3303"/>
      <c r="Y250" s="3303"/>
      <c r="Z250" s="3303"/>
      <c r="AA250" s="3303"/>
      <c r="AB250" s="3303"/>
      <c r="AC250" s="3303"/>
    </row>
    <row r="251" spans="1:29">
      <c r="A251" s="3303"/>
      <c r="B251" s="3303"/>
      <c r="C251" s="3303"/>
      <c r="D251" s="3303"/>
      <c r="E251" s="3303"/>
      <c r="F251" s="3303"/>
      <c r="G251" s="3303"/>
      <c r="H251" s="3303"/>
      <c r="I251" s="3303"/>
      <c r="J251" s="3303"/>
      <c r="K251" s="3304"/>
      <c r="L251" s="3305"/>
      <c r="M251" s="3303"/>
      <c r="N251" s="3303"/>
      <c r="O251" s="3303"/>
      <c r="P251" s="3303"/>
      <c r="Q251" s="3303"/>
      <c r="R251" s="3303"/>
      <c r="S251" s="3303"/>
      <c r="T251" s="3303"/>
      <c r="U251" s="3303"/>
      <c r="V251" s="3303"/>
      <c r="W251" s="3303"/>
      <c r="X251" s="3303"/>
      <c r="Y251" s="3303"/>
      <c r="Z251" s="3303"/>
      <c r="AA251" s="3303"/>
      <c r="AB251" s="3303"/>
      <c r="AC251" s="3303"/>
    </row>
    <row r="252" spans="1:29">
      <c r="A252" s="3303"/>
      <c r="B252" s="3303"/>
      <c r="C252" s="3303"/>
      <c r="D252" s="3303"/>
      <c r="E252" s="3303"/>
      <c r="F252" s="3303"/>
      <c r="G252" s="3303"/>
      <c r="H252" s="3303"/>
      <c r="I252" s="3303"/>
      <c r="J252" s="3303"/>
      <c r="K252" s="3304"/>
      <c r="L252" s="3305"/>
      <c r="M252" s="3303"/>
      <c r="N252" s="3303"/>
      <c r="O252" s="3303"/>
      <c r="P252" s="3303"/>
      <c r="Q252" s="3303"/>
      <c r="R252" s="3303"/>
      <c r="S252" s="3303"/>
      <c r="T252" s="3303"/>
      <c r="U252" s="3303"/>
      <c r="V252" s="3303"/>
      <c r="W252" s="3303"/>
      <c r="X252" s="3303"/>
      <c r="Y252" s="3303"/>
      <c r="Z252" s="3303"/>
      <c r="AA252" s="3303"/>
      <c r="AB252" s="3303"/>
      <c r="AC252" s="3303"/>
    </row>
    <row r="253" spans="1:29">
      <c r="A253" s="3303"/>
      <c r="B253" s="3303"/>
      <c r="C253" s="3303"/>
      <c r="D253" s="3303"/>
      <c r="E253" s="3303"/>
      <c r="F253" s="3303"/>
      <c r="G253" s="3303"/>
      <c r="H253" s="3303"/>
      <c r="I253" s="3303"/>
      <c r="J253" s="3303"/>
      <c r="K253" s="3304"/>
      <c r="L253" s="3305"/>
      <c r="M253" s="3303"/>
      <c r="N253" s="3303"/>
      <c r="O253" s="3303"/>
      <c r="P253" s="3303"/>
      <c r="Q253" s="3303"/>
      <c r="R253" s="3303"/>
      <c r="S253" s="3303"/>
      <c r="T253" s="3303"/>
      <c r="U253" s="3303"/>
      <c r="V253" s="3303"/>
      <c r="W253" s="3303"/>
      <c r="X253" s="3303"/>
      <c r="Y253" s="3303"/>
      <c r="Z253" s="3303"/>
      <c r="AA253" s="3303"/>
      <c r="AB253" s="3303"/>
      <c r="AC253" s="3303"/>
    </row>
    <row r="254" spans="1:29">
      <c r="A254" s="3303"/>
      <c r="B254" s="3303"/>
      <c r="C254" s="3303"/>
      <c r="D254" s="3303"/>
      <c r="E254" s="3303"/>
      <c r="F254" s="3303"/>
      <c r="G254" s="3303"/>
      <c r="H254" s="3303"/>
      <c r="I254" s="3303"/>
      <c r="J254" s="3303"/>
      <c r="K254" s="3304"/>
      <c r="L254" s="3305"/>
      <c r="M254" s="3303"/>
      <c r="N254" s="3303"/>
      <c r="O254" s="3303"/>
      <c r="P254" s="3303"/>
      <c r="Q254" s="3303"/>
      <c r="R254" s="3303"/>
      <c r="S254" s="3303"/>
      <c r="T254" s="3303"/>
      <c r="U254" s="3303"/>
      <c r="V254" s="3303"/>
      <c r="W254" s="3303"/>
      <c r="X254" s="3303"/>
      <c r="Y254" s="3303"/>
      <c r="Z254" s="3303"/>
      <c r="AA254" s="3303"/>
      <c r="AB254" s="3303"/>
      <c r="AC254" s="3303"/>
    </row>
    <row r="255" spans="1:29">
      <c r="A255" s="3303"/>
      <c r="B255" s="3303"/>
      <c r="C255" s="3303"/>
      <c r="D255" s="3303"/>
      <c r="E255" s="3303"/>
      <c r="F255" s="3303"/>
      <c r="G255" s="3303"/>
      <c r="H255" s="3303"/>
      <c r="I255" s="3303"/>
      <c r="J255" s="3303"/>
      <c r="K255" s="3304"/>
      <c r="L255" s="3305"/>
      <c r="M255" s="3303"/>
      <c r="N255" s="3303"/>
      <c r="O255" s="3303"/>
      <c r="P255" s="3303"/>
      <c r="Q255" s="3303"/>
      <c r="R255" s="3303"/>
      <c r="S255" s="3303"/>
      <c r="T255" s="3303"/>
      <c r="U255" s="3303"/>
      <c r="V255" s="3303"/>
      <c r="W255" s="3303"/>
      <c r="X255" s="3303"/>
      <c r="Y255" s="3303"/>
      <c r="Z255" s="3303"/>
      <c r="AA255" s="3303"/>
      <c r="AB255" s="3303"/>
      <c r="AC255" s="3303"/>
    </row>
    <row r="256" spans="1:29">
      <c r="A256" s="3303"/>
      <c r="B256" s="3303"/>
      <c r="C256" s="3303"/>
      <c r="D256" s="3303"/>
      <c r="E256" s="3303"/>
      <c r="F256" s="3303"/>
      <c r="G256" s="3303"/>
      <c r="H256" s="3303"/>
      <c r="I256" s="3303"/>
      <c r="J256" s="3303"/>
      <c r="K256" s="3304"/>
      <c r="L256" s="3305"/>
      <c r="M256" s="3303"/>
      <c r="N256" s="3303"/>
      <c r="O256" s="3303"/>
      <c r="P256" s="3303"/>
      <c r="Q256" s="3303"/>
      <c r="R256" s="3303"/>
      <c r="S256" s="3303"/>
      <c r="T256" s="3303"/>
      <c r="U256" s="3303"/>
      <c r="V256" s="3303"/>
      <c r="W256" s="3303"/>
      <c r="X256" s="3303"/>
      <c r="Y256" s="3303"/>
      <c r="Z256" s="3303"/>
      <c r="AA256" s="3303"/>
      <c r="AB256" s="3303"/>
      <c r="AC256" s="3303"/>
    </row>
    <row r="257" spans="1:29">
      <c r="A257" s="3303"/>
      <c r="B257" s="3303"/>
      <c r="C257" s="3303"/>
      <c r="D257" s="3303"/>
      <c r="E257" s="3303"/>
      <c r="F257" s="3303"/>
      <c r="G257" s="3303"/>
      <c r="H257" s="3303"/>
      <c r="I257" s="3303"/>
      <c r="J257" s="3303"/>
      <c r="K257" s="3304"/>
      <c r="L257" s="3305"/>
      <c r="M257" s="3303"/>
      <c r="N257" s="3303"/>
      <c r="O257" s="3303"/>
      <c r="P257" s="3303"/>
      <c r="Q257" s="3303"/>
      <c r="R257" s="3303"/>
      <c r="S257" s="3303"/>
      <c r="T257" s="3303"/>
      <c r="U257" s="3303"/>
      <c r="V257" s="3303"/>
      <c r="W257" s="3303"/>
      <c r="X257" s="3303"/>
      <c r="Y257" s="3303"/>
      <c r="Z257" s="3303"/>
      <c r="AA257" s="3303"/>
      <c r="AB257" s="3303"/>
      <c r="AC257" s="3303"/>
    </row>
    <row r="258" spans="1:29">
      <c r="A258" s="3303"/>
      <c r="B258" s="3303"/>
      <c r="C258" s="3303"/>
      <c r="D258" s="3303"/>
      <c r="E258" s="3303"/>
      <c r="F258" s="3303"/>
      <c r="G258" s="3303"/>
      <c r="H258" s="3303"/>
      <c r="I258" s="3303"/>
      <c r="J258" s="3303"/>
      <c r="K258" s="3304"/>
      <c r="L258" s="3305"/>
      <c r="M258" s="3303"/>
      <c r="N258" s="3303"/>
      <c r="O258" s="3303"/>
      <c r="P258" s="3303"/>
      <c r="Q258" s="3303"/>
      <c r="R258" s="3303"/>
      <c r="S258" s="3303"/>
      <c r="T258" s="3303"/>
      <c r="U258" s="3303"/>
      <c r="V258" s="3303"/>
      <c r="W258" s="3303"/>
      <c r="X258" s="3303"/>
      <c r="Y258" s="3303"/>
      <c r="Z258" s="3303"/>
      <c r="AA258" s="3303"/>
      <c r="AB258" s="3303"/>
      <c r="AC258" s="3303"/>
    </row>
    <row r="259" spans="1:29">
      <c r="A259" s="3303"/>
      <c r="B259" s="3303"/>
      <c r="C259" s="3303"/>
      <c r="D259" s="3303"/>
      <c r="E259" s="3303"/>
      <c r="F259" s="3303"/>
      <c r="G259" s="3303"/>
      <c r="H259" s="3303"/>
      <c r="I259" s="3303"/>
      <c r="J259" s="3303"/>
      <c r="K259" s="3304"/>
      <c r="L259" s="3305"/>
      <c r="M259" s="3303"/>
      <c r="N259" s="3303"/>
      <c r="O259" s="3303"/>
      <c r="P259" s="3303"/>
      <c r="Q259" s="3303"/>
      <c r="R259" s="3303"/>
      <c r="S259" s="3303"/>
      <c r="T259" s="3303"/>
      <c r="U259" s="3303"/>
      <c r="V259" s="3303"/>
      <c r="W259" s="3303"/>
      <c r="X259" s="3303"/>
      <c r="Y259" s="3303"/>
      <c r="Z259" s="3303"/>
      <c r="AA259" s="3303"/>
      <c r="AB259" s="3303"/>
      <c r="AC259" s="3303"/>
    </row>
    <row r="260" spans="1:29">
      <c r="A260" s="3303"/>
      <c r="B260" s="3303"/>
      <c r="C260" s="3303"/>
      <c r="D260" s="3303"/>
      <c r="E260" s="3303"/>
      <c r="F260" s="3303"/>
      <c r="G260" s="3303"/>
      <c r="H260" s="3303"/>
      <c r="I260" s="3303"/>
      <c r="J260" s="3303"/>
      <c r="K260" s="3304"/>
      <c r="L260" s="3305"/>
      <c r="M260" s="3303"/>
      <c r="N260" s="3303"/>
      <c r="O260" s="3303"/>
      <c r="P260" s="3303"/>
      <c r="Q260" s="3303"/>
      <c r="R260" s="3303"/>
      <c r="S260" s="3303"/>
      <c r="T260" s="3303"/>
      <c r="U260" s="3303"/>
      <c r="V260" s="3303"/>
      <c r="W260" s="3303"/>
      <c r="X260" s="3303"/>
      <c r="Y260" s="3303"/>
      <c r="Z260" s="3303"/>
      <c r="AA260" s="3303"/>
      <c r="AB260" s="3303"/>
      <c r="AC260" s="3303"/>
    </row>
    <row r="261" spans="1:29">
      <c r="A261" s="3303"/>
      <c r="B261" s="3303"/>
      <c r="C261" s="3303"/>
      <c r="D261" s="3303"/>
      <c r="E261" s="3303"/>
      <c r="F261" s="3303"/>
      <c r="G261" s="3303"/>
      <c r="H261" s="3303"/>
      <c r="I261" s="3303"/>
      <c r="J261" s="3303"/>
      <c r="K261" s="3304"/>
      <c r="L261" s="3305"/>
      <c r="M261" s="3303"/>
      <c r="N261" s="3303"/>
      <c r="O261" s="3303"/>
      <c r="P261" s="3303"/>
      <c r="Q261" s="3303"/>
      <c r="R261" s="3303"/>
      <c r="S261" s="3303"/>
      <c r="T261" s="3303"/>
      <c r="U261" s="3303"/>
      <c r="V261" s="3303"/>
      <c r="W261" s="3303"/>
      <c r="X261" s="3303"/>
      <c r="Y261" s="3303"/>
      <c r="Z261" s="3303"/>
      <c r="AA261" s="3303"/>
      <c r="AB261" s="3303"/>
      <c r="AC261" s="3303"/>
    </row>
    <row r="262" spans="1:29">
      <c r="A262" s="3303"/>
      <c r="B262" s="3303"/>
      <c r="C262" s="3303"/>
      <c r="D262" s="3303"/>
      <c r="E262" s="3303"/>
      <c r="F262" s="3303"/>
      <c r="G262" s="3303"/>
      <c r="H262" s="3303"/>
      <c r="I262" s="3303"/>
      <c r="J262" s="3303"/>
      <c r="K262" s="3304"/>
      <c r="L262" s="3305"/>
      <c r="M262" s="3303"/>
      <c r="N262" s="3303"/>
      <c r="O262" s="3303"/>
      <c r="P262" s="3303"/>
      <c r="Q262" s="3303"/>
      <c r="R262" s="3303"/>
      <c r="S262" s="3303"/>
      <c r="T262" s="3303"/>
      <c r="U262" s="3303"/>
      <c r="V262" s="3303"/>
      <c r="W262" s="3303"/>
      <c r="X262" s="3303"/>
      <c r="Y262" s="3303"/>
      <c r="Z262" s="3303"/>
      <c r="AA262" s="3303"/>
      <c r="AB262" s="3303"/>
      <c r="AC262" s="3303"/>
    </row>
    <row r="263" spans="1:29">
      <c r="A263" s="3303"/>
      <c r="B263" s="3303"/>
      <c r="C263" s="3303"/>
      <c r="D263" s="3303"/>
      <c r="E263" s="3303"/>
      <c r="F263" s="3303"/>
      <c r="G263" s="3303"/>
      <c r="H263" s="3303"/>
      <c r="I263" s="3303"/>
      <c r="J263" s="3303"/>
      <c r="K263" s="3304"/>
      <c r="L263" s="3305"/>
      <c r="M263" s="3303"/>
      <c r="N263" s="3303"/>
      <c r="O263" s="3303"/>
      <c r="P263" s="3303"/>
      <c r="Q263" s="3303"/>
      <c r="R263" s="3303"/>
      <c r="S263" s="3303"/>
      <c r="T263" s="3303"/>
      <c r="U263" s="3303"/>
      <c r="V263" s="3303"/>
      <c r="W263" s="3303"/>
      <c r="X263" s="3303"/>
      <c r="Y263" s="3303"/>
      <c r="Z263" s="3303"/>
      <c r="AA263" s="3303"/>
      <c r="AB263" s="3303"/>
      <c r="AC263" s="3303"/>
    </row>
    <row r="264" spans="1:29">
      <c r="A264" s="3303"/>
      <c r="B264" s="3303"/>
      <c r="C264" s="3303"/>
      <c r="D264" s="3303"/>
      <c r="E264" s="3303"/>
      <c r="F264" s="3303"/>
      <c r="G264" s="3303"/>
      <c r="H264" s="3303"/>
      <c r="I264" s="3303"/>
      <c r="J264" s="3303"/>
      <c r="K264" s="3304"/>
      <c r="L264" s="3305"/>
      <c r="M264" s="3303"/>
      <c r="N264" s="3303"/>
      <c r="O264" s="3303"/>
      <c r="P264" s="3303"/>
      <c r="Q264" s="3303"/>
      <c r="R264" s="3303"/>
      <c r="S264" s="3303"/>
      <c r="T264" s="3303"/>
      <c r="U264" s="3303"/>
      <c r="V264" s="3303"/>
      <c r="W264" s="3303"/>
      <c r="X264" s="3303"/>
      <c r="Y264" s="3303"/>
      <c r="Z264" s="3303"/>
      <c r="AA264" s="3303"/>
      <c r="AB264" s="3303"/>
      <c r="AC264" s="3303"/>
    </row>
    <row r="265" spans="1:29">
      <c r="A265" s="3303"/>
      <c r="B265" s="3303"/>
      <c r="C265" s="3303"/>
      <c r="D265" s="3303"/>
      <c r="E265" s="3303"/>
      <c r="F265" s="3303"/>
      <c r="G265" s="3303"/>
      <c r="H265" s="3303"/>
      <c r="I265" s="3303"/>
      <c r="J265" s="3303"/>
      <c r="K265" s="3304"/>
      <c r="L265" s="3305"/>
      <c r="M265" s="3303"/>
      <c r="N265" s="3303"/>
      <c r="O265" s="3303"/>
      <c r="P265" s="3303"/>
      <c r="Q265" s="3303"/>
      <c r="R265" s="3303"/>
      <c r="S265" s="3303"/>
      <c r="T265" s="3303"/>
      <c r="U265" s="3303"/>
      <c r="V265" s="3303"/>
      <c r="W265" s="3303"/>
      <c r="X265" s="3303"/>
      <c r="Y265" s="3303"/>
      <c r="Z265" s="3303"/>
      <c r="AA265" s="3303"/>
      <c r="AB265" s="3303"/>
      <c r="AC265" s="3303"/>
    </row>
    <row r="266" spans="1:29">
      <c r="A266" s="3303"/>
      <c r="B266" s="3303"/>
      <c r="C266" s="3303"/>
      <c r="D266" s="3303"/>
      <c r="E266" s="3303"/>
      <c r="F266" s="3303"/>
      <c r="G266" s="3303"/>
      <c r="H266" s="3303"/>
      <c r="I266" s="3303"/>
      <c r="J266" s="3303"/>
      <c r="K266" s="3304"/>
      <c r="L266" s="3305"/>
      <c r="M266" s="3303"/>
      <c r="N266" s="3303"/>
      <c r="O266" s="3303"/>
      <c r="P266" s="3303"/>
      <c r="Q266" s="3303"/>
      <c r="R266" s="3303"/>
      <c r="S266" s="3303"/>
      <c r="T266" s="3303"/>
      <c r="U266" s="3303"/>
      <c r="V266" s="3303"/>
      <c r="W266" s="3303"/>
      <c r="X266" s="3303"/>
      <c r="Y266" s="3303"/>
      <c r="Z266" s="3303"/>
      <c r="AA266" s="3303"/>
      <c r="AB266" s="3303"/>
      <c r="AC266" s="3303"/>
    </row>
    <row r="267" spans="1:29">
      <c r="A267" s="3303"/>
      <c r="B267" s="3303"/>
      <c r="C267" s="3303"/>
      <c r="D267" s="3303"/>
      <c r="E267" s="3303"/>
      <c r="F267" s="3303"/>
      <c r="G267" s="3303"/>
      <c r="H267" s="3303"/>
      <c r="I267" s="3303"/>
      <c r="J267" s="3303"/>
      <c r="K267" s="3304"/>
      <c r="L267" s="3305"/>
      <c r="M267" s="3303"/>
      <c r="N267" s="3303"/>
      <c r="O267" s="3303"/>
      <c r="P267" s="3303"/>
      <c r="Q267" s="3303"/>
      <c r="R267" s="3303"/>
      <c r="S267" s="3303"/>
      <c r="T267" s="3303"/>
      <c r="U267" s="3303"/>
      <c r="V267" s="3303"/>
      <c r="W267" s="3303"/>
      <c r="X267" s="3303"/>
      <c r="Y267" s="3303"/>
      <c r="Z267" s="3303"/>
      <c r="AA267" s="3303"/>
      <c r="AB267" s="3303"/>
      <c r="AC267" s="3303"/>
    </row>
    <row r="268" spans="1:29">
      <c r="A268" s="3303"/>
      <c r="B268" s="3303"/>
      <c r="C268" s="3303"/>
      <c r="D268" s="3303"/>
      <c r="E268" s="3303"/>
      <c r="F268" s="3303"/>
      <c r="G268" s="3303"/>
      <c r="H268" s="3303"/>
      <c r="I268" s="3303"/>
      <c r="J268" s="3303"/>
      <c r="K268" s="3304"/>
      <c r="L268" s="3305"/>
      <c r="M268" s="3303"/>
      <c r="N268" s="3303"/>
      <c r="O268" s="3303"/>
      <c r="P268" s="3303"/>
      <c r="Q268" s="3303"/>
      <c r="R268" s="3303"/>
      <c r="S268" s="3303"/>
      <c r="T268" s="3303"/>
      <c r="U268" s="3303"/>
      <c r="V268" s="3303"/>
      <c r="W268" s="3303"/>
      <c r="X268" s="3303"/>
      <c r="Y268" s="3303"/>
      <c r="Z268" s="3303"/>
      <c r="AA268" s="3303"/>
      <c r="AB268" s="3303"/>
      <c r="AC268" s="3303"/>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J50" sqref="J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3059</v>
      </c>
      <c r="D1" s="1823" t="s">
        <v>3576</v>
      </c>
      <c r="E1" s="1824" t="s">
        <v>1387</v>
      </c>
      <c r="F1" s="1286">
        <f ca="1">J53</f>
        <v>46.03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376</v>
      </c>
      <c r="C2" s="1848" t="s">
        <v>1516</v>
      </c>
      <c r="D2" s="1848"/>
      <c r="E2" s="1849"/>
      <c r="F2" s="1850"/>
      <c r="G2" s="1851"/>
      <c r="H2" s="1843"/>
      <c r="I2" s="1843"/>
      <c r="J2" s="1843"/>
      <c r="K2" s="1844"/>
      <c r="L2" s="1843"/>
      <c r="M2" s="1843"/>
    </row>
    <row r="3" spans="1:37" ht="18" customHeight="1" thickBot="1">
      <c r="A3" s="1852" t="s">
        <v>1517</v>
      </c>
      <c r="B3" s="1853">
        <f ca="1">IF(ISERROR(B2*10000/F43),0,ROUND(B2*10000/F43,0))</f>
        <v>6359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v>
      </c>
      <c r="D5" s="1825" t="s">
        <v>1402</v>
      </c>
      <c r="E5" s="1296"/>
      <c r="F5" s="1297"/>
      <c r="G5" s="1854"/>
      <c r="H5" s="344">
        <v>1</v>
      </c>
      <c r="I5" s="345" t="s">
        <v>1401</v>
      </c>
      <c r="J5" s="1295">
        <f ca="1">J6+J10+J12</f>
        <v>0</v>
      </c>
      <c r="K5" s="1825" t="s">
        <v>1402</v>
      </c>
      <c r="L5" s="1296"/>
      <c r="M5" s="1297"/>
    </row>
    <row r="6" spans="1:37" ht="18" customHeight="1">
      <c r="A6" s="1294" t="s">
        <v>1035</v>
      </c>
      <c r="B6" s="3631" t="s">
        <v>1403</v>
      </c>
      <c r="C6" s="1299">
        <f ca="1">ROUND(F6*F8*F7*(1-F9)/10000,0)</f>
        <v>21</v>
      </c>
      <c r="D6" s="164" t="s">
        <v>3037</v>
      </c>
      <c r="E6" s="347" t="s">
        <v>1405</v>
      </c>
      <c r="F6" s="348">
        <f ca="1">INDIRECT("'数据-取费表'!u"&amp;$G$1)</f>
        <v>1</v>
      </c>
      <c r="G6" s="1854"/>
      <c r="H6" s="1294" t="s">
        <v>1035</v>
      </c>
      <c r="I6" s="3631" t="s">
        <v>1403</v>
      </c>
      <c r="J6" s="346">
        <f ca="1">ROUND(M6*M8*M7*(1-M9)/10000,0)</f>
        <v>0</v>
      </c>
      <c r="K6" s="164" t="s">
        <v>3036</v>
      </c>
      <c r="L6" s="347" t="s">
        <v>1405</v>
      </c>
      <c r="M6" s="348">
        <f ca="1">INDIRECT("'数据-取费表'!z"&amp;$G$1)</f>
        <v>0</v>
      </c>
    </row>
    <row r="7" spans="1:37" ht="18" customHeight="1">
      <c r="A7" s="1298"/>
      <c r="B7" s="3632"/>
      <c r="C7" s="1300"/>
      <c r="D7" s="352"/>
      <c r="E7" s="1301" t="s">
        <v>1406</v>
      </c>
      <c r="F7" s="348">
        <f ca="1">IF(INDIRECT("'数据-取费表'!ah"&amp;$G$1)="",INDIRECT("'数据-取费表'!k"&amp;$G$1),INDIRECT("'数据-取费表'!ah"&amp;$G$1))</f>
        <v>591.26</v>
      </c>
      <c r="G7" s="1854"/>
      <c r="H7" s="349"/>
      <c r="I7" s="3632"/>
      <c r="J7" s="351"/>
      <c r="K7" s="352"/>
      <c r="L7" s="347" t="s">
        <v>1406</v>
      </c>
      <c r="M7" s="348">
        <f ca="1">F7</f>
        <v>591.26</v>
      </c>
    </row>
    <row r="8" spans="1:37" ht="18" customHeight="1">
      <c r="A8" s="349"/>
      <c r="B8" s="3632"/>
      <c r="C8" s="351"/>
      <c r="D8" s="352"/>
      <c r="E8" s="347" t="s">
        <v>1407</v>
      </c>
      <c r="F8" s="348">
        <f ca="1">INDIRECT("'数据-取费表'!ai"&amp;$G$1)</f>
        <v>365</v>
      </c>
      <c r="G8" s="1854"/>
      <c r="H8" s="349"/>
      <c r="I8" s="3632"/>
      <c r="J8" s="351"/>
      <c r="K8" s="352"/>
      <c r="L8" s="347" t="s">
        <v>1407</v>
      </c>
      <c r="M8" s="348">
        <f ca="1">INDIRECT("'数据-取费表'!ai"&amp;$G$1)</f>
        <v>365</v>
      </c>
    </row>
    <row r="9" spans="1:37" ht="18" customHeight="1">
      <c r="A9" s="349"/>
      <c r="B9" s="3633"/>
      <c r="C9" s="351"/>
      <c r="D9" s="352"/>
      <c r="E9" s="347" t="s">
        <v>1408</v>
      </c>
      <c r="F9" s="357">
        <f ca="1">INDIRECT("'数据-取费表'!w"&amp;$G$1)</f>
        <v>0.05</v>
      </c>
      <c r="G9" s="1854"/>
      <c r="H9" s="349"/>
      <c r="I9" s="363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3046</v>
      </c>
      <c r="E10" s="358" t="s">
        <v>1410</v>
      </c>
      <c r="F10" s="1369" t="s">
        <v>3577</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161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118</v>
      </c>
      <c r="D14" s="1803" t="s">
        <v>1418</v>
      </c>
      <c r="E14" s="1797"/>
      <c r="F14" s="364"/>
      <c r="G14" s="1854"/>
      <c r="H14" s="1204" t="s">
        <v>1035</v>
      </c>
      <c r="I14" s="347" t="s">
        <v>1419</v>
      </c>
      <c r="J14" s="24">
        <f ca="1">C29</f>
        <v>161</v>
      </c>
      <c r="K14" s="15"/>
      <c r="L14" s="982"/>
      <c r="M14" s="983"/>
    </row>
    <row r="15" spans="1:37" s="1861" customFormat="1" ht="18" customHeight="1" thickBot="1">
      <c r="A15" s="1204" t="s">
        <v>1036</v>
      </c>
      <c r="B15" s="347" t="s">
        <v>1420</v>
      </c>
      <c r="C15" s="24">
        <f ca="1">ROUND(C14*F15,0)</f>
        <v>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200</v>
      </c>
      <c r="G17" s="1857"/>
      <c r="H17" s="1204" t="s">
        <v>1035</v>
      </c>
      <c r="I17" s="347" t="s">
        <v>1429</v>
      </c>
      <c r="J17" s="24">
        <f ca="1">ROUND(IF(项目基本情况!B11="自然人",J5*M17,J18+J19+J20),1)</f>
        <v>1.4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136</v>
      </c>
      <c r="D19" s="140" t="s">
        <v>1436</v>
      </c>
      <c r="E19" s="1821"/>
      <c r="F19" s="26"/>
      <c r="G19" s="1854"/>
      <c r="H19" s="1204" t="s">
        <v>1036</v>
      </c>
      <c r="I19" s="347" t="s">
        <v>1437</v>
      </c>
      <c r="J19" s="24">
        <f ca="1">IF(K19="按租金收入计税",ROUND(J5*M19,2),ROUND(C29*M19*0.7,2))</f>
        <v>1.35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0.02</v>
      </c>
      <c r="G20" s="1857"/>
      <c r="H20" s="1204" t="s">
        <v>1389</v>
      </c>
      <c r="I20" s="164" t="s">
        <v>1441</v>
      </c>
      <c r="J20" s="25">
        <f ca="1">ROUND(M20*M21/10000,2)</f>
        <v>0.03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110.88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2.4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v>
      </c>
      <c r="K25" s="1348" t="s">
        <v>1464</v>
      </c>
      <c r="L25" s="1349"/>
      <c r="M25" s="1350"/>
    </row>
    <row r="26" spans="1:37">
      <c r="A26" s="1204" t="s">
        <v>1034</v>
      </c>
      <c r="B26" s="347" t="s">
        <v>1465</v>
      </c>
      <c r="C26" s="24">
        <f ca="1">ROUND((C19+C20)*F26,0)</f>
        <v>7</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161</v>
      </c>
      <c r="D29" s="1345"/>
      <c r="E29" s="1343"/>
      <c r="F29" s="1346"/>
      <c r="G29" s="1857"/>
      <c r="H29" s="380" t="s">
        <v>1033</v>
      </c>
      <c r="I29" s="381" t="s">
        <v>1479</v>
      </c>
      <c r="J29" s="382">
        <f ca="1">ROUND(J26/(1+F40)^F41,0)</f>
        <v>0</v>
      </c>
      <c r="K29" s="383" t="s">
        <v>1480</v>
      </c>
      <c r="L29" s="384"/>
      <c r="M29" s="385">
        <f ca="1">INDIRECT("'数据-取费表'!k"&amp;$G$1)</f>
        <v>591.26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1.1200000000000001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2.52</v>
      </c>
      <c r="D33" s="1831" t="s">
        <v>3578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110.88</v>
      </c>
      <c r="G35" s="1854"/>
      <c r="H35" s="745"/>
      <c r="I35" s="1863"/>
      <c r="J35" s="1864"/>
      <c r="K35" s="1865"/>
      <c r="L35" s="1862"/>
      <c r="M35" s="1862"/>
    </row>
    <row r="36" spans="1:18" ht="18" customHeight="1">
      <c r="A36" s="1355" t="s">
        <v>1039</v>
      </c>
      <c r="B36" s="347" t="s">
        <v>1449</v>
      </c>
      <c r="C36" s="24">
        <f ca="1">ROUND(C29*F36,1)</f>
        <v>2.4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0.2</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375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46.03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6342</v>
      </c>
      <c r="D43" s="383" t="s">
        <v>1488</v>
      </c>
      <c r="E43" s="384" t="s">
        <v>1489</v>
      </c>
      <c r="F43" s="385">
        <f ca="1">INDIRECT("'数据-取费表'!k"&amp;$G$1)</f>
        <v>591.26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-661</v>
      </c>
      <c r="D46" s="1875" t="str">
        <f>C2</f>
        <v>万元</v>
      </c>
      <c r="E46" s="1869"/>
      <c r="F46" s="1869"/>
      <c r="I46" s="1876" t="s">
        <v>1521</v>
      </c>
      <c r="J46" s="1877"/>
      <c r="K46" s="1878"/>
      <c r="L46" s="1879">
        <f ca="1">IF(M47="住宅",0,IF(L48&gt;J51,L60,J60))</f>
        <v>1</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3481</v>
      </c>
      <c r="K47" s="1885" t="s">
        <v>1527</v>
      </c>
      <c r="L47" s="1886">
        <f ca="1">INDIRECT("'数据-取费表'!d"&amp;$G$1)</f>
        <v>50</v>
      </c>
      <c r="M47" s="1841" t="str">
        <f>IF(ISNUMBER(FIND("住宅",C1)),"住宅","非住宅")</f>
        <v>非住宅</v>
      </c>
      <c r="O47" s="1887" t="s">
        <v>1040</v>
      </c>
      <c r="P47" s="1888" t="s">
        <v>1528</v>
      </c>
      <c r="Q47" s="1889">
        <f ca="1">C40+J29</f>
        <v>375</v>
      </c>
      <c r="R47" s="1889" t="s">
        <v>1529</v>
      </c>
    </row>
    <row r="48" spans="1:18" s="1845" customFormat="1" ht="28.5" thickBot="1">
      <c r="A48" s="1363" t="s">
        <v>1135</v>
      </c>
      <c r="B48" s="345" t="s">
        <v>1401</v>
      </c>
      <c r="C48" s="1820">
        <f ca="1">C49+C53+C55</f>
        <v>0</v>
      </c>
      <c r="D48" s="1365"/>
      <c r="E48" s="1366"/>
      <c r="F48" s="1184"/>
      <c r="G48" s="792"/>
      <c r="H48" s="793"/>
      <c r="I48" s="1890" t="s">
        <v>1530</v>
      </c>
      <c r="J48" s="1891" t="s">
        <v>3579</v>
      </c>
      <c r="K48" s="1892" t="s">
        <v>1531</v>
      </c>
      <c r="L48" s="1893">
        <f ca="1">INDIRECT("'数据-取费表'!f"&amp;$G$1)</f>
        <v>47.03</v>
      </c>
      <c r="O48" s="1887" t="s">
        <v>1041</v>
      </c>
      <c r="P48" s="1888" t="s">
        <v>1532</v>
      </c>
      <c r="Q48" s="1889">
        <f ca="1">J60</f>
        <v>1</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2019</v>
      </c>
      <c r="K49" s="1892" t="s">
        <v>1535</v>
      </c>
      <c r="L49" s="1896"/>
      <c r="O49" s="1897" t="s">
        <v>1042</v>
      </c>
      <c r="P49" s="1888" t="s">
        <v>1536</v>
      </c>
      <c r="Q49" s="1889">
        <f ca="1">C29</f>
        <v>161</v>
      </c>
      <c r="R49" s="1889" t="s">
        <v>1529</v>
      </c>
    </row>
    <row r="50" spans="1:18" s="1845" customFormat="1" ht="13.5" thickBot="1">
      <c r="A50" s="1198"/>
      <c r="B50" s="1201"/>
      <c r="C50" s="1371"/>
      <c r="D50" s="1175"/>
      <c r="E50" s="1280" t="s">
        <v>1406</v>
      </c>
      <c r="F50" s="1281">
        <f ca="1">F7</f>
        <v>591.26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6</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46.03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46.03</v>
      </c>
      <c r="K53" s="3629" t="s">
        <v>1548</v>
      </c>
      <c r="L53" s="3630"/>
      <c r="O53" s="1887" t="s">
        <v>1046</v>
      </c>
      <c r="P53" s="1888" t="s">
        <v>1549</v>
      </c>
      <c r="Q53" s="1889">
        <f ca="1">Q47+Q48</f>
        <v>376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0.23300000000000001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161</v>
      </c>
      <c r="D56" s="1917"/>
      <c r="E56" s="1918"/>
      <c r="F56" s="1910"/>
      <c r="I56" s="1919" t="s">
        <v>1554</v>
      </c>
      <c r="J56" s="1920" t="s">
        <v>3067</v>
      </c>
      <c r="K56" s="1890" t="s">
        <v>1555</v>
      </c>
      <c r="L56" s="1893" t="str">
        <f ca="1">IF(L48&lt;J51,"——",L48-J53)</f>
        <v>——</v>
      </c>
      <c r="O56" s="1887" t="s">
        <v>1040</v>
      </c>
      <c r="P56" s="1888" t="s">
        <v>1528</v>
      </c>
      <c r="Q56" s="1889">
        <f ca="1">C40+J29</f>
        <v>375</v>
      </c>
      <c r="R56" s="1889" t="s">
        <v>1529</v>
      </c>
    </row>
    <row r="57" spans="1:18" s="1845" customFormat="1" ht="24.75" thickBot="1">
      <c r="A57" s="1921"/>
      <c r="B57" s="1172" t="s">
        <v>1478</v>
      </c>
      <c r="C57" s="282">
        <f ca="1">C29</f>
        <v>161</v>
      </c>
      <c r="D57" s="1922"/>
      <c r="E57" s="1923"/>
      <c r="F57" s="1924"/>
      <c r="I57" s="1925" t="s">
        <v>1556</v>
      </c>
      <c r="J57" s="1926">
        <f ca="1">IF(OR(M47="住宅",J51&lt;L48,J56="是"),"——",J51-L48)</f>
        <v>13.969999999999999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16</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13.6</v>
      </c>
      <c r="D59" s="1185" t="s">
        <v>1430</v>
      </c>
      <c r="E59" s="1186" t="s">
        <v>1431</v>
      </c>
      <c r="F59" s="368" t="str">
        <f ca="1">IF(项目基本情况!B11="企业","",IF(INDIRECT("'数据-取费表'!c"&amp;$G$1)="住宅",5%,IF(F49*F50*F51/12/(1+'数据-取费表'!C42)&gt;20000,12%,7%)))</f>
        <v/>
      </c>
      <c r="I59" s="1925" t="s">
        <v>1563</v>
      </c>
      <c r="J59" s="1926">
        <f ca="1">IF(OR(M47="住宅",J51&lt;L48,J56="是"),"——",ROUND(C29*J58,0))</f>
        <v>64</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13.52</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375</v>
      </c>
      <c r="R62" s="1889" t="s">
        <v>1047</v>
      </c>
    </row>
    <row r="63" spans="1:18" s="1845" customFormat="1" ht="13.5" thickBot="1">
      <c r="A63" s="372"/>
      <c r="B63" s="1178"/>
      <c r="C63" s="29"/>
      <c r="D63" s="1188"/>
      <c r="E63" s="1172" t="s">
        <v>1499</v>
      </c>
      <c r="F63" s="348">
        <f t="shared" ca="1" si="0"/>
        <v>110.88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0.2</v>
      </c>
      <c r="D65" s="1186" t="s">
        <v>1454</v>
      </c>
      <c r="E65" s="1172" t="s">
        <v>1455</v>
      </c>
      <c r="F65" s="376">
        <f t="shared" ca="1" si="0"/>
        <v>1.5E-3</v>
      </c>
      <c r="I65" s="1932" t="s">
        <v>1579</v>
      </c>
      <c r="J65" s="1933">
        <v>40</v>
      </c>
      <c r="K65" s="1933">
        <v>30</v>
      </c>
      <c r="L65" s="1933">
        <v>50</v>
      </c>
      <c r="M65" s="1935">
        <v>0.02</v>
      </c>
      <c r="O65" s="1887" t="s">
        <v>1040</v>
      </c>
      <c r="P65" s="1888" t="s">
        <v>1580</v>
      </c>
      <c r="Q65" s="1889">
        <f ca="1">C40+J29</f>
        <v>375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-16</v>
      </c>
      <c r="D67" s="1185" t="s">
        <v>1464</v>
      </c>
      <c r="E67" s="1190"/>
      <c r="F67" s="1191"/>
      <c r="O67" s="1897" t="s">
        <v>1042</v>
      </c>
      <c r="P67" s="1888" t="s">
        <v>1562</v>
      </c>
      <c r="Q67" s="1936">
        <f ca="1">L51</f>
        <v>6</v>
      </c>
      <c r="R67" s="1889" t="s">
        <v>1582</v>
      </c>
    </row>
    <row r="68" spans="1:18" s="1845" customFormat="1" ht="16.5" thickBot="1">
      <c r="A68" s="1169" t="s">
        <v>1032</v>
      </c>
      <c r="B68" s="1170" t="s">
        <v>1485</v>
      </c>
      <c r="C68" s="346">
        <f ca="1">ROUND(C67*(1-((1+F70)/(1+F68))^F69)/(F68-F70),0)</f>
        <v>-286</v>
      </c>
      <c r="D68" s="1187" t="s">
        <v>1469</v>
      </c>
      <c r="E68" s="1172" t="s">
        <v>1470</v>
      </c>
      <c r="F68" s="357">
        <f ca="1">F40</f>
        <v>0.05</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46.03</v>
      </c>
      <c r="O69" s="1897" t="s">
        <v>1048</v>
      </c>
      <c r="P69" s="1937" t="s">
        <v>1584</v>
      </c>
      <c r="Q69" s="1889">
        <f ca="1">C39</f>
        <v>14</v>
      </c>
      <c r="R69" s="1889" t="s">
        <v>1529</v>
      </c>
    </row>
    <row r="70" spans="1:18" s="1845" customFormat="1" ht="13.5" thickBot="1">
      <c r="A70" s="1176"/>
      <c r="B70" s="1177"/>
      <c r="C70" s="355"/>
      <c r="D70" s="1188"/>
      <c r="E70" s="1172" t="s">
        <v>1477</v>
      </c>
      <c r="F70" s="1278"/>
      <c r="O70" s="1897" t="s">
        <v>1049</v>
      </c>
      <c r="P70" s="1937" t="s">
        <v>1585</v>
      </c>
      <c r="Q70" s="1889">
        <f ca="1">C13</f>
        <v>161</v>
      </c>
      <c r="R70" s="1889" t="s">
        <v>1529</v>
      </c>
    </row>
    <row r="71" spans="1:18" s="1845" customFormat="1" ht="13.5" thickBot="1">
      <c r="A71" s="1193" t="s">
        <v>1033</v>
      </c>
      <c r="B71" s="1194" t="s">
        <v>1487</v>
      </c>
      <c r="C71" s="382">
        <f ca="1">ROUND(C68*10000/F71,0)</f>
        <v>-4837</v>
      </c>
      <c r="D71" s="1195" t="s">
        <v>1488</v>
      </c>
      <c r="E71" s="1196" t="s">
        <v>1489</v>
      </c>
      <c r="F71" s="385">
        <f ca="1">F43</f>
        <v>591.26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14</v>
      </c>
      <c r="D75" s="1845"/>
      <c r="E75" s="1845"/>
      <c r="F75" s="1845"/>
      <c r="K75" s="1871"/>
      <c r="L75" s="1845"/>
      <c r="O75" s="1887" t="s">
        <v>1046</v>
      </c>
      <c r="P75" s="1888" t="s">
        <v>1549</v>
      </c>
      <c r="Q75" s="1889">
        <f ca="1">Q65+Q66</f>
        <v>375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v>
      </c>
    </row>
    <row r="80" spans="1:18">
      <c r="B80" s="386" t="s">
        <v>1511</v>
      </c>
      <c r="C80" s="318">
        <f ca="1">ROUND(C75/C39,3)</f>
        <v>1</v>
      </c>
    </row>
    <row r="81" spans="2:3">
      <c r="B81" s="314" t="s">
        <v>1512</v>
      </c>
      <c r="C81" s="282"/>
    </row>
    <row r="82" spans="2:3">
      <c r="B82" s="317" t="s">
        <v>1513</v>
      </c>
      <c r="C82" s="319">
        <f ca="1">1-C83</f>
        <v>0.57099999999999995</v>
      </c>
    </row>
    <row r="83" spans="2:3">
      <c r="B83" s="317" t="s">
        <v>1514</v>
      </c>
      <c r="C83" s="318">
        <f ca="1">ROUND(C13/C40,3)</f>
        <v>0.42899999999999999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631" t="s">
        <v>1403</v>
      </c>
      <c r="C6" s="1299">
        <f ca="1">ROUND(F6*F8*F7*(1-F9),0)</f>
        <v>0</v>
      </c>
      <c r="D6" s="164" t="s">
        <v>3034</v>
      </c>
      <c r="E6" s="347" t="s">
        <v>1405</v>
      </c>
      <c r="F6" s="348">
        <f ca="1">INDIRECT("'数据-取费表'!u"&amp;$G$1)</f>
        <v>0</v>
      </c>
      <c r="G6" s="1854"/>
      <c r="H6" s="1294" t="s">
        <v>1035</v>
      </c>
      <c r="I6" s="3631" t="s">
        <v>1403</v>
      </c>
      <c r="J6" s="346">
        <f ca="1">ROUND(M6*M8*M7*(1-M9),0)</f>
        <v>0</v>
      </c>
      <c r="K6" s="1837" t="s">
        <v>3035</v>
      </c>
      <c r="L6" s="347" t="s">
        <v>1405</v>
      </c>
      <c r="M6" s="348">
        <f ca="1">INDIRECT("'数据-取费表'!z"&amp;$G$1)</f>
        <v>0</v>
      </c>
    </row>
    <row r="7" spans="1:37" ht="18" customHeight="1">
      <c r="A7" s="1298"/>
      <c r="B7" s="3632"/>
      <c r="C7" s="1300"/>
      <c r="D7" s="352"/>
      <c r="E7" s="1301" t="s">
        <v>1406</v>
      </c>
      <c r="F7" s="348">
        <f ca="1">IF(INDIRECT("'数据-取费表'!ah"&amp;$G$1)="",INDIRECT("'数据-取费表'!k"&amp;$G$1),INDIRECT("'数据-取费表'!ah"&amp;$G$1))</f>
        <v>0</v>
      </c>
      <c r="G7" s="1854"/>
      <c r="H7" s="349"/>
      <c r="I7" s="3632"/>
      <c r="J7" s="351"/>
      <c r="K7" s="352"/>
      <c r="L7" s="347" t="s">
        <v>1406</v>
      </c>
      <c r="M7" s="348">
        <f ca="1">F7</f>
        <v>0</v>
      </c>
    </row>
    <row r="8" spans="1:37" ht="18" customHeight="1">
      <c r="A8" s="349"/>
      <c r="B8" s="3632"/>
      <c r="C8" s="351"/>
      <c r="D8" s="352"/>
      <c r="E8" s="347" t="s">
        <v>1407</v>
      </c>
      <c r="F8" s="348">
        <f ca="1">INDIRECT("'数据-取费表'!ai"&amp;$G$1)</f>
        <v>0</v>
      </c>
      <c r="G8" s="1854"/>
      <c r="H8" s="349"/>
      <c r="I8" s="3632"/>
      <c r="J8" s="351"/>
      <c r="K8" s="352"/>
      <c r="L8" s="347" t="s">
        <v>1407</v>
      </c>
      <c r="M8" s="348">
        <f ca="1">INDIRECT("'数据-取费表'!ai"&amp;$G$1)</f>
        <v>0</v>
      </c>
    </row>
    <row r="9" spans="1:37" ht="18" customHeight="1">
      <c r="A9" s="349"/>
      <c r="B9" s="3633"/>
      <c r="C9" s="351"/>
      <c r="D9" s="352"/>
      <c r="E9" s="347" t="s">
        <v>1408</v>
      </c>
      <c r="F9" s="357">
        <f ca="1">INDIRECT("'数据-取费表'!w"&amp;$G$1)</f>
        <v>0</v>
      </c>
      <c r="G9" s="1854"/>
      <c r="H9" s="349"/>
      <c r="I9" s="363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629" t="s">
        <v>1548</v>
      </c>
      <c r="L53" s="363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2334</v>
      </c>
      <c r="B2" s="2572">
        <f ca="1">SUMIF(B6:B13,"&lt;&gt;#ref!",B6:B13)</f>
        <v>376</v>
      </c>
      <c r="C2" s="2573" t="s">
        <v>2523</v>
      </c>
      <c r="D2" s="2574" t="s">
        <v>2524</v>
      </c>
      <c r="E2" s="2575">
        <f>SUM(E6:E13)</f>
        <v>591.26</v>
      </c>
    </row>
    <row r="3" spans="1:6" ht="15.75">
      <c r="A3" s="2571" t="s">
        <v>1395</v>
      </c>
      <c r="B3" s="2572">
        <f ca="1">ROUND(B2*10000/E2,0)</f>
        <v>6359</v>
      </c>
      <c r="C3" s="2573" t="s">
        <v>2531</v>
      </c>
      <c r="D3" s="2576"/>
      <c r="E3" s="2577"/>
    </row>
    <row r="4" spans="1:6" ht="15.75">
      <c r="A4" s="2578"/>
      <c r="B4" s="2576"/>
      <c r="C4" s="2576"/>
      <c r="D4" s="2576"/>
      <c r="E4" s="2577"/>
    </row>
    <row r="5" spans="1:6" ht="15">
      <c r="A5" s="2579" t="s">
        <v>2525</v>
      </c>
      <c r="B5" s="3634" t="s">
        <v>2526</v>
      </c>
      <c r="C5" s="3634"/>
      <c r="D5" s="2580"/>
      <c r="E5" s="2581" t="s">
        <v>2527</v>
      </c>
      <c r="F5" s="2582" t="s">
        <v>2528</v>
      </c>
    </row>
    <row r="6" spans="1:6">
      <c r="A6" s="2583">
        <f>'数据-取费表'!AN6</f>
        <v>0</v>
      </c>
      <c r="B6" s="2582" t="e">
        <f ca="1">IF(F6="是",'数据-取费表'!AO6,0)</f>
        <v>#REF!</v>
      </c>
      <c r="C6" s="2573" t="s">
        <v>2523</v>
      </c>
      <c r="D6" s="2576"/>
      <c r="E6" s="2584">
        <f>IF(OR(A6=0,F6="否"),0,'数据-取费表'!K6+'数据-取费表'!S6)</f>
        <v>0</v>
      </c>
      <c r="F6" s="2585" t="s">
        <v>2529</v>
      </c>
    </row>
    <row r="7" spans="1:6">
      <c r="A7" s="2583" t="str">
        <f>'数据-取费表'!AN7</f>
        <v>收益法</v>
      </c>
      <c r="B7" s="2582">
        <f ca="1">IF(F7="是",'数据-取费表'!AO7,0)</f>
        <v>376</v>
      </c>
      <c r="C7" s="2573" t="s">
        <v>2523</v>
      </c>
      <c r="D7" s="2576"/>
      <c r="E7" s="2584">
        <f>IF(OR(A7=0,F7="否"),0,'数据-取费表'!K7+'数据-取费表'!S7)</f>
        <v>591.26</v>
      </c>
      <c r="F7" s="2585" t="s">
        <v>2529</v>
      </c>
    </row>
    <row r="8" spans="1:6">
      <c r="A8" s="2583">
        <f>'数据-取费表'!AN8</f>
        <v>0</v>
      </c>
      <c r="B8" s="2582" t="e">
        <f ca="1">IF(F8="是",'数据-取费表'!AO8,0)</f>
        <v>#REF!</v>
      </c>
      <c r="C8" s="2573" t="s">
        <v>2523</v>
      </c>
      <c r="D8" s="2576"/>
      <c r="E8" s="2584">
        <f>IF(OR(A8=0,F8="否"),0,'数据-取费表'!K8+'数据-取费表'!S8)</f>
        <v>0</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651" t="s">
        <v>1076</v>
      </c>
      <c r="B1" s="3652"/>
      <c r="C1" s="3653"/>
      <c r="D1" s="3654">
        <f>SUM(I10,I15,I20,I21,I23)</f>
        <v>0</v>
      </c>
      <c r="E1" s="3654"/>
      <c r="F1" s="3654"/>
      <c r="G1" s="3654"/>
      <c r="H1" s="3654"/>
      <c r="I1" s="3655"/>
    </row>
    <row r="2" spans="1:9">
      <c r="A2" s="3641" t="s">
        <v>1077</v>
      </c>
      <c r="B2" s="3642" t="s">
        <v>1078</v>
      </c>
      <c r="C2" s="3642"/>
      <c r="D2" s="1304" t="s">
        <v>1079</v>
      </c>
      <c r="E2" s="1304" t="s">
        <v>1080</v>
      </c>
      <c r="F2" s="1304" t="s">
        <v>1081</v>
      </c>
      <c r="G2" s="1304" t="s">
        <v>1082</v>
      </c>
      <c r="H2" s="1304" t="s">
        <v>1083</v>
      </c>
      <c r="I2" s="1305" t="s">
        <v>1084</v>
      </c>
    </row>
    <row r="3" spans="1:9">
      <c r="A3" s="3641"/>
      <c r="B3" s="3642" t="s">
        <v>1085</v>
      </c>
      <c r="C3" s="3642"/>
      <c r="D3" s="1306"/>
      <c r="E3" s="1304"/>
      <c r="F3" s="1307"/>
      <c r="G3" s="1307"/>
      <c r="H3" s="1308"/>
      <c r="I3" s="1309">
        <f>ROUND(D3*E3*F3*G3*H3/10000,0)</f>
        <v>0</v>
      </c>
    </row>
    <row r="4" spans="1:9">
      <c r="A4" s="3641"/>
      <c r="B4" s="3642" t="s">
        <v>1086</v>
      </c>
      <c r="C4" s="3642"/>
      <c r="D4" s="1306"/>
      <c r="E4" s="1304"/>
      <c r="F4" s="1307"/>
      <c r="G4" s="1307"/>
      <c r="H4" s="1308"/>
      <c r="I4" s="1309">
        <f t="shared" ref="I4:I9" si="0">ROUND(D4*E4*F4*G4*H4/10000,0)</f>
        <v>0</v>
      </c>
    </row>
    <row r="5" spans="1:9">
      <c r="A5" s="3641"/>
      <c r="B5" s="3642" t="s">
        <v>1087</v>
      </c>
      <c r="C5" s="3642"/>
      <c r="D5" s="1306"/>
      <c r="E5" s="1304"/>
      <c r="F5" s="1307"/>
      <c r="G5" s="1307"/>
      <c r="H5" s="1308"/>
      <c r="I5" s="1309">
        <f t="shared" si="0"/>
        <v>0</v>
      </c>
    </row>
    <row r="6" spans="1:9">
      <c r="A6" s="3641"/>
      <c r="B6" s="3642" t="s">
        <v>1088</v>
      </c>
      <c r="C6" s="3642"/>
      <c r="D6" s="1306"/>
      <c r="E6" s="1304"/>
      <c r="F6" s="1307"/>
      <c r="G6" s="1307"/>
      <c r="H6" s="1308"/>
      <c r="I6" s="1309">
        <f t="shared" si="0"/>
        <v>0</v>
      </c>
    </row>
    <row r="7" spans="1:9">
      <c r="A7" s="3641"/>
      <c r="B7" s="3642" t="s">
        <v>1089</v>
      </c>
      <c r="C7" s="3642"/>
      <c r="D7" s="1306"/>
      <c r="E7" s="1304"/>
      <c r="F7" s="1307"/>
      <c r="G7" s="1307"/>
      <c r="H7" s="1308"/>
      <c r="I7" s="1309">
        <f t="shared" si="0"/>
        <v>0</v>
      </c>
    </row>
    <row r="8" spans="1:9">
      <c r="A8" s="3641"/>
      <c r="B8" s="3642" t="s">
        <v>1090</v>
      </c>
      <c r="C8" s="3642"/>
      <c r="D8" s="1306"/>
      <c r="E8" s="1304"/>
      <c r="F8" s="1307"/>
      <c r="G8" s="1307"/>
      <c r="H8" s="1308"/>
      <c r="I8" s="1309">
        <f t="shared" si="0"/>
        <v>0</v>
      </c>
    </row>
    <row r="9" spans="1:9">
      <c r="A9" s="3641"/>
      <c r="B9" s="3642" t="s">
        <v>1091</v>
      </c>
      <c r="C9" s="3642"/>
      <c r="D9" s="1306"/>
      <c r="E9" s="1304"/>
      <c r="F9" s="1307"/>
      <c r="G9" s="1307"/>
      <c r="H9" s="1308"/>
      <c r="I9" s="1309">
        <f t="shared" si="0"/>
        <v>0</v>
      </c>
    </row>
    <row r="10" spans="1:9">
      <c r="A10" s="3641"/>
      <c r="B10" s="3643" t="s">
        <v>1092</v>
      </c>
      <c r="C10" s="3643"/>
      <c r="D10" s="1310"/>
      <c r="E10" s="1310" t="e">
        <f>ROUND(D1*10000/D10/H9,0)</f>
        <v>#DIV/0!</v>
      </c>
      <c r="F10" s="1311"/>
      <c r="G10" s="1311"/>
      <c r="H10" s="1312"/>
      <c r="I10" s="1313">
        <f>SUM(I3:I9)</f>
        <v>0</v>
      </c>
    </row>
    <row r="11" spans="1:9" ht="14.25">
      <c r="A11" s="3641" t="s">
        <v>1093</v>
      </c>
      <c r="B11" s="3642" t="s">
        <v>1094</v>
      </c>
      <c r="C11" s="3642"/>
      <c r="D11" s="1306" t="s">
        <v>1095</v>
      </c>
      <c r="E11" s="1306" t="s">
        <v>1096</v>
      </c>
      <c r="F11" s="1307" t="s">
        <v>1097</v>
      </c>
      <c r="G11" s="1307" t="s">
        <v>1083</v>
      </c>
      <c r="H11" s="1314" t="s">
        <v>1098</v>
      </c>
      <c r="I11" s="1305" t="s">
        <v>1084</v>
      </c>
    </row>
    <row r="12" spans="1:9">
      <c r="A12" s="3641"/>
      <c r="B12" s="3642" t="s">
        <v>1099</v>
      </c>
      <c r="C12" s="3642"/>
      <c r="D12" s="1306"/>
      <c r="E12" s="1306"/>
      <c r="F12" s="1307"/>
      <c r="G12" s="1308"/>
      <c r="H12" s="1315"/>
      <c r="I12" s="1305">
        <f>ROUND(D12*E12*F12*G12/10000,0)</f>
        <v>0</v>
      </c>
    </row>
    <row r="13" spans="1:9">
      <c r="A13" s="3641"/>
      <c r="B13" s="3642" t="s">
        <v>1100</v>
      </c>
      <c r="C13" s="3642"/>
      <c r="D13" s="1306"/>
      <c r="E13" s="1306"/>
      <c r="F13" s="1307"/>
      <c r="G13" s="1308"/>
      <c r="H13" s="1315"/>
      <c r="I13" s="1305">
        <f>ROUND(D13*E13*F13*G13/10000,0)</f>
        <v>0</v>
      </c>
    </row>
    <row r="14" spans="1:9">
      <c r="A14" s="3641"/>
      <c r="B14" s="3642" t="s">
        <v>1101</v>
      </c>
      <c r="C14" s="3642"/>
      <c r="D14" s="1306"/>
      <c r="E14" s="1306"/>
      <c r="F14" s="1307"/>
      <c r="G14" s="1308"/>
      <c r="H14" s="1315"/>
      <c r="I14" s="1305">
        <f>ROUND(D14*E14*F14*G14/10000,0)</f>
        <v>0</v>
      </c>
    </row>
    <row r="15" spans="1:9">
      <c r="A15" s="3641"/>
      <c r="B15" s="3643" t="s">
        <v>1092</v>
      </c>
      <c r="C15" s="3643"/>
      <c r="D15" s="1310"/>
      <c r="E15" s="1310">
        <f>SUM(E12:E14)</f>
        <v>0</v>
      </c>
      <c r="F15" s="1311"/>
      <c r="G15" s="1308"/>
      <c r="H15" s="1315"/>
      <c r="I15" s="1316">
        <f>SUM(I12:I14)</f>
        <v>0</v>
      </c>
    </row>
    <row r="16" spans="1:9" ht="24">
      <c r="A16" s="3641" t="s">
        <v>1102</v>
      </c>
      <c r="B16" s="3642" t="s">
        <v>1103</v>
      </c>
      <c r="C16" s="3642"/>
      <c r="D16" s="1306" t="s">
        <v>1079</v>
      </c>
      <c r="E16" s="1317" t="s">
        <v>1104</v>
      </c>
      <c r="F16" s="1307" t="s">
        <v>1105</v>
      </c>
      <c r="G16" s="1308" t="s">
        <v>1083</v>
      </c>
      <c r="H16" s="1314" t="s">
        <v>1098</v>
      </c>
      <c r="I16" s="1305" t="s">
        <v>1084</v>
      </c>
    </row>
    <row r="17" spans="1:9" ht="14.25">
      <c r="A17" s="3641"/>
      <c r="B17" s="3642" t="s">
        <v>1106</v>
      </c>
      <c r="C17" s="3642"/>
      <c r="D17" s="1306"/>
      <c r="E17" s="1306"/>
      <c r="F17" s="1307"/>
      <c r="G17" s="1308"/>
      <c r="H17" s="1318"/>
      <c r="I17" s="1319">
        <f>ROUND(D17*E17*F17*G17/10000,0)</f>
        <v>0</v>
      </c>
    </row>
    <row r="18" spans="1:9" ht="14.25">
      <c r="A18" s="3641"/>
      <c r="B18" s="3642" t="s">
        <v>1107</v>
      </c>
      <c r="C18" s="3642"/>
      <c r="D18" s="1306"/>
      <c r="E18" s="1306"/>
      <c r="F18" s="1307"/>
      <c r="G18" s="1308"/>
      <c r="H18" s="1318"/>
      <c r="I18" s="1319">
        <f>ROUND(D18*E18*F18*G18/10000,0)</f>
        <v>0</v>
      </c>
    </row>
    <row r="19" spans="1:9" ht="14.25">
      <c r="A19" s="3641"/>
      <c r="B19" s="3642" t="s">
        <v>1108</v>
      </c>
      <c r="C19" s="3642"/>
      <c r="D19" s="1306"/>
      <c r="E19" s="1306"/>
      <c r="F19" s="1307"/>
      <c r="G19" s="1308"/>
      <c r="H19" s="1318"/>
      <c r="I19" s="1319">
        <f>ROUND(D19*E19*F19*G19/10000,0)</f>
        <v>0</v>
      </c>
    </row>
    <row r="20" spans="1:9">
      <c r="A20" s="3641"/>
      <c r="B20" s="3643" t="s">
        <v>1092</v>
      </c>
      <c r="C20" s="3643"/>
      <c r="D20" s="1310">
        <f>SUM(D17:D19)</f>
        <v>0</v>
      </c>
      <c r="E20" s="1310"/>
      <c r="F20" s="1311"/>
      <c r="G20" s="1308"/>
      <c r="H20" s="1315"/>
      <c r="I20" s="1316">
        <f>SUM(I17:I19)</f>
        <v>0</v>
      </c>
    </row>
    <row r="21" spans="1:9">
      <c r="A21" s="3641" t="s">
        <v>1109</v>
      </c>
      <c r="B21" s="3644"/>
      <c r="C21" s="3644"/>
      <c r="D21" s="3644"/>
      <c r="E21" s="3644"/>
      <c r="F21" s="3644"/>
      <c r="G21" s="3644"/>
      <c r="H21" s="1768">
        <v>0.1</v>
      </c>
      <c r="I21" s="1313">
        <f>ROUND(I10*H21,0)</f>
        <v>0</v>
      </c>
    </row>
    <row r="22" spans="1:9" ht="14.25">
      <c r="A22" s="3645" t="s">
        <v>1110</v>
      </c>
      <c r="B22" s="3646"/>
      <c r="C22" s="3647"/>
      <c r="D22" s="1320" t="s">
        <v>1111</v>
      </c>
      <c r="E22" s="1320" t="s">
        <v>1112</v>
      </c>
      <c r="F22" s="1321" t="s">
        <v>1113</v>
      </c>
      <c r="G22" s="1321" t="s">
        <v>1114</v>
      </c>
      <c r="H22" s="1314" t="s">
        <v>1115</v>
      </c>
      <c r="I22" s="1305" t="s">
        <v>1116</v>
      </c>
    </row>
    <row r="23" spans="1:9" ht="14.25" thickBot="1">
      <c r="A23" s="3648"/>
      <c r="B23" s="3649"/>
      <c r="C23" s="3650"/>
      <c r="D23" s="1322"/>
      <c r="E23" s="1322"/>
      <c r="F23" s="1322"/>
      <c r="G23" s="1323"/>
      <c r="H23" s="1324"/>
      <c r="I23" s="1325">
        <f>ROUND(E23*D23*F23*(1-G23)/10000,0)</f>
        <v>0</v>
      </c>
    </row>
    <row r="26" spans="1:9">
      <c r="A26" s="1326" t="s">
        <v>1117</v>
      </c>
      <c r="B26" s="1326"/>
      <c r="C26" s="1326"/>
      <c r="D26" s="1326"/>
      <c r="E26" s="3638">
        <f>C27-C30-C31-C32</f>
        <v>0</v>
      </c>
      <c r="F26" s="3638"/>
      <c r="G26" s="3638"/>
      <c r="H26" s="1740" t="s">
        <v>1340</v>
      </c>
    </row>
    <row r="27" spans="1:9">
      <c r="A27" s="1327">
        <v>1</v>
      </c>
      <c r="B27" s="1328" t="s">
        <v>1118</v>
      </c>
      <c r="C27" s="1328">
        <f>C28+C29</f>
        <v>0</v>
      </c>
      <c r="D27" s="1328"/>
      <c r="E27" s="3639"/>
      <c r="F27" s="3639"/>
      <c r="G27" s="3639"/>
    </row>
    <row r="28" spans="1:9">
      <c r="A28" s="1329" t="s">
        <v>1119</v>
      </c>
      <c r="B28" s="1328" t="s">
        <v>1120</v>
      </c>
      <c r="C28" s="1328"/>
      <c r="D28" s="1328"/>
      <c r="E28" s="3639"/>
      <c r="F28" s="3639"/>
      <c r="G28" s="363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40"/>
      <c r="F32" s="3640"/>
      <c r="G32" s="3640"/>
    </row>
    <row r="33" spans="1:7" hidden="1">
      <c r="A33" s="3635" t="s">
        <v>1129</v>
      </c>
      <c r="B33" s="3636"/>
      <c r="C33" s="3636"/>
      <c r="D33" s="3637"/>
      <c r="E33" s="3638"/>
      <c r="F33" s="3638"/>
      <c r="G33" s="3638"/>
    </row>
    <row r="34" spans="1:7" hidden="1">
      <c r="A34" s="1331">
        <v>1</v>
      </c>
      <c r="B34" s="1328" t="s">
        <v>1130</v>
      </c>
      <c r="C34" s="1328"/>
      <c r="D34" s="1328"/>
      <c r="E34" s="3639"/>
      <c r="F34" s="3639"/>
      <c r="G34" s="3639"/>
    </row>
    <row r="35" spans="1:7" hidden="1">
      <c r="A35" s="1331">
        <v>2</v>
      </c>
      <c r="B35" s="1328" t="s">
        <v>1131</v>
      </c>
      <c r="C35" s="1328"/>
      <c r="D35" s="1328"/>
      <c r="E35" s="3639"/>
      <c r="F35" s="3639"/>
      <c r="G35" s="3639"/>
    </row>
    <row r="36" spans="1:7" hidden="1">
      <c r="A36" s="1331">
        <v>3</v>
      </c>
      <c r="B36" s="1328" t="s">
        <v>1132</v>
      </c>
      <c r="C36" s="1328"/>
      <c r="D36" s="1328"/>
      <c r="E36" s="3639"/>
      <c r="F36" s="3639"/>
      <c r="G36" s="3639"/>
    </row>
    <row r="37" spans="1:7" hidden="1">
      <c r="A37" s="1331">
        <v>4</v>
      </c>
      <c r="B37" s="1328" t="s">
        <v>1133</v>
      </c>
      <c r="C37" s="1328"/>
      <c r="D37" s="1328"/>
      <c r="E37" s="3639"/>
      <c r="F37" s="3639"/>
      <c r="G37" s="3639"/>
    </row>
    <row r="38" spans="1:7" hidden="1">
      <c r="A38" s="3635" t="s">
        <v>1134</v>
      </c>
      <c r="B38" s="3636"/>
      <c r="C38" s="3636"/>
      <c r="D38" s="3637"/>
      <c r="E38" s="3638"/>
      <c r="F38" s="3638"/>
      <c r="G38" s="36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21855.969999999998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547" t="s">
        <v>2540</v>
      </c>
      <c r="D4" s="3560"/>
      <c r="E4" s="3561" t="s">
        <v>2541</v>
      </c>
      <c r="F4" s="3562"/>
      <c r="G4" s="3547" t="s">
        <v>2542</v>
      </c>
      <c r="H4" s="3560"/>
      <c r="I4" s="3547" t="s">
        <v>2543</v>
      </c>
      <c r="J4" s="3560"/>
      <c r="K4" s="2603" t="s">
        <v>2544</v>
      </c>
      <c r="L4" s="1133"/>
      <c r="M4" s="1134"/>
      <c r="N4" s="1134"/>
      <c r="O4" s="1134"/>
      <c r="P4" s="3563" t="s">
        <v>2545</v>
      </c>
      <c r="Q4" s="3564"/>
      <c r="R4" s="3569" t="s">
        <v>2541</v>
      </c>
      <c r="S4" s="3570"/>
      <c r="T4" s="3569" t="s">
        <v>2542</v>
      </c>
      <c r="U4" s="3570"/>
      <c r="V4" s="3556" t="s">
        <v>2543</v>
      </c>
      <c r="W4" s="3556"/>
      <c r="X4" s="1816"/>
      <c r="Y4" s="3569" t="s">
        <v>2545</v>
      </c>
      <c r="Z4" s="3570"/>
      <c r="AA4" s="3557" t="s">
        <v>2541</v>
      </c>
      <c r="AB4" s="3557" t="s">
        <v>2542</v>
      </c>
      <c r="AC4" s="3557" t="s">
        <v>2543</v>
      </c>
    </row>
    <row r="5" spans="1:29" ht="15">
      <c r="A5" s="404"/>
      <c r="B5" s="405"/>
      <c r="C5" s="3577" t="s">
        <v>2546</v>
      </c>
      <c r="D5" s="3578"/>
      <c r="E5" s="3584" t="s">
        <v>2547</v>
      </c>
      <c r="F5" s="3585"/>
      <c r="G5" s="3577" t="s">
        <v>2548</v>
      </c>
      <c r="H5" s="3578"/>
      <c r="I5" s="3577" t="s">
        <v>2549</v>
      </c>
      <c r="J5" s="3578"/>
      <c r="K5" s="2604"/>
      <c r="L5" s="1133"/>
      <c r="M5" s="1134"/>
      <c r="N5" s="1134"/>
      <c r="O5" s="1134"/>
      <c r="P5" s="3565"/>
      <c r="Q5" s="3566"/>
      <c r="R5" s="3571"/>
      <c r="S5" s="3572"/>
      <c r="T5" s="3571"/>
      <c r="U5" s="3572"/>
      <c r="V5" s="3556"/>
      <c r="W5" s="3556"/>
      <c r="X5" s="1816"/>
      <c r="Y5" s="3571"/>
      <c r="Z5" s="3572"/>
      <c r="AA5" s="3558"/>
      <c r="AB5" s="3558"/>
      <c r="AC5" s="3558"/>
    </row>
    <row r="6" spans="1:29" ht="15.75" thickBot="1">
      <c r="A6" s="406"/>
      <c r="B6" s="407"/>
      <c r="C6" s="3575" t="s">
        <v>2550</v>
      </c>
      <c r="D6" s="3576"/>
      <c r="E6" s="3582" t="s">
        <v>2550</v>
      </c>
      <c r="F6" s="3583"/>
      <c r="G6" s="3575" t="s">
        <v>2550</v>
      </c>
      <c r="H6" s="3576"/>
      <c r="I6" s="3575" t="s">
        <v>2550</v>
      </c>
      <c r="J6" s="3576"/>
      <c r="K6" s="2604" t="s">
        <v>2551</v>
      </c>
      <c r="L6" s="1133"/>
      <c r="M6" s="1134"/>
      <c r="N6" s="1134"/>
      <c r="O6" s="1134"/>
      <c r="P6" s="3567"/>
      <c r="Q6" s="3568"/>
      <c r="R6" s="3571"/>
      <c r="S6" s="3572"/>
      <c r="T6" s="3573"/>
      <c r="U6" s="3574"/>
      <c r="V6" s="3556"/>
      <c r="W6" s="3556"/>
      <c r="X6" s="1816"/>
      <c r="Y6" s="3573"/>
      <c r="Z6" s="3574"/>
      <c r="AA6" s="3559"/>
      <c r="AB6" s="3559"/>
      <c r="AC6" s="3559"/>
    </row>
    <row r="7" spans="1:29" s="117" customFormat="1" ht="15.75" thickBot="1">
      <c r="A7" s="408" t="s">
        <v>2552</v>
      </c>
      <c r="B7" s="409"/>
      <c r="C7" s="410">
        <f>'数据-取费表'!B2</f>
        <v>43373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579" t="s">
        <v>2553</v>
      </c>
      <c r="Q7" s="3581"/>
      <c r="R7" s="770" t="s">
        <v>23</v>
      </c>
      <c r="S7" s="771">
        <f t="shared" ref="S7:S15" si="0">F7</f>
        <v>0</v>
      </c>
      <c r="T7" s="770" t="s">
        <v>23</v>
      </c>
      <c r="U7" s="771">
        <f t="shared" ref="U7:U15" si="1">H7</f>
        <v>0</v>
      </c>
      <c r="V7" s="770" t="s">
        <v>23</v>
      </c>
      <c r="W7" s="771">
        <f t="shared" ref="W7:W15" si="2">J7</f>
        <v>0</v>
      </c>
      <c r="X7" s="772"/>
      <c r="Y7" s="3579" t="s">
        <v>2553</v>
      </c>
      <c r="Z7" s="3580"/>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579" t="s">
        <v>2556</v>
      </c>
      <c r="Q8" s="3580"/>
      <c r="R8" s="770" t="s">
        <v>23</v>
      </c>
      <c r="S8" s="771">
        <f t="shared" si="0"/>
        <v>0</v>
      </c>
      <c r="T8" s="770" t="s">
        <v>23</v>
      </c>
      <c r="U8" s="771">
        <f t="shared" si="1"/>
        <v>0</v>
      </c>
      <c r="V8" s="770" t="s">
        <v>23</v>
      </c>
      <c r="W8" s="771">
        <f t="shared" si="2"/>
        <v>0</v>
      </c>
      <c r="X8" s="772"/>
      <c r="Y8" s="3579" t="s">
        <v>2556</v>
      </c>
      <c r="Z8" s="3580"/>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549"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549"/>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549"/>
      <c r="Q11" s="1798" t="str">
        <f t="shared" si="6"/>
        <v>容积率</v>
      </c>
      <c r="R11" s="770" t="s">
        <v>21</v>
      </c>
      <c r="S11" s="771" t="e">
        <f t="shared" si="0"/>
        <v>#N/A</v>
      </c>
      <c r="T11" s="770" t="s">
        <v>21</v>
      </c>
      <c r="U11" s="771" t="e">
        <f t="shared" si="1"/>
        <v>#N/A</v>
      </c>
      <c r="V11" s="770" t="s">
        <v>21</v>
      </c>
      <c r="W11" s="771" t="e">
        <f t="shared" si="2"/>
        <v>#N/A</v>
      </c>
      <c r="X11" s="772"/>
      <c r="Y11" s="3398"/>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549"/>
      <c r="Q12" s="1798">
        <f t="shared" si="6"/>
        <v>111</v>
      </c>
      <c r="R12" s="770" t="s">
        <v>21</v>
      </c>
      <c r="S12" s="771">
        <f t="shared" si="0"/>
        <v>100</v>
      </c>
      <c r="T12" s="770" t="s">
        <v>21</v>
      </c>
      <c r="U12" s="771">
        <f t="shared" si="1"/>
        <v>100</v>
      </c>
      <c r="V12" s="770" t="s">
        <v>21</v>
      </c>
      <c r="W12" s="771">
        <f t="shared" si="2"/>
        <v>100</v>
      </c>
      <c r="X12" s="772"/>
      <c r="Y12" s="339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549"/>
      <c r="Q13" s="1798">
        <f t="shared" si="6"/>
        <v>111</v>
      </c>
      <c r="R13" s="770" t="s">
        <v>21</v>
      </c>
      <c r="S13" s="771">
        <f t="shared" si="0"/>
        <v>100</v>
      </c>
      <c r="T13" s="770" t="s">
        <v>21</v>
      </c>
      <c r="U13" s="771">
        <f t="shared" si="1"/>
        <v>100</v>
      </c>
      <c r="V13" s="770" t="s">
        <v>21</v>
      </c>
      <c r="W13" s="771">
        <f t="shared" si="2"/>
        <v>100</v>
      </c>
      <c r="X13" s="772"/>
      <c r="Y13" s="3398"/>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549"/>
      <c r="Q14" s="1798">
        <f t="shared" si="6"/>
        <v>111</v>
      </c>
      <c r="R14" s="770" t="s">
        <v>21</v>
      </c>
      <c r="S14" s="771">
        <f t="shared" si="0"/>
        <v>100</v>
      </c>
      <c r="T14" s="770" t="s">
        <v>21</v>
      </c>
      <c r="U14" s="771">
        <f t="shared" si="1"/>
        <v>100</v>
      </c>
      <c r="V14" s="770" t="s">
        <v>21</v>
      </c>
      <c r="W14" s="771">
        <f t="shared" si="2"/>
        <v>100</v>
      </c>
      <c r="X14" s="772"/>
      <c r="Y14" s="3398"/>
      <c r="Z14" s="55">
        <f t="shared" si="7"/>
        <v>111</v>
      </c>
      <c r="AA14" s="773">
        <f t="shared" si="3"/>
        <v>1</v>
      </c>
      <c r="AB14" s="773">
        <f t="shared" si="4"/>
        <v>1</v>
      </c>
      <c r="AC14" s="773">
        <f t="shared" si="5"/>
        <v>1</v>
      </c>
    </row>
    <row r="15" spans="1:29" ht="99.75">
      <c r="A15" s="440" t="s">
        <v>2563</v>
      </c>
      <c r="B15" s="69" t="s">
        <v>2090</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62" t="s">
        <v>2564</v>
      </c>
      <c r="Q15" s="1813" t="str">
        <f t="shared" si="6"/>
        <v>居住社区成熟度</v>
      </c>
      <c r="R15" s="774" t="s">
        <v>21</v>
      </c>
      <c r="S15" s="775">
        <f t="shared" si="0"/>
        <v>100</v>
      </c>
      <c r="T15" s="774" t="s">
        <v>21</v>
      </c>
      <c r="U15" s="775">
        <f t="shared" si="1"/>
        <v>100</v>
      </c>
      <c r="V15" s="774" t="s">
        <v>21</v>
      </c>
      <c r="W15" s="775">
        <f t="shared" si="2"/>
        <v>100</v>
      </c>
      <c r="X15" s="1816"/>
      <c r="Y15" s="3552"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663"/>
      <c r="Q16" s="1813"/>
      <c r="R16" s="774"/>
      <c r="S16" s="775"/>
      <c r="T16" s="774"/>
      <c r="U16" s="775"/>
      <c r="V16" s="774"/>
      <c r="W16" s="775"/>
      <c r="X16" s="1816"/>
      <c r="Y16" s="355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63"/>
      <c r="Q17" s="1813" t="str">
        <f>B17</f>
        <v>交通便捷度</v>
      </c>
      <c r="R17" s="774" t="s">
        <v>21</v>
      </c>
      <c r="S17" s="775">
        <f>F17</f>
        <v>100</v>
      </c>
      <c r="T17" s="774" t="s">
        <v>21</v>
      </c>
      <c r="U17" s="775">
        <f>H17</f>
        <v>100</v>
      </c>
      <c r="V17" s="774" t="s">
        <v>21</v>
      </c>
      <c r="W17" s="775">
        <f>J17</f>
        <v>100</v>
      </c>
      <c r="X17" s="1816"/>
      <c r="Y17" s="355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663"/>
      <c r="Q18" s="1813"/>
      <c r="R18" s="774"/>
      <c r="S18" s="775"/>
      <c r="T18" s="774"/>
      <c r="U18" s="775"/>
      <c r="V18" s="774"/>
      <c r="W18" s="775"/>
      <c r="X18" s="1816"/>
      <c r="Y18" s="3553"/>
      <c r="Z18" s="1817"/>
      <c r="AA18" s="1814">
        <v>1</v>
      </c>
      <c r="AB18" s="1814">
        <v>1</v>
      </c>
      <c r="AC18" s="1814">
        <v>1</v>
      </c>
    </row>
    <row r="19" spans="1:29" ht="42.75">
      <c r="A19" s="428"/>
      <c r="B19" s="451" t="s">
        <v>2100</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63"/>
      <c r="Q19" s="1813" t="str">
        <f>B19</f>
        <v>公共配套设施</v>
      </c>
      <c r="R19" s="774" t="s">
        <v>21</v>
      </c>
      <c r="S19" s="775">
        <f>F19</f>
        <v>100</v>
      </c>
      <c r="T19" s="774" t="s">
        <v>21</v>
      </c>
      <c r="U19" s="775">
        <f>H19</f>
        <v>100</v>
      </c>
      <c r="V19" s="774" t="s">
        <v>21</v>
      </c>
      <c r="W19" s="775">
        <f>J19</f>
        <v>100</v>
      </c>
      <c r="X19" s="1816"/>
      <c r="Y19" s="355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663"/>
      <c r="Q20" s="1813"/>
      <c r="R20" s="774"/>
      <c r="S20" s="775"/>
      <c r="T20" s="774"/>
      <c r="U20" s="775"/>
      <c r="V20" s="774"/>
      <c r="W20" s="775"/>
      <c r="X20" s="1816"/>
      <c r="Y20" s="3553"/>
      <c r="Z20" s="1817"/>
      <c r="AA20" s="1814">
        <v>1</v>
      </c>
      <c r="AB20" s="1814">
        <v>1</v>
      </c>
      <c r="AC20" s="1814">
        <v>1</v>
      </c>
    </row>
    <row r="21" spans="1:29" ht="28.5">
      <c r="A21" s="428"/>
      <c r="B21" s="1387" t="s">
        <v>2103</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63"/>
      <c r="Q21" s="1813" t="str">
        <f>B21</f>
        <v>基础设施水平</v>
      </c>
      <c r="R21" s="774" t="s">
        <v>17</v>
      </c>
      <c r="S21" s="775">
        <f>F21</f>
        <v>100</v>
      </c>
      <c r="T21" s="774" t="s">
        <v>17</v>
      </c>
      <c r="U21" s="775">
        <f>H21</f>
        <v>100</v>
      </c>
      <c r="V21" s="774" t="s">
        <v>17</v>
      </c>
      <c r="W21" s="775">
        <f>J21</f>
        <v>100</v>
      </c>
      <c r="X21" s="1816"/>
      <c r="Y21" s="355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663"/>
      <c r="Q22" s="1813"/>
      <c r="R22" s="774"/>
      <c r="S22" s="775"/>
      <c r="T22" s="774"/>
      <c r="U22" s="775"/>
      <c r="V22" s="774"/>
      <c r="W22" s="775"/>
      <c r="X22" s="1816"/>
      <c r="Y22" s="3553"/>
      <c r="Z22" s="1817"/>
      <c r="AA22" s="1814">
        <v>1</v>
      </c>
      <c r="AB22" s="1814">
        <v>1</v>
      </c>
      <c r="AC22" s="1814">
        <v>1</v>
      </c>
    </row>
    <row r="23" spans="1:29" ht="57">
      <c r="A23" s="428"/>
      <c r="B23" s="451" t="s">
        <v>2107</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63"/>
      <c r="Q23" s="1813" t="str">
        <f>B23</f>
        <v>自然及人文环境</v>
      </c>
      <c r="R23" s="774" t="s">
        <v>21</v>
      </c>
      <c r="S23" s="775">
        <f>F23</f>
        <v>100</v>
      </c>
      <c r="T23" s="774" t="s">
        <v>21</v>
      </c>
      <c r="U23" s="775">
        <f>H23</f>
        <v>100</v>
      </c>
      <c r="V23" s="774" t="s">
        <v>21</v>
      </c>
      <c r="W23" s="775">
        <f>J23</f>
        <v>100</v>
      </c>
      <c r="X23" s="1816"/>
      <c r="Y23" s="355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663"/>
      <c r="Q24" s="1813"/>
      <c r="R24" s="774"/>
      <c r="S24" s="775"/>
      <c r="T24" s="774"/>
      <c r="U24" s="775"/>
      <c r="V24" s="774"/>
      <c r="W24" s="775"/>
      <c r="X24" s="1816"/>
      <c r="Y24" s="3553"/>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66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553"/>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663"/>
      <c r="Q26" s="1813" t="str">
        <f t="shared" si="11"/>
        <v>朝向</v>
      </c>
      <c r="R26" s="774" t="s">
        <v>21</v>
      </c>
      <c r="S26" s="775">
        <f t="shared" si="12"/>
        <v>100</v>
      </c>
      <c r="T26" s="774" t="s">
        <v>21</v>
      </c>
      <c r="U26" s="775">
        <f t="shared" si="13"/>
        <v>100</v>
      </c>
      <c r="V26" s="774" t="s">
        <v>21</v>
      </c>
      <c r="W26" s="775">
        <f t="shared" si="14"/>
        <v>100</v>
      </c>
      <c r="X26" s="1816"/>
      <c r="Y26" s="355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663"/>
      <c r="Q27" s="1798">
        <f t="shared" si="11"/>
        <v>111</v>
      </c>
      <c r="R27" s="770" t="s">
        <v>21</v>
      </c>
      <c r="S27" s="771">
        <f t="shared" si="12"/>
        <v>100</v>
      </c>
      <c r="T27" s="770" t="s">
        <v>21</v>
      </c>
      <c r="U27" s="771">
        <f t="shared" si="13"/>
        <v>100</v>
      </c>
      <c r="V27" s="770" t="s">
        <v>21</v>
      </c>
      <c r="W27" s="771">
        <f t="shared" si="14"/>
        <v>100</v>
      </c>
      <c r="X27" s="772"/>
      <c r="Y27" s="355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663"/>
      <c r="Q28" s="1813">
        <f t="shared" si="11"/>
        <v>111</v>
      </c>
      <c r="R28" s="774" t="s">
        <v>21</v>
      </c>
      <c r="S28" s="775">
        <f t="shared" si="12"/>
        <v>100</v>
      </c>
      <c r="T28" s="774" t="s">
        <v>21</v>
      </c>
      <c r="U28" s="775">
        <f t="shared" si="13"/>
        <v>100</v>
      </c>
      <c r="V28" s="774" t="s">
        <v>21</v>
      </c>
      <c r="W28" s="775">
        <f t="shared" si="14"/>
        <v>100</v>
      </c>
      <c r="X28" s="1816"/>
      <c r="Y28" s="355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663"/>
      <c r="Q29" s="1813">
        <f t="shared" si="11"/>
        <v>111</v>
      </c>
      <c r="R29" s="774" t="s">
        <v>21</v>
      </c>
      <c r="S29" s="775">
        <f t="shared" si="12"/>
        <v>100</v>
      </c>
      <c r="T29" s="774" t="s">
        <v>21</v>
      </c>
      <c r="U29" s="775">
        <f t="shared" si="13"/>
        <v>100</v>
      </c>
      <c r="V29" s="774" t="s">
        <v>21</v>
      </c>
      <c r="W29" s="775">
        <f t="shared" si="14"/>
        <v>100</v>
      </c>
      <c r="X29" s="1816"/>
      <c r="Y29" s="355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663"/>
      <c r="Q30" s="1813">
        <f t="shared" si="11"/>
        <v>111</v>
      </c>
      <c r="R30" s="774" t="s">
        <v>21</v>
      </c>
      <c r="S30" s="775">
        <f t="shared" si="12"/>
        <v>100</v>
      </c>
      <c r="T30" s="774" t="s">
        <v>21</v>
      </c>
      <c r="U30" s="775">
        <f t="shared" si="13"/>
        <v>100</v>
      </c>
      <c r="V30" s="774" t="s">
        <v>21</v>
      </c>
      <c r="W30" s="775">
        <f t="shared" si="14"/>
        <v>100</v>
      </c>
      <c r="X30" s="1816"/>
      <c r="Y30" s="355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663"/>
      <c r="Q31" s="1813">
        <f t="shared" si="11"/>
        <v>111</v>
      </c>
      <c r="R31" s="774" t="s">
        <v>21</v>
      </c>
      <c r="S31" s="775">
        <f t="shared" si="12"/>
        <v>100</v>
      </c>
      <c r="T31" s="774" t="s">
        <v>21</v>
      </c>
      <c r="U31" s="775">
        <f t="shared" si="13"/>
        <v>100</v>
      </c>
      <c r="V31" s="774" t="s">
        <v>21</v>
      </c>
      <c r="W31" s="775">
        <f t="shared" si="14"/>
        <v>100</v>
      </c>
      <c r="X31" s="1816"/>
      <c r="Y31" s="3553"/>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658" t="s">
        <v>2569</v>
      </c>
      <c r="Q32" s="1813" t="str">
        <f t="shared" si="11"/>
        <v>建筑类型</v>
      </c>
      <c r="R32" s="774" t="s">
        <v>21</v>
      </c>
      <c r="S32" s="775">
        <f t="shared" si="12"/>
        <v>100</v>
      </c>
      <c r="T32" s="774" t="s">
        <v>21</v>
      </c>
      <c r="U32" s="775">
        <f t="shared" si="13"/>
        <v>100</v>
      </c>
      <c r="V32" s="774" t="s">
        <v>21</v>
      </c>
      <c r="W32" s="775">
        <f t="shared" si="14"/>
        <v>100</v>
      </c>
      <c r="X32" s="1816"/>
      <c r="Y32" s="3555"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659"/>
      <c r="Q33" s="776" t="str">
        <f t="shared" si="11"/>
        <v>项目建筑规模</v>
      </c>
      <c r="R33" s="777" t="s">
        <v>21</v>
      </c>
      <c r="S33" s="778" t="e">
        <f t="shared" si="12"/>
        <v>#N/A</v>
      </c>
      <c r="T33" s="777" t="s">
        <v>21</v>
      </c>
      <c r="U33" s="778" t="e">
        <f t="shared" si="13"/>
        <v>#N/A</v>
      </c>
      <c r="V33" s="777" t="s">
        <v>21</v>
      </c>
      <c r="W33" s="778" t="e">
        <f t="shared" si="14"/>
        <v>#N/A</v>
      </c>
      <c r="X33" s="779"/>
      <c r="Y33" s="3555"/>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659"/>
      <c r="Q34" s="1813" t="str">
        <f t="shared" si="11"/>
        <v>建筑结构</v>
      </c>
      <c r="R34" s="774" t="s">
        <v>21</v>
      </c>
      <c r="S34" s="775">
        <f t="shared" si="12"/>
        <v>100</v>
      </c>
      <c r="T34" s="774" t="s">
        <v>21</v>
      </c>
      <c r="U34" s="775">
        <f t="shared" si="13"/>
        <v>100</v>
      </c>
      <c r="V34" s="774" t="s">
        <v>21</v>
      </c>
      <c r="W34" s="775">
        <f t="shared" si="14"/>
        <v>100</v>
      </c>
      <c r="X34" s="1816"/>
      <c r="Y34" s="3555"/>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659"/>
      <c r="Q35" s="1813" t="str">
        <f t="shared" si="11"/>
        <v>建筑品质</v>
      </c>
      <c r="R35" s="774" t="s">
        <v>21</v>
      </c>
      <c r="S35" s="775">
        <f t="shared" si="12"/>
        <v>100</v>
      </c>
      <c r="T35" s="774" t="s">
        <v>21</v>
      </c>
      <c r="U35" s="775">
        <f t="shared" si="13"/>
        <v>100</v>
      </c>
      <c r="V35" s="774" t="s">
        <v>21</v>
      </c>
      <c r="W35" s="775">
        <f t="shared" si="14"/>
        <v>100</v>
      </c>
      <c r="X35" s="1816"/>
      <c r="Y35" s="3555"/>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659"/>
      <c r="Q36" s="1813" t="str">
        <f t="shared" si="11"/>
        <v>公共部分装修</v>
      </c>
      <c r="R36" s="774" t="s">
        <v>21</v>
      </c>
      <c r="S36" s="775">
        <f t="shared" si="12"/>
        <v>100</v>
      </c>
      <c r="T36" s="774" t="s">
        <v>21</v>
      </c>
      <c r="U36" s="775">
        <f t="shared" si="13"/>
        <v>100</v>
      </c>
      <c r="V36" s="774" t="s">
        <v>21</v>
      </c>
      <c r="W36" s="775">
        <f t="shared" si="14"/>
        <v>100</v>
      </c>
      <c r="X36" s="1816"/>
      <c r="Y36" s="3555"/>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59"/>
      <c r="Q37" s="1798" t="str">
        <f t="shared" si="11"/>
        <v>成新度</v>
      </c>
      <c r="R37" s="770" t="s">
        <v>21</v>
      </c>
      <c r="S37" s="771" t="e">
        <f t="shared" si="12"/>
        <v>#N/A</v>
      </c>
      <c r="T37" s="770" t="s">
        <v>21</v>
      </c>
      <c r="U37" s="771" t="e">
        <f t="shared" si="13"/>
        <v>#N/A</v>
      </c>
      <c r="V37" s="770" t="s">
        <v>21</v>
      </c>
      <c r="W37" s="771" t="e">
        <f t="shared" si="14"/>
        <v>#N/A</v>
      </c>
      <c r="X37" s="772"/>
      <c r="Y37" s="3555"/>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659" t="s">
        <v>2569</v>
      </c>
      <c r="Q38" s="1813" t="str">
        <f t="shared" si="11"/>
        <v>物业管理</v>
      </c>
      <c r="R38" s="774" t="s">
        <v>21</v>
      </c>
      <c r="S38" s="775">
        <f t="shared" si="12"/>
        <v>100</v>
      </c>
      <c r="T38" s="774" t="s">
        <v>21</v>
      </c>
      <c r="U38" s="775">
        <f t="shared" si="13"/>
        <v>100</v>
      </c>
      <c r="V38" s="774" t="s">
        <v>21</v>
      </c>
      <c r="W38" s="775">
        <f t="shared" si="14"/>
        <v>100</v>
      </c>
      <c r="X38" s="1816"/>
      <c r="Y38" s="3555"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659"/>
      <c r="Q39" s="1813" t="str">
        <f t="shared" si="11"/>
        <v>市政基础设施</v>
      </c>
      <c r="R39" s="774" t="s">
        <v>21</v>
      </c>
      <c r="S39" s="775">
        <f t="shared" si="12"/>
        <v>100</v>
      </c>
      <c r="T39" s="774" t="s">
        <v>21</v>
      </c>
      <c r="U39" s="775">
        <f t="shared" si="13"/>
        <v>100</v>
      </c>
      <c r="V39" s="774" t="s">
        <v>21</v>
      </c>
      <c r="W39" s="775">
        <f t="shared" si="14"/>
        <v>100</v>
      </c>
      <c r="X39" s="1816"/>
      <c r="Y39" s="3555"/>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659"/>
      <c r="Q40" s="1813" t="str">
        <f t="shared" si="11"/>
        <v>房型</v>
      </c>
      <c r="R40" s="774" t="s">
        <v>21</v>
      </c>
      <c r="S40" s="775">
        <f t="shared" si="12"/>
        <v>100</v>
      </c>
      <c r="T40" s="774" t="s">
        <v>21</v>
      </c>
      <c r="U40" s="775">
        <f t="shared" si="13"/>
        <v>100</v>
      </c>
      <c r="V40" s="774" t="s">
        <v>21</v>
      </c>
      <c r="W40" s="775">
        <f t="shared" si="14"/>
        <v>100</v>
      </c>
      <c r="X40" s="1816"/>
      <c r="Y40" s="3555"/>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659"/>
      <c r="Q41" s="776" t="str">
        <f t="shared" si="11"/>
        <v>单套/主力户型建筑面积</v>
      </c>
      <c r="R41" s="777" t="s">
        <v>21</v>
      </c>
      <c r="S41" s="778">
        <f t="shared" si="12"/>
        <v>100</v>
      </c>
      <c r="T41" s="777" t="s">
        <v>21</v>
      </c>
      <c r="U41" s="778">
        <f t="shared" si="13"/>
        <v>100</v>
      </c>
      <c r="V41" s="777" t="s">
        <v>21</v>
      </c>
      <c r="W41" s="778">
        <f t="shared" si="14"/>
        <v>100</v>
      </c>
      <c r="X41" s="779"/>
      <c r="Y41" s="3555"/>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659"/>
      <c r="Q42" s="1813" t="str">
        <f t="shared" si="11"/>
        <v>内部装修</v>
      </c>
      <c r="R42" s="774" t="s">
        <v>21</v>
      </c>
      <c r="S42" s="775">
        <f t="shared" si="12"/>
        <v>100</v>
      </c>
      <c r="T42" s="774" t="s">
        <v>21</v>
      </c>
      <c r="U42" s="775">
        <f t="shared" si="13"/>
        <v>100</v>
      </c>
      <c r="V42" s="774" t="s">
        <v>21</v>
      </c>
      <c r="W42" s="775">
        <f t="shared" si="14"/>
        <v>100</v>
      </c>
      <c r="X42" s="1816"/>
      <c r="Y42" s="3555"/>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659"/>
      <c r="Q43" s="1813" t="str">
        <f t="shared" si="11"/>
        <v>内部装修维护情况</v>
      </c>
      <c r="R43" s="774" t="s">
        <v>21</v>
      </c>
      <c r="S43" s="775">
        <f t="shared" si="12"/>
        <v>100</v>
      </c>
      <c r="T43" s="774" t="s">
        <v>21</v>
      </c>
      <c r="U43" s="775">
        <f t="shared" si="13"/>
        <v>100</v>
      </c>
      <c r="V43" s="774" t="s">
        <v>21</v>
      </c>
      <c r="W43" s="775">
        <f t="shared" si="14"/>
        <v>100</v>
      </c>
      <c r="X43" s="1816"/>
      <c r="Y43" s="355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659"/>
      <c r="Q44" s="1798">
        <f t="shared" si="11"/>
        <v>111</v>
      </c>
      <c r="R44" s="770" t="s">
        <v>21</v>
      </c>
      <c r="S44" s="771">
        <f t="shared" si="12"/>
        <v>100</v>
      </c>
      <c r="T44" s="770" t="s">
        <v>21</v>
      </c>
      <c r="U44" s="771">
        <f t="shared" si="13"/>
        <v>100</v>
      </c>
      <c r="V44" s="770" t="s">
        <v>21</v>
      </c>
      <c r="W44" s="771">
        <f t="shared" si="14"/>
        <v>100</v>
      </c>
      <c r="X44" s="772"/>
      <c r="Y44" s="355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659"/>
      <c r="Q45" s="1813">
        <f t="shared" si="11"/>
        <v>111</v>
      </c>
      <c r="R45" s="774" t="s">
        <v>21</v>
      </c>
      <c r="S45" s="775">
        <f t="shared" si="12"/>
        <v>100</v>
      </c>
      <c r="T45" s="774" t="s">
        <v>21</v>
      </c>
      <c r="U45" s="775">
        <f t="shared" si="13"/>
        <v>100</v>
      </c>
      <c r="V45" s="774" t="s">
        <v>21</v>
      </c>
      <c r="W45" s="775">
        <f t="shared" si="14"/>
        <v>100</v>
      </c>
      <c r="X45" s="1816"/>
      <c r="Y45" s="3555"/>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660"/>
      <c r="Q46" s="1813">
        <f t="shared" si="11"/>
        <v>111</v>
      </c>
      <c r="R46" s="774" t="s">
        <v>20</v>
      </c>
      <c r="S46" s="775">
        <f t="shared" si="12"/>
        <v>100</v>
      </c>
      <c r="T46" s="774" t="s">
        <v>20</v>
      </c>
      <c r="U46" s="775">
        <f t="shared" si="13"/>
        <v>100</v>
      </c>
      <c r="V46" s="774" t="s">
        <v>20</v>
      </c>
      <c r="W46" s="775">
        <f t="shared" si="14"/>
        <v>100</v>
      </c>
      <c r="X46" s="1816"/>
      <c r="Y46" s="3661"/>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550" t="str">
        <f>A47</f>
        <v>成交单价（元/平方米）</v>
      </c>
      <c r="Q47" s="3550"/>
      <c r="R47" s="3657">
        <f>E47</f>
        <v>0</v>
      </c>
      <c r="S47" s="3657"/>
      <c r="T47" s="3657">
        <f>G47</f>
        <v>0</v>
      </c>
      <c r="U47" s="3657"/>
      <c r="V47" s="3657">
        <f>I47</f>
        <v>0</v>
      </c>
      <c r="W47" s="3657"/>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550" t="str">
        <f>A48</f>
        <v>比较价值（元/平方米）</v>
      </c>
      <c r="Q48" s="3550"/>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544" t="str">
        <f>A49</f>
        <v>估价对象XX用房的比较价值（楼面单价，元/平方米）</v>
      </c>
      <c r="Q49" s="3545"/>
      <c r="R49" s="3656" t="e">
        <f>IF(F1="售价",ROUND(AVERAGE(R48:V48),0),ROUND(AVERAGE(R48:V48),1))</f>
        <v>#DIV/0!</v>
      </c>
      <c r="S49" s="3656"/>
      <c r="T49" s="3656"/>
      <c r="U49" s="3656"/>
      <c r="V49" s="3656"/>
      <c r="W49" s="36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2103</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估价对象为北京市出让国有建设用地使用权及在建建筑物房地产，为所有。根据《国有土地使用证》[]，估价对象（分摊）出让国有建设用地使用权面积为4098.78平方米，建筑面积为21855.97平方米。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4098.78平方米，规划建筑面积为21855.97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2018年9月30日（评估专业人员实地查勘之日）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2334</v>
      </c>
      <c r="B2" s="1421" t="e">
        <f ca="1">IF(C2="——",ROUND(C49*D3/10000,0),ROUND(C49*D3/10000,0)-D2)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2336</v>
      </c>
      <c r="B3" s="609" t="e">
        <f ca="1">IF(C2="——",C49,ROUND(B2*10000/D3,0))</f>
        <v>#DIV/0!</v>
      </c>
      <c r="C3" s="400" t="s">
        <v>2648</v>
      </c>
      <c r="D3" s="399">
        <f>IF(D1="",'数据-汇总表'!E3,SUMIF('数据-汇总表'!$C19:$C33,D1,'数据-汇总表'!$E19:$E33))</f>
        <v>21855.969999999998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6" t="s">
        <v>2652</v>
      </c>
      <c r="AC4" s="3557" t="s">
        <v>2653</v>
      </c>
    </row>
    <row r="5" spans="1:29" ht="15">
      <c r="A5" s="404"/>
      <c r="B5" s="405"/>
      <c r="C5" s="3577" t="s">
        <v>2546</v>
      </c>
      <c r="D5" s="3578"/>
      <c r="E5" s="3584" t="s">
        <v>2547</v>
      </c>
      <c r="F5" s="3585"/>
      <c r="G5" s="3577" t="s">
        <v>2548</v>
      </c>
      <c r="H5" s="3578"/>
      <c r="I5" s="3577" t="s">
        <v>2549</v>
      </c>
      <c r="J5" s="3578"/>
      <c r="K5" s="610"/>
      <c r="L5" s="1133"/>
      <c r="M5" s="1134"/>
      <c r="N5" s="1134"/>
      <c r="O5" s="1134"/>
      <c r="P5" s="3565"/>
      <c r="Q5" s="3566"/>
      <c r="R5" s="3571"/>
      <c r="S5" s="3572"/>
      <c r="T5" s="3571"/>
      <c r="U5" s="3572"/>
      <c r="V5" s="3556"/>
      <c r="W5" s="3556"/>
      <c r="X5" s="1816"/>
      <c r="Y5" s="3571"/>
      <c r="Z5" s="3572"/>
      <c r="AA5" s="3558"/>
      <c r="AB5" s="3556"/>
      <c r="AC5" s="3558"/>
    </row>
    <row r="6" spans="1:29" ht="15.75" thickBot="1">
      <c r="A6" s="406"/>
      <c r="B6" s="407"/>
      <c r="C6" s="3575" t="s">
        <v>2550</v>
      </c>
      <c r="D6" s="3576"/>
      <c r="E6" s="3582" t="s">
        <v>2550</v>
      </c>
      <c r="F6" s="3583"/>
      <c r="G6" s="3575" t="s">
        <v>2550</v>
      </c>
      <c r="H6" s="3576"/>
      <c r="I6" s="3575" t="s">
        <v>2550</v>
      </c>
      <c r="J6" s="3576"/>
      <c r="K6" s="610" t="s">
        <v>2551</v>
      </c>
      <c r="L6" s="1133"/>
      <c r="M6" s="1134"/>
      <c r="N6" s="1134"/>
      <c r="O6" s="1134"/>
      <c r="P6" s="3567"/>
      <c r="Q6" s="3568"/>
      <c r="R6" s="3571"/>
      <c r="S6" s="3572"/>
      <c r="T6" s="3573"/>
      <c r="U6" s="3574"/>
      <c r="V6" s="3556"/>
      <c r="W6" s="3556"/>
      <c r="X6" s="1816"/>
      <c r="Y6" s="3573"/>
      <c r="Z6" s="3574"/>
      <c r="AA6" s="3559"/>
      <c r="AB6" s="3556"/>
      <c r="AC6" s="3559"/>
    </row>
    <row r="7" spans="1:29" s="117" customFormat="1" ht="15.75" thickBot="1">
      <c r="A7" s="408" t="s">
        <v>2552</v>
      </c>
      <c r="B7" s="409"/>
      <c r="C7" s="410">
        <f>'数据-取费表'!B2</f>
        <v>43373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79" t="s">
        <v>2553</v>
      </c>
      <c r="Q7" s="3581"/>
      <c r="R7" s="770" t="s">
        <v>17</v>
      </c>
      <c r="S7" s="771">
        <f t="shared" ref="S7:S15" si="0">F7</f>
        <v>0</v>
      </c>
      <c r="T7" s="770" t="s">
        <v>17</v>
      </c>
      <c r="U7" s="771">
        <f t="shared" ref="U7:U15" si="1">H7</f>
        <v>0</v>
      </c>
      <c r="V7" s="770" t="s">
        <v>17</v>
      </c>
      <c r="W7" s="771">
        <f t="shared" ref="W7:W15" si="2">J7</f>
        <v>0</v>
      </c>
      <c r="X7" s="772"/>
      <c r="Y7" s="3579" t="s">
        <v>2553</v>
      </c>
      <c r="Z7" s="3580"/>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79" t="s">
        <v>2556</v>
      </c>
      <c r="Q8" s="3580"/>
      <c r="R8" s="770" t="s">
        <v>17</v>
      </c>
      <c r="S8" s="771">
        <f t="shared" si="0"/>
        <v>0</v>
      </c>
      <c r="T8" s="770" t="s">
        <v>17</v>
      </c>
      <c r="U8" s="771">
        <f t="shared" si="1"/>
        <v>0</v>
      </c>
      <c r="V8" s="770" t="s">
        <v>17</v>
      </c>
      <c r="W8" s="771">
        <f t="shared" si="2"/>
        <v>0</v>
      </c>
      <c r="X8" s="772"/>
      <c r="Y8" s="3579" t="s">
        <v>2556</v>
      </c>
      <c r="Z8" s="3580"/>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549"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549"/>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549"/>
      <c r="Q11" s="1798" t="str">
        <f t="shared" si="6"/>
        <v>容积率</v>
      </c>
      <c r="R11" s="770" t="s">
        <v>17</v>
      </c>
      <c r="S11" s="771" t="e">
        <f t="shared" si="0"/>
        <v>#N/A</v>
      </c>
      <c r="T11" s="770" t="s">
        <v>17</v>
      </c>
      <c r="U11" s="771" t="e">
        <f t="shared" si="1"/>
        <v>#N/A</v>
      </c>
      <c r="V11" s="770" t="s">
        <v>17</v>
      </c>
      <c r="W11" s="771" t="e">
        <f t="shared" si="2"/>
        <v>#N/A</v>
      </c>
      <c r="X11" s="772"/>
      <c r="Y11" s="339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549"/>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549"/>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549"/>
      <c r="Q14" s="1798">
        <f t="shared" si="6"/>
        <v>111</v>
      </c>
      <c r="R14" s="770" t="s">
        <v>17</v>
      </c>
      <c r="S14" s="771">
        <f t="shared" si="0"/>
        <v>100</v>
      </c>
      <c r="T14" s="770" t="s">
        <v>17</v>
      </c>
      <c r="U14" s="771">
        <f t="shared" si="1"/>
        <v>100</v>
      </c>
      <c r="V14" s="770" t="s">
        <v>17</v>
      </c>
      <c r="W14" s="771">
        <f t="shared" si="2"/>
        <v>100</v>
      </c>
      <c r="X14" s="772"/>
      <c r="Y14" s="3398"/>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62" t="s">
        <v>2564</v>
      </c>
      <c r="Q15" s="1813" t="str">
        <f t="shared" si="6"/>
        <v>商业繁华度</v>
      </c>
      <c r="R15" s="774" t="s">
        <v>17</v>
      </c>
      <c r="S15" s="775">
        <f t="shared" si="0"/>
        <v>100</v>
      </c>
      <c r="T15" s="774" t="s">
        <v>17</v>
      </c>
      <c r="U15" s="775">
        <f t="shared" si="1"/>
        <v>100</v>
      </c>
      <c r="V15" s="774" t="s">
        <v>17</v>
      </c>
      <c r="W15" s="775">
        <f t="shared" si="2"/>
        <v>100</v>
      </c>
      <c r="X15" s="1816"/>
      <c r="Y15" s="3552"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663"/>
      <c r="Q16" s="1813"/>
      <c r="R16" s="774"/>
      <c r="S16" s="775"/>
      <c r="T16" s="774"/>
      <c r="U16" s="775"/>
      <c r="V16" s="774"/>
      <c r="W16" s="775"/>
      <c r="X16" s="1816"/>
      <c r="Y16" s="3553"/>
      <c r="Z16" s="1817"/>
      <c r="AA16" s="1814">
        <v>1</v>
      </c>
      <c r="AB16" s="1814">
        <v>1</v>
      </c>
      <c r="AC16" s="1814">
        <v>1</v>
      </c>
    </row>
    <row r="17" spans="1:29" ht="85.5">
      <c r="A17" s="428"/>
      <c r="B17" s="451" t="s">
        <v>2102</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63"/>
      <c r="Q17" s="1813" t="str">
        <f>B17</f>
        <v>交通便捷度</v>
      </c>
      <c r="R17" s="774" t="s">
        <v>17</v>
      </c>
      <c r="S17" s="775">
        <f>F17</f>
        <v>100</v>
      </c>
      <c r="T17" s="774" t="s">
        <v>17</v>
      </c>
      <c r="U17" s="775">
        <f>H17</f>
        <v>100</v>
      </c>
      <c r="V17" s="774" t="s">
        <v>17</v>
      </c>
      <c r="W17" s="775">
        <f>J17</f>
        <v>100</v>
      </c>
      <c r="X17" s="1816"/>
      <c r="Y17" s="355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663"/>
      <c r="Q18" s="1813"/>
      <c r="R18" s="774"/>
      <c r="S18" s="775"/>
      <c r="T18" s="774"/>
      <c r="U18" s="775"/>
      <c r="V18" s="774"/>
      <c r="W18" s="775"/>
      <c r="X18" s="1816"/>
      <c r="Y18" s="3553"/>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63"/>
      <c r="Q19" s="1813" t="str">
        <f>B19</f>
        <v>公共配套设施</v>
      </c>
      <c r="R19" s="774" t="s">
        <v>17</v>
      </c>
      <c r="S19" s="775">
        <f>F19</f>
        <v>100</v>
      </c>
      <c r="T19" s="774" t="s">
        <v>17</v>
      </c>
      <c r="U19" s="775">
        <f>H19</f>
        <v>100</v>
      </c>
      <c r="V19" s="774" t="s">
        <v>17</v>
      </c>
      <c r="W19" s="775">
        <f>J19</f>
        <v>100</v>
      </c>
      <c r="X19" s="1816"/>
      <c r="Y19" s="355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663"/>
      <c r="Q20" s="1813"/>
      <c r="R20" s="774"/>
      <c r="S20" s="775"/>
      <c r="T20" s="774"/>
      <c r="U20" s="775"/>
      <c r="V20" s="774"/>
      <c r="W20" s="775"/>
      <c r="X20" s="1816"/>
      <c r="Y20" s="3553"/>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63"/>
      <c r="Q21" s="1813" t="str">
        <f>B21</f>
        <v>基础设施水平</v>
      </c>
      <c r="R21" s="774" t="s">
        <v>17</v>
      </c>
      <c r="S21" s="775">
        <f>F21</f>
        <v>100</v>
      </c>
      <c r="T21" s="774" t="s">
        <v>17</v>
      </c>
      <c r="U21" s="775">
        <f>H21</f>
        <v>100</v>
      </c>
      <c r="V21" s="774" t="s">
        <v>17</v>
      </c>
      <c r="W21" s="775">
        <f>J21</f>
        <v>100</v>
      </c>
      <c r="X21" s="1816"/>
      <c r="Y21" s="355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663"/>
      <c r="Q22" s="1813"/>
      <c r="R22" s="774"/>
      <c r="S22" s="775"/>
      <c r="T22" s="774"/>
      <c r="U22" s="775"/>
      <c r="V22" s="774"/>
      <c r="W22" s="775"/>
      <c r="X22" s="1816"/>
      <c r="Y22" s="3553"/>
      <c r="Z22" s="1817"/>
      <c r="AA22" s="1814">
        <v>1</v>
      </c>
      <c r="AB22" s="1814">
        <v>1</v>
      </c>
      <c r="AC22" s="1814">
        <v>1</v>
      </c>
    </row>
    <row r="23" spans="1:29" ht="57">
      <c r="A23" s="428"/>
      <c r="B23" s="451" t="s">
        <v>2107</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63"/>
      <c r="Q23" s="1813" t="str">
        <f>B23</f>
        <v>自然及人文环境</v>
      </c>
      <c r="R23" s="774" t="s">
        <v>17</v>
      </c>
      <c r="S23" s="775">
        <f>F23</f>
        <v>100</v>
      </c>
      <c r="T23" s="774" t="s">
        <v>17</v>
      </c>
      <c r="U23" s="775">
        <f>H23</f>
        <v>100</v>
      </c>
      <c r="V23" s="774" t="s">
        <v>17</v>
      </c>
      <c r="W23" s="775">
        <f>J23</f>
        <v>100</v>
      </c>
      <c r="X23" s="1816"/>
      <c r="Y23" s="355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663"/>
      <c r="Q24" s="1813"/>
      <c r="R24" s="774"/>
      <c r="S24" s="775"/>
      <c r="T24" s="774"/>
      <c r="U24" s="775"/>
      <c r="V24" s="774"/>
      <c r="W24" s="775"/>
      <c r="X24" s="1816"/>
      <c r="Y24" s="3553"/>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63"/>
      <c r="Q25" s="1813" t="str">
        <f t="shared" ref="Q25:Q46" si="11">B25</f>
        <v>临街状况</v>
      </c>
      <c r="R25" s="774" t="s">
        <v>17</v>
      </c>
      <c r="S25" s="775">
        <f>F25</f>
        <v>100</v>
      </c>
      <c r="T25" s="774" t="s">
        <v>17</v>
      </c>
      <c r="U25" s="775">
        <f>H25</f>
        <v>100</v>
      </c>
      <c r="V25" s="774" t="s">
        <v>17</v>
      </c>
      <c r="W25" s="775">
        <f>J25</f>
        <v>100</v>
      </c>
      <c r="X25" s="1816"/>
      <c r="Y25" s="3553"/>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63"/>
      <c r="Q26" s="1813" t="str">
        <f t="shared" si="11"/>
        <v>平面位置/可视性</v>
      </c>
      <c r="R26" s="774" t="s">
        <v>17</v>
      </c>
      <c r="S26" s="775">
        <f>F26</f>
        <v>100</v>
      </c>
      <c r="T26" s="774" t="s">
        <v>17</v>
      </c>
      <c r="U26" s="775">
        <f>H26</f>
        <v>100</v>
      </c>
      <c r="V26" s="774" t="s">
        <v>17</v>
      </c>
      <c r="W26" s="775">
        <f>J26</f>
        <v>100</v>
      </c>
      <c r="X26" s="1816"/>
      <c r="Y26" s="3553"/>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663"/>
      <c r="Q27" s="1798" t="str">
        <f t="shared" si="11"/>
        <v>人流量</v>
      </c>
      <c r="R27" s="770" t="s">
        <v>17</v>
      </c>
      <c r="S27" s="771">
        <f>F27</f>
        <v>100</v>
      </c>
      <c r="T27" s="770" t="s">
        <v>17</v>
      </c>
      <c r="U27" s="771">
        <f>H27</f>
        <v>100</v>
      </c>
      <c r="V27" s="770" t="s">
        <v>17</v>
      </c>
      <c r="W27" s="771">
        <f>J27</f>
        <v>100</v>
      </c>
      <c r="X27" s="772"/>
      <c r="Y27" s="3553"/>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6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55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63"/>
      <c r="Q29" s="1813">
        <f t="shared" si="11"/>
        <v>111</v>
      </c>
      <c r="R29" s="774" t="s">
        <v>17</v>
      </c>
      <c r="S29" s="775">
        <f t="shared" si="12"/>
        <v>100</v>
      </c>
      <c r="T29" s="774" t="s">
        <v>17</v>
      </c>
      <c r="U29" s="775">
        <f t="shared" si="13"/>
        <v>100</v>
      </c>
      <c r="V29" s="774" t="s">
        <v>17</v>
      </c>
      <c r="W29" s="775">
        <f t="shared" si="14"/>
        <v>100</v>
      </c>
      <c r="X29" s="1816"/>
      <c r="Y29" s="355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63"/>
      <c r="Q30" s="1813">
        <f t="shared" si="11"/>
        <v>111</v>
      </c>
      <c r="R30" s="774" t="s">
        <v>17</v>
      </c>
      <c r="S30" s="775">
        <f t="shared" si="12"/>
        <v>100</v>
      </c>
      <c r="T30" s="774" t="s">
        <v>17</v>
      </c>
      <c r="U30" s="775">
        <f t="shared" si="13"/>
        <v>100</v>
      </c>
      <c r="V30" s="774" t="s">
        <v>17</v>
      </c>
      <c r="W30" s="775">
        <f t="shared" si="14"/>
        <v>100</v>
      </c>
      <c r="X30" s="1816"/>
      <c r="Y30" s="355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63"/>
      <c r="Q31" s="1813">
        <f t="shared" si="11"/>
        <v>111</v>
      </c>
      <c r="R31" s="774" t="s">
        <v>17</v>
      </c>
      <c r="S31" s="775">
        <f t="shared" si="12"/>
        <v>100</v>
      </c>
      <c r="T31" s="774" t="s">
        <v>17</v>
      </c>
      <c r="U31" s="775">
        <f t="shared" si="13"/>
        <v>100</v>
      </c>
      <c r="V31" s="774" t="s">
        <v>17</v>
      </c>
      <c r="W31" s="775">
        <f t="shared" si="14"/>
        <v>100</v>
      </c>
      <c r="X31" s="1816"/>
      <c r="Y31" s="3553"/>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658" t="s">
        <v>2569</v>
      </c>
      <c r="Q32" s="1813" t="str">
        <f t="shared" si="11"/>
        <v>商业类型</v>
      </c>
      <c r="R32" s="774" t="s">
        <v>17</v>
      </c>
      <c r="S32" s="775">
        <f t="shared" si="12"/>
        <v>100</v>
      </c>
      <c r="T32" s="774" t="s">
        <v>17</v>
      </c>
      <c r="U32" s="775">
        <f t="shared" si="13"/>
        <v>100</v>
      </c>
      <c r="V32" s="774" t="s">
        <v>17</v>
      </c>
      <c r="W32" s="775">
        <f t="shared" si="14"/>
        <v>100</v>
      </c>
      <c r="X32" s="1816"/>
      <c r="Y32" s="3555"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59"/>
      <c r="Q33" s="776" t="str">
        <f t="shared" si="11"/>
        <v>项目建筑规模</v>
      </c>
      <c r="R33" s="777" t="s">
        <v>17</v>
      </c>
      <c r="S33" s="778" t="e">
        <f t="shared" si="12"/>
        <v>#N/A</v>
      </c>
      <c r="T33" s="777" t="s">
        <v>17</v>
      </c>
      <c r="U33" s="778" t="e">
        <f t="shared" si="13"/>
        <v>#N/A</v>
      </c>
      <c r="V33" s="777" t="s">
        <v>17</v>
      </c>
      <c r="W33" s="778" t="e">
        <f t="shared" si="14"/>
        <v>#N/A</v>
      </c>
      <c r="X33" s="779"/>
      <c r="Y33" s="3555"/>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659"/>
      <c r="Q34" s="1813" t="str">
        <f t="shared" si="11"/>
        <v>建筑结构</v>
      </c>
      <c r="R34" s="774" t="s">
        <v>17</v>
      </c>
      <c r="S34" s="775">
        <f t="shared" si="12"/>
        <v>100</v>
      </c>
      <c r="T34" s="774" t="s">
        <v>17</v>
      </c>
      <c r="U34" s="775">
        <f t="shared" si="13"/>
        <v>100</v>
      </c>
      <c r="V34" s="774" t="s">
        <v>17</v>
      </c>
      <c r="W34" s="775">
        <f t="shared" si="14"/>
        <v>100</v>
      </c>
      <c r="X34" s="1816"/>
      <c r="Y34" s="3555"/>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659"/>
      <c r="Q35" s="1813" t="str">
        <f t="shared" si="11"/>
        <v>公共部分装修</v>
      </c>
      <c r="R35" s="774" t="s">
        <v>17</v>
      </c>
      <c r="S35" s="775">
        <f t="shared" si="12"/>
        <v>100</v>
      </c>
      <c r="T35" s="774" t="s">
        <v>17</v>
      </c>
      <c r="U35" s="775">
        <f t="shared" si="13"/>
        <v>100</v>
      </c>
      <c r="V35" s="774" t="s">
        <v>17</v>
      </c>
      <c r="W35" s="775">
        <f t="shared" si="14"/>
        <v>100</v>
      </c>
      <c r="X35" s="1816"/>
      <c r="Y35" s="3555"/>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59"/>
      <c r="Q36" s="1813" t="str">
        <f t="shared" si="11"/>
        <v>成新度</v>
      </c>
      <c r="R36" s="774" t="s">
        <v>17</v>
      </c>
      <c r="S36" s="775" t="e">
        <f t="shared" si="12"/>
        <v>#N/A</v>
      </c>
      <c r="T36" s="774" t="s">
        <v>17</v>
      </c>
      <c r="U36" s="775" t="e">
        <f t="shared" si="13"/>
        <v>#N/A</v>
      </c>
      <c r="V36" s="774" t="s">
        <v>17</v>
      </c>
      <c r="W36" s="775" t="e">
        <f t="shared" si="14"/>
        <v>#N/A</v>
      </c>
      <c r="X36" s="1816"/>
      <c r="Y36" s="3555"/>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659"/>
      <c r="Q37" s="1798" t="str">
        <f t="shared" si="11"/>
        <v>市政基础设施</v>
      </c>
      <c r="R37" s="770" t="s">
        <v>17</v>
      </c>
      <c r="S37" s="771">
        <f t="shared" si="12"/>
        <v>100</v>
      </c>
      <c r="T37" s="770" t="s">
        <v>17</v>
      </c>
      <c r="U37" s="771">
        <f t="shared" si="13"/>
        <v>100</v>
      </c>
      <c r="V37" s="770" t="s">
        <v>17</v>
      </c>
      <c r="W37" s="771">
        <f t="shared" si="14"/>
        <v>100</v>
      </c>
      <c r="X37" s="772"/>
      <c r="Y37" s="3555"/>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659" t="s">
        <v>2569</v>
      </c>
      <c r="Q38" s="1813" t="str">
        <f t="shared" si="11"/>
        <v>业态</v>
      </c>
      <c r="R38" s="774" t="s">
        <v>17</v>
      </c>
      <c r="S38" s="775">
        <f t="shared" si="12"/>
        <v>100</v>
      </c>
      <c r="T38" s="774" t="s">
        <v>17</v>
      </c>
      <c r="U38" s="775">
        <f t="shared" si="13"/>
        <v>100</v>
      </c>
      <c r="V38" s="774" t="s">
        <v>17</v>
      </c>
      <c r="W38" s="775">
        <f t="shared" si="14"/>
        <v>100</v>
      </c>
      <c r="X38" s="1816"/>
      <c r="Y38" s="3555"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659"/>
      <c r="Q39" s="1813" t="str">
        <f t="shared" si="11"/>
        <v>层高</v>
      </c>
      <c r="R39" s="774" t="s">
        <v>17</v>
      </c>
      <c r="S39" s="775">
        <f t="shared" si="12"/>
        <v>100</v>
      </c>
      <c r="T39" s="774" t="s">
        <v>17</v>
      </c>
      <c r="U39" s="775">
        <f t="shared" si="13"/>
        <v>100</v>
      </c>
      <c r="V39" s="774" t="s">
        <v>17</v>
      </c>
      <c r="W39" s="775">
        <f t="shared" si="14"/>
        <v>100</v>
      </c>
      <c r="X39" s="1816"/>
      <c r="Y39" s="3555"/>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59"/>
      <c r="Q40" s="1813" t="str">
        <f t="shared" si="11"/>
        <v>单套建筑面积</v>
      </c>
      <c r="R40" s="774" t="s">
        <v>17</v>
      </c>
      <c r="S40" s="775">
        <f t="shared" si="12"/>
        <v>100</v>
      </c>
      <c r="T40" s="774" t="s">
        <v>17</v>
      </c>
      <c r="U40" s="775">
        <f t="shared" si="13"/>
        <v>100</v>
      </c>
      <c r="V40" s="774" t="s">
        <v>17</v>
      </c>
      <c r="W40" s="775">
        <f t="shared" si="14"/>
        <v>100</v>
      </c>
      <c r="X40" s="1816"/>
      <c r="Y40" s="3555"/>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59"/>
      <c r="Q41" s="776" t="str">
        <f t="shared" si="11"/>
        <v>进深比</v>
      </c>
      <c r="R41" s="777" t="s">
        <v>17</v>
      </c>
      <c r="S41" s="778">
        <f t="shared" si="12"/>
        <v>100</v>
      </c>
      <c r="T41" s="777" t="s">
        <v>17</v>
      </c>
      <c r="U41" s="778">
        <f t="shared" si="13"/>
        <v>100</v>
      </c>
      <c r="V41" s="777" t="s">
        <v>17</v>
      </c>
      <c r="W41" s="778">
        <f t="shared" si="14"/>
        <v>100</v>
      </c>
      <c r="X41" s="779"/>
      <c r="Y41" s="3555"/>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659"/>
      <c r="Q42" s="1813" t="str">
        <f t="shared" si="11"/>
        <v>内部装修</v>
      </c>
      <c r="R42" s="774" t="s">
        <v>17</v>
      </c>
      <c r="S42" s="775">
        <f t="shared" si="12"/>
        <v>100</v>
      </c>
      <c r="T42" s="774" t="s">
        <v>17</v>
      </c>
      <c r="U42" s="775">
        <f t="shared" si="13"/>
        <v>100</v>
      </c>
      <c r="V42" s="774" t="s">
        <v>17</v>
      </c>
      <c r="W42" s="775">
        <f t="shared" si="14"/>
        <v>100</v>
      </c>
      <c r="X42" s="1816"/>
      <c r="Y42" s="3555"/>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659"/>
      <c r="Q43" s="1813" t="str">
        <f t="shared" si="11"/>
        <v>内部装修维护情况</v>
      </c>
      <c r="R43" s="774" t="s">
        <v>17</v>
      </c>
      <c r="S43" s="775">
        <f t="shared" si="12"/>
        <v>100</v>
      </c>
      <c r="T43" s="774" t="s">
        <v>17</v>
      </c>
      <c r="U43" s="775">
        <f t="shared" si="13"/>
        <v>100</v>
      </c>
      <c r="V43" s="774" t="s">
        <v>17</v>
      </c>
      <c r="W43" s="775">
        <f t="shared" si="14"/>
        <v>100</v>
      </c>
      <c r="X43" s="1816"/>
      <c r="Y43" s="355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59"/>
      <c r="Q44" s="1798">
        <f t="shared" si="11"/>
        <v>111</v>
      </c>
      <c r="R44" s="770" t="s">
        <v>17</v>
      </c>
      <c r="S44" s="771">
        <f t="shared" si="12"/>
        <v>100</v>
      </c>
      <c r="T44" s="770" t="s">
        <v>17</v>
      </c>
      <c r="U44" s="771">
        <f t="shared" si="13"/>
        <v>100</v>
      </c>
      <c r="V44" s="770" t="s">
        <v>17</v>
      </c>
      <c r="W44" s="771">
        <f t="shared" si="14"/>
        <v>100</v>
      </c>
      <c r="X44" s="772"/>
      <c r="Y44" s="355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59"/>
      <c r="Q45" s="1813">
        <f t="shared" si="11"/>
        <v>111</v>
      </c>
      <c r="R45" s="774" t="s">
        <v>17</v>
      </c>
      <c r="S45" s="775">
        <f t="shared" si="12"/>
        <v>100</v>
      </c>
      <c r="T45" s="774" t="s">
        <v>17</v>
      </c>
      <c r="U45" s="775">
        <f t="shared" si="13"/>
        <v>100</v>
      </c>
      <c r="V45" s="774" t="s">
        <v>17</v>
      </c>
      <c r="W45" s="775">
        <f t="shared" si="14"/>
        <v>100</v>
      </c>
      <c r="X45" s="1816"/>
      <c r="Y45" s="3555"/>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60"/>
      <c r="Q46" s="1813">
        <f t="shared" si="11"/>
        <v>111</v>
      </c>
      <c r="R46" s="774" t="s">
        <v>17</v>
      </c>
      <c r="S46" s="775">
        <f t="shared" si="12"/>
        <v>100</v>
      </c>
      <c r="T46" s="774" t="s">
        <v>17</v>
      </c>
      <c r="U46" s="775">
        <f t="shared" si="13"/>
        <v>100</v>
      </c>
      <c r="V46" s="774" t="s">
        <v>17</v>
      </c>
      <c r="W46" s="775">
        <f t="shared" si="14"/>
        <v>100</v>
      </c>
      <c r="X46" s="1816"/>
      <c r="Y46" s="3661"/>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550" t="str">
        <f>A47</f>
        <v>成交单价（元/平方米）</v>
      </c>
      <c r="Q47" s="3550"/>
      <c r="R47" s="3556">
        <f>E47</f>
        <v>0</v>
      </c>
      <c r="S47" s="3556"/>
      <c r="T47" s="3556">
        <f>G47</f>
        <v>0</v>
      </c>
      <c r="U47" s="3556"/>
      <c r="V47" s="3556">
        <f>I47</f>
        <v>0</v>
      </c>
      <c r="W47" s="3556"/>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550" t="str">
        <f>A48</f>
        <v>比较价值（元/平方米）</v>
      </c>
      <c r="Q48" s="3550"/>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544" t="str">
        <f>A49</f>
        <v>估价对象XX用房的比较价值（楼面单价，元/平方米）</v>
      </c>
      <c r="Q49" s="3545"/>
      <c r="R49" s="3656" t="e">
        <f>IF(F1="售价",ROUND(AVERAGE(R48:V48),0),ROUND(AVERAGE(R48:V48),1))</f>
        <v>#DIV/0!</v>
      </c>
      <c r="S49" s="3656"/>
      <c r="T49" s="3656"/>
      <c r="U49" s="3656"/>
      <c r="V49" s="3656"/>
      <c r="W49" s="36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IF(C2="——",ROUND(C50*D3/10000,0),ROUND(C50*D3/10000,0)-D2)</f>
        <v>#DIV/0!</v>
      </c>
      <c r="C2" s="2593"/>
      <c r="D2" s="1368"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2648</v>
      </c>
      <c r="D3" s="399">
        <f>IF(D1="",'数据-汇总表'!E3,SUMIF('数据-汇总表'!$C19:$C33,D1,'数据-汇总表'!$E19:$E33))</f>
        <v>21855.969999999998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670" t="s">
        <v>2655</v>
      </c>
      <c r="Q4" s="3671"/>
      <c r="R4" s="3674" t="s">
        <v>2651</v>
      </c>
      <c r="S4" s="3675"/>
      <c r="T4" s="3674" t="s">
        <v>2652</v>
      </c>
      <c r="U4" s="3675"/>
      <c r="V4" s="3676" t="s">
        <v>2653</v>
      </c>
      <c r="W4" s="3676"/>
      <c r="X4" s="2677"/>
      <c r="Y4" s="3674" t="s">
        <v>2655</v>
      </c>
      <c r="Z4" s="3675"/>
      <c r="AA4" s="3678" t="s">
        <v>2651</v>
      </c>
      <c r="AB4" s="3678" t="s">
        <v>2652</v>
      </c>
      <c r="AC4" s="3667" t="s">
        <v>2653</v>
      </c>
    </row>
    <row r="5" spans="1:29" ht="15">
      <c r="A5" s="404"/>
      <c r="B5" s="405"/>
      <c r="C5" s="3577" t="s">
        <v>2546</v>
      </c>
      <c r="D5" s="3578"/>
      <c r="E5" s="3584" t="s">
        <v>2547</v>
      </c>
      <c r="F5" s="3585"/>
      <c r="G5" s="3577" t="s">
        <v>2548</v>
      </c>
      <c r="H5" s="3578"/>
      <c r="I5" s="3577" t="s">
        <v>2549</v>
      </c>
      <c r="J5" s="3578"/>
      <c r="K5" s="610"/>
      <c r="L5" s="1133"/>
      <c r="M5" s="1134"/>
      <c r="N5" s="1134"/>
      <c r="O5" s="1134"/>
      <c r="P5" s="3672"/>
      <c r="Q5" s="3566"/>
      <c r="R5" s="3571"/>
      <c r="S5" s="3572"/>
      <c r="T5" s="3571"/>
      <c r="U5" s="3572"/>
      <c r="V5" s="3556"/>
      <c r="W5" s="3556"/>
      <c r="X5" s="1816"/>
      <c r="Y5" s="3571"/>
      <c r="Z5" s="3572"/>
      <c r="AA5" s="3558"/>
      <c r="AB5" s="3558"/>
      <c r="AC5" s="3668"/>
    </row>
    <row r="6" spans="1:29" ht="15.75" thickBot="1">
      <c r="A6" s="406"/>
      <c r="B6" s="407"/>
      <c r="C6" s="3575" t="s">
        <v>2550</v>
      </c>
      <c r="D6" s="3576"/>
      <c r="E6" s="3582" t="s">
        <v>2550</v>
      </c>
      <c r="F6" s="3583"/>
      <c r="G6" s="3575" t="s">
        <v>2550</v>
      </c>
      <c r="H6" s="3576"/>
      <c r="I6" s="3575" t="s">
        <v>2550</v>
      </c>
      <c r="J6" s="3576"/>
      <c r="K6" s="610" t="s">
        <v>2551</v>
      </c>
      <c r="L6" s="1133"/>
      <c r="M6" s="1134"/>
      <c r="N6" s="1134"/>
      <c r="O6" s="1134"/>
      <c r="P6" s="3673"/>
      <c r="Q6" s="3568"/>
      <c r="R6" s="3571"/>
      <c r="S6" s="3572"/>
      <c r="T6" s="3573"/>
      <c r="U6" s="3574"/>
      <c r="V6" s="3556"/>
      <c r="W6" s="3556"/>
      <c r="X6" s="1816"/>
      <c r="Y6" s="3573"/>
      <c r="Z6" s="3574"/>
      <c r="AA6" s="3559"/>
      <c r="AB6" s="3559"/>
      <c r="AC6" s="3669"/>
    </row>
    <row r="7" spans="1:29" s="117" customFormat="1" ht="15.75" thickBot="1">
      <c r="A7" s="408" t="s">
        <v>2552</v>
      </c>
      <c r="B7" s="409"/>
      <c r="C7" s="410">
        <f>'数据-取费表'!B2</f>
        <v>43373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77" t="s">
        <v>2553</v>
      </c>
      <c r="Q7" s="3581"/>
      <c r="R7" s="770" t="s">
        <v>17</v>
      </c>
      <c r="S7" s="771">
        <f t="shared" ref="S7:S15" si="0">F7</f>
        <v>0</v>
      </c>
      <c r="T7" s="770" t="s">
        <v>17</v>
      </c>
      <c r="U7" s="771">
        <f t="shared" ref="U7:U15" si="1">H7</f>
        <v>0</v>
      </c>
      <c r="V7" s="770" t="s">
        <v>17</v>
      </c>
      <c r="W7" s="771">
        <f t="shared" ref="W7:W15" si="2">J7</f>
        <v>0</v>
      </c>
      <c r="X7" s="772"/>
      <c r="Y7" s="3579" t="s">
        <v>2553</v>
      </c>
      <c r="Z7" s="3580"/>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77" t="s">
        <v>2556</v>
      </c>
      <c r="Q8" s="3580"/>
      <c r="R8" s="770" t="s">
        <v>17</v>
      </c>
      <c r="S8" s="771">
        <f t="shared" si="0"/>
        <v>0</v>
      </c>
      <c r="T8" s="770" t="s">
        <v>17</v>
      </c>
      <c r="U8" s="771">
        <f t="shared" si="1"/>
        <v>0</v>
      </c>
      <c r="V8" s="770" t="s">
        <v>17</v>
      </c>
      <c r="W8" s="771">
        <f t="shared" si="2"/>
        <v>0</v>
      </c>
      <c r="X8" s="772"/>
      <c r="Y8" s="3579" t="s">
        <v>2556</v>
      </c>
      <c r="Z8" s="3580"/>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549"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549"/>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549"/>
      <c r="Q11" s="1798" t="str">
        <f t="shared" si="6"/>
        <v>容积率</v>
      </c>
      <c r="R11" s="770" t="s">
        <v>17</v>
      </c>
      <c r="S11" s="771" t="e">
        <f t="shared" si="0"/>
        <v>#N/A</v>
      </c>
      <c r="T11" s="770" t="s">
        <v>17</v>
      </c>
      <c r="U11" s="771" t="e">
        <f t="shared" si="1"/>
        <v>#N/A</v>
      </c>
      <c r="V11" s="770" t="s">
        <v>17</v>
      </c>
      <c r="W11" s="771" t="e">
        <f t="shared" si="2"/>
        <v>#N/A</v>
      </c>
      <c r="X11" s="772"/>
      <c r="Y11" s="3398"/>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549"/>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549"/>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549"/>
      <c r="Q14" s="1798">
        <f t="shared" si="6"/>
        <v>111</v>
      </c>
      <c r="R14" s="770" t="s">
        <v>17</v>
      </c>
      <c r="S14" s="771">
        <f t="shared" si="0"/>
        <v>100</v>
      </c>
      <c r="T14" s="770" t="s">
        <v>17</v>
      </c>
      <c r="U14" s="771">
        <f t="shared" si="1"/>
        <v>100</v>
      </c>
      <c r="V14" s="770" t="s">
        <v>17</v>
      </c>
      <c r="W14" s="771">
        <f t="shared" si="2"/>
        <v>100</v>
      </c>
      <c r="X14" s="772"/>
      <c r="Y14" s="3398"/>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62" t="s">
        <v>2564</v>
      </c>
      <c r="Q15" s="1813" t="str">
        <f t="shared" si="6"/>
        <v>办公集聚程度</v>
      </c>
      <c r="R15" s="774" t="s">
        <v>17</v>
      </c>
      <c r="S15" s="775">
        <f t="shared" si="0"/>
        <v>100</v>
      </c>
      <c r="T15" s="774" t="s">
        <v>17</v>
      </c>
      <c r="U15" s="775">
        <f t="shared" si="1"/>
        <v>100</v>
      </c>
      <c r="V15" s="774" t="s">
        <v>17</v>
      </c>
      <c r="W15" s="775">
        <f t="shared" si="2"/>
        <v>100</v>
      </c>
      <c r="X15" s="1816"/>
      <c r="Y15" s="3552"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663"/>
      <c r="Q16" s="1813"/>
      <c r="R16" s="774"/>
      <c r="S16" s="775"/>
      <c r="T16" s="774"/>
      <c r="U16" s="775"/>
      <c r="V16" s="774"/>
      <c r="W16" s="775"/>
      <c r="X16" s="1816"/>
      <c r="Y16" s="3553"/>
      <c r="Z16" s="1817"/>
      <c r="AA16" s="1814">
        <v>1</v>
      </c>
      <c r="AB16" s="1814">
        <v>1</v>
      </c>
      <c r="AC16" s="2681">
        <v>1</v>
      </c>
    </row>
    <row r="17" spans="1:29" ht="71.25">
      <c r="A17" s="428"/>
      <c r="B17" s="631" t="s">
        <v>2102</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63"/>
      <c r="Q17" s="1813" t="str">
        <f>B17</f>
        <v>交通便捷度</v>
      </c>
      <c r="R17" s="774" t="s">
        <v>17</v>
      </c>
      <c r="S17" s="775">
        <f>F17</f>
        <v>100</v>
      </c>
      <c r="T17" s="774" t="s">
        <v>17</v>
      </c>
      <c r="U17" s="775">
        <f>H17</f>
        <v>100</v>
      </c>
      <c r="V17" s="774" t="s">
        <v>17</v>
      </c>
      <c r="W17" s="775">
        <f>J17</f>
        <v>100</v>
      </c>
      <c r="X17" s="1816"/>
      <c r="Y17" s="355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663"/>
      <c r="Q18" s="1813"/>
      <c r="R18" s="774"/>
      <c r="S18" s="775"/>
      <c r="T18" s="774"/>
      <c r="U18" s="775"/>
      <c r="V18" s="774"/>
      <c r="W18" s="775"/>
      <c r="X18" s="1816"/>
      <c r="Y18" s="3553"/>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63"/>
      <c r="Q19" s="1813" t="str">
        <f>B19</f>
        <v>公共配套设施</v>
      </c>
      <c r="R19" s="774" t="s">
        <v>17</v>
      </c>
      <c r="S19" s="775">
        <f>F19</f>
        <v>100</v>
      </c>
      <c r="T19" s="774" t="s">
        <v>17</v>
      </c>
      <c r="U19" s="775">
        <f>H19</f>
        <v>100</v>
      </c>
      <c r="V19" s="774" t="s">
        <v>17</v>
      </c>
      <c r="W19" s="775">
        <f>J19</f>
        <v>100</v>
      </c>
      <c r="X19" s="1816"/>
      <c r="Y19" s="355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663"/>
      <c r="Q20" s="1813"/>
      <c r="R20" s="774"/>
      <c r="S20" s="775"/>
      <c r="T20" s="774"/>
      <c r="U20" s="775"/>
      <c r="V20" s="774"/>
      <c r="W20" s="775"/>
      <c r="X20" s="1816"/>
      <c r="Y20" s="3553"/>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63"/>
      <c r="Q21" s="1813" t="str">
        <f>B21</f>
        <v>基础设施水平</v>
      </c>
      <c r="R21" s="774" t="s">
        <v>17</v>
      </c>
      <c r="S21" s="775">
        <f>F21</f>
        <v>100</v>
      </c>
      <c r="T21" s="774" t="s">
        <v>17</v>
      </c>
      <c r="U21" s="775">
        <f>H21</f>
        <v>100</v>
      </c>
      <c r="V21" s="774" t="s">
        <v>17</v>
      </c>
      <c r="W21" s="775">
        <f>J21</f>
        <v>100</v>
      </c>
      <c r="X21" s="1816"/>
      <c r="Y21" s="355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663"/>
      <c r="Q22" s="1813"/>
      <c r="R22" s="774"/>
      <c r="S22" s="775"/>
      <c r="T22" s="774"/>
      <c r="U22" s="775"/>
      <c r="V22" s="774"/>
      <c r="W22" s="775"/>
      <c r="X22" s="1816"/>
      <c r="Y22" s="3553"/>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63"/>
      <c r="Q23" s="1813" t="str">
        <f>B23</f>
        <v>环境质量</v>
      </c>
      <c r="R23" s="774" t="s">
        <v>17</v>
      </c>
      <c r="S23" s="775">
        <f>F23</f>
        <v>100</v>
      </c>
      <c r="T23" s="774" t="s">
        <v>17</v>
      </c>
      <c r="U23" s="775">
        <f>H23</f>
        <v>100</v>
      </c>
      <c r="V23" s="774" t="s">
        <v>17</v>
      </c>
      <c r="W23" s="775">
        <f>J23</f>
        <v>100</v>
      </c>
      <c r="X23" s="1816"/>
      <c r="Y23" s="355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663"/>
      <c r="Q24" s="1813"/>
      <c r="R24" s="774"/>
      <c r="S24" s="775"/>
      <c r="T24" s="774"/>
      <c r="U24" s="775"/>
      <c r="V24" s="774"/>
      <c r="W24" s="775"/>
      <c r="X24" s="1816"/>
      <c r="Y24" s="3553"/>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663"/>
      <c r="Q25" s="1813" t="str">
        <f>B25</f>
        <v>毗邻道路的类型与等级</v>
      </c>
      <c r="R25" s="774" t="s">
        <v>17</v>
      </c>
      <c r="S25" s="775">
        <f>F25</f>
        <v>100</v>
      </c>
      <c r="T25" s="774" t="s">
        <v>17</v>
      </c>
      <c r="U25" s="775">
        <f>H25</f>
        <v>100</v>
      </c>
      <c r="V25" s="774" t="s">
        <v>17</v>
      </c>
      <c r="W25" s="775">
        <f>J25</f>
        <v>100</v>
      </c>
      <c r="X25" s="1816"/>
      <c r="Y25" s="355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663"/>
      <c r="Q26" s="1813"/>
      <c r="R26" s="774"/>
      <c r="S26" s="775"/>
      <c r="T26" s="774"/>
      <c r="U26" s="775"/>
      <c r="V26" s="774"/>
      <c r="W26" s="775"/>
      <c r="X26" s="1816"/>
      <c r="Y26" s="3553"/>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63"/>
      <c r="Q27" s="1813" t="str">
        <f t="shared" ref="Q27:Q47" si="11">B27</f>
        <v>楼层</v>
      </c>
      <c r="R27" s="774" t="s">
        <v>17</v>
      </c>
      <c r="S27" s="775">
        <f>F27</f>
        <v>100</v>
      </c>
      <c r="T27" s="774" t="s">
        <v>17</v>
      </c>
      <c r="U27" s="775">
        <f>H27</f>
        <v>100</v>
      </c>
      <c r="V27" s="774" t="s">
        <v>17</v>
      </c>
      <c r="W27" s="775">
        <f>J27</f>
        <v>100</v>
      </c>
      <c r="X27" s="1816"/>
      <c r="Y27" s="3553"/>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663"/>
      <c r="Q28" s="1798" t="str">
        <f t="shared" si="11"/>
        <v>朝向</v>
      </c>
      <c r="R28" s="770" t="s">
        <v>17</v>
      </c>
      <c r="S28" s="771">
        <f>F28</f>
        <v>100</v>
      </c>
      <c r="T28" s="770" t="s">
        <v>17</v>
      </c>
      <c r="U28" s="771">
        <f>H28</f>
        <v>100</v>
      </c>
      <c r="V28" s="770" t="s">
        <v>17</v>
      </c>
      <c r="W28" s="771">
        <f>J28</f>
        <v>100</v>
      </c>
      <c r="X28" s="772"/>
      <c r="Y28" s="355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663"/>
      <c r="Q29" s="1813">
        <f t="shared" si="11"/>
        <v>111</v>
      </c>
      <c r="R29" s="774" t="s">
        <v>17</v>
      </c>
      <c r="S29" s="775">
        <f t="shared" ref="S29:S47" si="12">F29</f>
        <v>100</v>
      </c>
      <c r="T29" s="774" t="s">
        <v>17</v>
      </c>
      <c r="U29" s="775">
        <f t="shared" ref="U29:U47" si="13">H29</f>
        <v>100</v>
      </c>
      <c r="V29" s="774" t="s">
        <v>17</v>
      </c>
      <c r="W29" s="775">
        <f t="shared" ref="W29:W47" si="14">J29</f>
        <v>100</v>
      </c>
      <c r="X29" s="1816"/>
      <c r="Y29" s="355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663"/>
      <c r="Q30" s="1813">
        <f t="shared" si="11"/>
        <v>111</v>
      </c>
      <c r="R30" s="774" t="s">
        <v>17</v>
      </c>
      <c r="S30" s="775">
        <f t="shared" si="12"/>
        <v>100</v>
      </c>
      <c r="T30" s="774" t="s">
        <v>17</v>
      </c>
      <c r="U30" s="775">
        <f t="shared" si="13"/>
        <v>100</v>
      </c>
      <c r="V30" s="774" t="s">
        <v>17</v>
      </c>
      <c r="W30" s="775">
        <f t="shared" si="14"/>
        <v>100</v>
      </c>
      <c r="X30" s="1816"/>
      <c r="Y30" s="355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663"/>
      <c r="Q31" s="1813">
        <f t="shared" si="11"/>
        <v>111</v>
      </c>
      <c r="R31" s="774" t="s">
        <v>17</v>
      </c>
      <c r="S31" s="775">
        <f t="shared" si="12"/>
        <v>100</v>
      </c>
      <c r="T31" s="774" t="s">
        <v>17</v>
      </c>
      <c r="U31" s="775">
        <f t="shared" si="13"/>
        <v>100</v>
      </c>
      <c r="V31" s="774" t="s">
        <v>17</v>
      </c>
      <c r="W31" s="775">
        <f t="shared" si="14"/>
        <v>100</v>
      </c>
      <c r="X31" s="1816"/>
      <c r="Y31" s="355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663"/>
      <c r="Q32" s="1813">
        <f t="shared" si="11"/>
        <v>111</v>
      </c>
      <c r="R32" s="774" t="s">
        <v>17</v>
      </c>
      <c r="S32" s="775">
        <f t="shared" si="12"/>
        <v>100</v>
      </c>
      <c r="T32" s="774" t="s">
        <v>17</v>
      </c>
      <c r="U32" s="775">
        <f t="shared" si="13"/>
        <v>100</v>
      </c>
      <c r="V32" s="774" t="s">
        <v>17</v>
      </c>
      <c r="W32" s="775">
        <f t="shared" si="14"/>
        <v>100</v>
      </c>
      <c r="X32" s="1816"/>
      <c r="Y32" s="3553"/>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658" t="s">
        <v>2569</v>
      </c>
      <c r="Q33" s="1813" t="str">
        <f t="shared" si="11"/>
        <v>建筑类型</v>
      </c>
      <c r="R33" s="774" t="s">
        <v>17</v>
      </c>
      <c r="S33" s="775">
        <f t="shared" si="12"/>
        <v>100</v>
      </c>
      <c r="T33" s="774" t="s">
        <v>17</v>
      </c>
      <c r="U33" s="775">
        <f t="shared" si="13"/>
        <v>100</v>
      </c>
      <c r="V33" s="774" t="s">
        <v>17</v>
      </c>
      <c r="W33" s="775">
        <f t="shared" si="14"/>
        <v>100</v>
      </c>
      <c r="X33" s="1816"/>
      <c r="Y33" s="3555"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59"/>
      <c r="Q34" s="776" t="str">
        <f t="shared" si="11"/>
        <v>项目建筑规模</v>
      </c>
      <c r="R34" s="777" t="s">
        <v>17</v>
      </c>
      <c r="S34" s="778" t="e">
        <f t="shared" si="12"/>
        <v>#N/A</v>
      </c>
      <c r="T34" s="777" t="s">
        <v>17</v>
      </c>
      <c r="U34" s="778" t="e">
        <f t="shared" si="13"/>
        <v>#N/A</v>
      </c>
      <c r="V34" s="777" t="s">
        <v>17</v>
      </c>
      <c r="W34" s="778" t="e">
        <f t="shared" si="14"/>
        <v>#N/A</v>
      </c>
      <c r="X34" s="779"/>
      <c r="Y34" s="3555"/>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59"/>
      <c r="Q35" s="1813" t="str">
        <f t="shared" si="11"/>
        <v>建筑结构</v>
      </c>
      <c r="R35" s="774" t="s">
        <v>17</v>
      </c>
      <c r="S35" s="775">
        <f t="shared" si="12"/>
        <v>100</v>
      </c>
      <c r="T35" s="774" t="s">
        <v>17</v>
      </c>
      <c r="U35" s="775">
        <f t="shared" si="13"/>
        <v>100</v>
      </c>
      <c r="V35" s="774" t="s">
        <v>17</v>
      </c>
      <c r="W35" s="775">
        <f t="shared" si="14"/>
        <v>100</v>
      </c>
      <c r="X35" s="1816"/>
      <c r="Y35" s="3555"/>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59"/>
      <c r="Q36" s="1813" t="str">
        <f t="shared" si="11"/>
        <v>公共部分装修</v>
      </c>
      <c r="R36" s="774" t="s">
        <v>17</v>
      </c>
      <c r="S36" s="775">
        <f t="shared" si="12"/>
        <v>100</v>
      </c>
      <c r="T36" s="774" t="s">
        <v>17</v>
      </c>
      <c r="U36" s="775">
        <f t="shared" si="13"/>
        <v>100</v>
      </c>
      <c r="V36" s="774" t="s">
        <v>17</v>
      </c>
      <c r="W36" s="775">
        <f t="shared" si="14"/>
        <v>100</v>
      </c>
      <c r="X36" s="1816"/>
      <c r="Y36" s="3555"/>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59"/>
      <c r="Q37" s="1813" t="str">
        <f t="shared" si="11"/>
        <v>成新度</v>
      </c>
      <c r="R37" s="774" t="s">
        <v>17</v>
      </c>
      <c r="S37" s="775" t="e">
        <f t="shared" si="12"/>
        <v>#N/A</v>
      </c>
      <c r="T37" s="774" t="s">
        <v>17</v>
      </c>
      <c r="U37" s="775" t="e">
        <f t="shared" si="13"/>
        <v>#N/A</v>
      </c>
      <c r="V37" s="774" t="s">
        <v>17</v>
      </c>
      <c r="W37" s="775" t="e">
        <f t="shared" si="14"/>
        <v>#N/A</v>
      </c>
      <c r="X37" s="1816"/>
      <c r="Y37" s="3555"/>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59"/>
      <c r="Q38" s="1798" t="str">
        <f t="shared" si="11"/>
        <v>写字楼等级</v>
      </c>
      <c r="R38" s="770" t="s">
        <v>17</v>
      </c>
      <c r="S38" s="771">
        <f t="shared" si="12"/>
        <v>100</v>
      </c>
      <c r="T38" s="770" t="s">
        <v>17</v>
      </c>
      <c r="U38" s="771">
        <f t="shared" si="13"/>
        <v>100</v>
      </c>
      <c r="V38" s="770" t="s">
        <v>17</v>
      </c>
      <c r="W38" s="771">
        <f t="shared" si="14"/>
        <v>100</v>
      </c>
      <c r="X38" s="772"/>
      <c r="Y38" s="3555"/>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59" t="s">
        <v>2569</v>
      </c>
      <c r="Q39" s="1813" t="str">
        <f t="shared" si="11"/>
        <v>物业管理</v>
      </c>
      <c r="R39" s="774" t="s">
        <v>17</v>
      </c>
      <c r="S39" s="775">
        <f t="shared" si="12"/>
        <v>100</v>
      </c>
      <c r="T39" s="774" t="s">
        <v>17</v>
      </c>
      <c r="U39" s="775">
        <f t="shared" si="13"/>
        <v>100</v>
      </c>
      <c r="V39" s="774" t="s">
        <v>17</v>
      </c>
      <c r="W39" s="775">
        <f t="shared" si="14"/>
        <v>100</v>
      </c>
      <c r="X39" s="1816"/>
      <c r="Y39" s="3555"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59"/>
      <c r="Q40" s="1813" t="str">
        <f t="shared" si="11"/>
        <v>市政基础设施</v>
      </c>
      <c r="R40" s="774" t="s">
        <v>17</v>
      </c>
      <c r="S40" s="775">
        <f t="shared" si="12"/>
        <v>100</v>
      </c>
      <c r="T40" s="774" t="s">
        <v>17</v>
      </c>
      <c r="U40" s="775">
        <f t="shared" si="13"/>
        <v>100</v>
      </c>
      <c r="V40" s="774" t="s">
        <v>17</v>
      </c>
      <c r="W40" s="775">
        <f t="shared" si="14"/>
        <v>100</v>
      </c>
      <c r="X40" s="1816"/>
      <c r="Y40" s="3555"/>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59"/>
      <c r="Q41" s="1813" t="str">
        <f t="shared" si="11"/>
        <v>层高</v>
      </c>
      <c r="R41" s="774" t="s">
        <v>17</v>
      </c>
      <c r="S41" s="775">
        <f t="shared" si="12"/>
        <v>100</v>
      </c>
      <c r="T41" s="774" t="s">
        <v>17</v>
      </c>
      <c r="U41" s="775">
        <f t="shared" si="13"/>
        <v>100</v>
      </c>
      <c r="V41" s="774" t="s">
        <v>17</v>
      </c>
      <c r="W41" s="775">
        <f t="shared" si="14"/>
        <v>100</v>
      </c>
      <c r="X41" s="1816"/>
      <c r="Y41" s="3555"/>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59"/>
      <c r="Q42" s="776" t="str">
        <f t="shared" si="11"/>
        <v>单套建筑面积</v>
      </c>
      <c r="R42" s="777" t="s">
        <v>17</v>
      </c>
      <c r="S42" s="778">
        <f t="shared" si="12"/>
        <v>100</v>
      </c>
      <c r="T42" s="777" t="s">
        <v>17</v>
      </c>
      <c r="U42" s="778">
        <f t="shared" si="13"/>
        <v>100</v>
      </c>
      <c r="V42" s="777" t="s">
        <v>17</v>
      </c>
      <c r="W42" s="778">
        <f t="shared" si="14"/>
        <v>100</v>
      </c>
      <c r="X42" s="779"/>
      <c r="Y42" s="3555"/>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59"/>
      <c r="Q43" s="1813" t="str">
        <f t="shared" si="11"/>
        <v>内部装修</v>
      </c>
      <c r="R43" s="774" t="s">
        <v>17</v>
      </c>
      <c r="S43" s="775">
        <f t="shared" si="12"/>
        <v>100</v>
      </c>
      <c r="T43" s="774" t="s">
        <v>17</v>
      </c>
      <c r="U43" s="775">
        <f t="shared" si="13"/>
        <v>100</v>
      </c>
      <c r="V43" s="774" t="s">
        <v>17</v>
      </c>
      <c r="W43" s="775">
        <f t="shared" si="14"/>
        <v>100</v>
      </c>
      <c r="X43" s="1816"/>
      <c r="Y43" s="3555"/>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659"/>
      <c r="Q44" s="1813" t="str">
        <f t="shared" si="11"/>
        <v>内部装修维护情况</v>
      </c>
      <c r="R44" s="774" t="s">
        <v>17</v>
      </c>
      <c r="S44" s="775">
        <f t="shared" si="12"/>
        <v>100</v>
      </c>
      <c r="T44" s="774" t="s">
        <v>17</v>
      </c>
      <c r="U44" s="775">
        <f t="shared" si="13"/>
        <v>100</v>
      </c>
      <c r="V44" s="774" t="s">
        <v>17</v>
      </c>
      <c r="W44" s="775">
        <f t="shared" si="14"/>
        <v>100</v>
      </c>
      <c r="X44" s="1816"/>
      <c r="Y44" s="3555"/>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59"/>
      <c r="Q45" s="1798">
        <f t="shared" si="11"/>
        <v>111</v>
      </c>
      <c r="R45" s="770" t="s">
        <v>17</v>
      </c>
      <c r="S45" s="771">
        <f t="shared" si="12"/>
        <v>100</v>
      </c>
      <c r="T45" s="770" t="s">
        <v>17</v>
      </c>
      <c r="U45" s="771">
        <f t="shared" si="13"/>
        <v>100</v>
      </c>
      <c r="V45" s="770" t="s">
        <v>17</v>
      </c>
      <c r="W45" s="771">
        <f t="shared" si="14"/>
        <v>100</v>
      </c>
      <c r="X45" s="772"/>
      <c r="Y45" s="3555"/>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59"/>
      <c r="Q46" s="1813">
        <f t="shared" si="11"/>
        <v>111</v>
      </c>
      <c r="R46" s="774" t="s">
        <v>17</v>
      </c>
      <c r="S46" s="775">
        <f t="shared" si="12"/>
        <v>100</v>
      </c>
      <c r="T46" s="774" t="s">
        <v>17</v>
      </c>
      <c r="U46" s="775">
        <f t="shared" si="13"/>
        <v>100</v>
      </c>
      <c r="V46" s="774" t="s">
        <v>17</v>
      </c>
      <c r="W46" s="775">
        <f t="shared" si="14"/>
        <v>100</v>
      </c>
      <c r="X46" s="1816"/>
      <c r="Y46" s="3555"/>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60"/>
      <c r="Q47" s="1813">
        <f t="shared" si="11"/>
        <v>111</v>
      </c>
      <c r="R47" s="774" t="s">
        <v>17</v>
      </c>
      <c r="S47" s="775">
        <f t="shared" si="12"/>
        <v>100</v>
      </c>
      <c r="T47" s="774" t="s">
        <v>17</v>
      </c>
      <c r="U47" s="775">
        <f t="shared" si="13"/>
        <v>100</v>
      </c>
      <c r="V47" s="774" t="s">
        <v>17</v>
      </c>
      <c r="W47" s="775">
        <f t="shared" si="14"/>
        <v>100</v>
      </c>
      <c r="X47" s="1816"/>
      <c r="Y47" s="3661"/>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549" t="str">
        <f>A48</f>
        <v>成交单价（元/平方米）</v>
      </c>
      <c r="Q48" s="3550"/>
      <c r="R48" s="3657">
        <f>E48</f>
        <v>0</v>
      </c>
      <c r="S48" s="3657"/>
      <c r="T48" s="3657">
        <f>G48</f>
        <v>0</v>
      </c>
      <c r="U48" s="3657"/>
      <c r="V48" s="3657">
        <f>I48</f>
        <v>0</v>
      </c>
      <c r="W48" s="3657"/>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549" t="str">
        <f>A49</f>
        <v>比较价值（元/平方米）</v>
      </c>
      <c r="Q49" s="3550"/>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664" t="str">
        <f>A50</f>
        <v>估价对象XX用房的比较价值（楼面单价，元/平方米）</v>
      </c>
      <c r="Q50" s="3665"/>
      <c r="R50" s="3666" t="e">
        <f>IF(F1="售价",ROUND(AVERAGE(R49:V49),0),ROUND(AVERAGE(R49:V49),1))</f>
        <v>#DIV/0!</v>
      </c>
      <c r="S50" s="3666"/>
      <c r="T50" s="3666"/>
      <c r="U50" s="3666"/>
      <c r="V50" s="3666"/>
      <c r="W50" s="366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IF(C2="——",ROUND(C43*D3/10000,0),ROUND(C43*D3/10000,0)-D2)</f>
        <v>#DIV/0!</v>
      </c>
      <c r="C2" s="2593"/>
      <c r="D2" s="1127" t="e">
        <f ca="1">SUMIF(INDIRECT("'"&amp;F2&amp;"'"&amp;"!A:A"),"承租人权益价值",INDIRECT("'"&amp;F2&amp;"'"&amp;"!c:c"))</f>
        <v>#REF!</v>
      </c>
      <c r="E2" s="2594" t="s">
        <v>2335</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2648</v>
      </c>
      <c r="D3" s="399">
        <f>IF(D1="",'数据-汇总表'!E3,SUMIF('数据-汇总表'!$C19:$C33,D1,'数据-汇总表'!$E19:$E33))</f>
        <v>21855.969999999998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8" t="s">
        <v>2652</v>
      </c>
      <c r="AC4" s="3557" t="s">
        <v>2653</v>
      </c>
    </row>
    <row r="5" spans="1:29" ht="15">
      <c r="A5" s="404"/>
      <c r="B5" s="405"/>
      <c r="C5" s="3577" t="s">
        <v>2546</v>
      </c>
      <c r="D5" s="3578"/>
      <c r="E5" s="3584" t="s">
        <v>2547</v>
      </c>
      <c r="F5" s="3585"/>
      <c r="G5" s="3577" t="s">
        <v>2548</v>
      </c>
      <c r="H5" s="3578"/>
      <c r="I5" s="3577" t="s">
        <v>2549</v>
      </c>
      <c r="J5" s="3578"/>
      <c r="K5" s="610"/>
      <c r="L5" s="1133"/>
      <c r="M5" s="1134"/>
      <c r="N5" s="1134"/>
      <c r="O5" s="1134"/>
      <c r="P5" s="3565"/>
      <c r="Q5" s="3566"/>
      <c r="R5" s="3571"/>
      <c r="S5" s="3572"/>
      <c r="T5" s="3571"/>
      <c r="U5" s="3572"/>
      <c r="V5" s="3556"/>
      <c r="W5" s="3556"/>
      <c r="X5" s="1816"/>
      <c r="Y5" s="3571"/>
      <c r="Z5" s="3572"/>
      <c r="AA5" s="3558"/>
      <c r="AB5" s="3558"/>
      <c r="AC5" s="3558"/>
    </row>
    <row r="6" spans="1:29" ht="15.75" thickBot="1">
      <c r="A6" s="406"/>
      <c r="B6" s="407"/>
      <c r="C6" s="3575" t="s">
        <v>2550</v>
      </c>
      <c r="D6" s="3576"/>
      <c r="E6" s="3582" t="s">
        <v>2550</v>
      </c>
      <c r="F6" s="3583"/>
      <c r="G6" s="3575" t="s">
        <v>2550</v>
      </c>
      <c r="H6" s="3576"/>
      <c r="I6" s="3575" t="s">
        <v>2550</v>
      </c>
      <c r="J6" s="3576"/>
      <c r="K6" s="610" t="s">
        <v>2551</v>
      </c>
      <c r="L6" s="1133"/>
      <c r="M6" s="1134"/>
      <c r="N6" s="1134"/>
      <c r="O6" s="1134"/>
      <c r="P6" s="3567"/>
      <c r="Q6" s="3568"/>
      <c r="R6" s="3571"/>
      <c r="S6" s="3572"/>
      <c r="T6" s="3573"/>
      <c r="U6" s="3574"/>
      <c r="V6" s="3556"/>
      <c r="W6" s="3556"/>
      <c r="X6" s="1816"/>
      <c r="Y6" s="3573"/>
      <c r="Z6" s="3574"/>
      <c r="AA6" s="3559"/>
      <c r="AB6" s="3559"/>
      <c r="AC6" s="3559"/>
    </row>
    <row r="7" spans="1:29" s="117" customFormat="1" ht="15.75" thickBot="1">
      <c r="A7" s="408" t="s">
        <v>2552</v>
      </c>
      <c r="B7" s="409"/>
      <c r="C7" s="410">
        <f>'数据-取费表'!B2</f>
        <v>43373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79" t="s">
        <v>2553</v>
      </c>
      <c r="Q7" s="3581"/>
      <c r="R7" s="770" t="s">
        <v>17</v>
      </c>
      <c r="S7" s="771">
        <f t="shared" ref="S7:S15" si="0">F7</f>
        <v>0</v>
      </c>
      <c r="T7" s="770" t="s">
        <v>17</v>
      </c>
      <c r="U7" s="771">
        <f t="shared" ref="U7:U15" si="1">H7</f>
        <v>0</v>
      </c>
      <c r="V7" s="770" t="s">
        <v>17</v>
      </c>
      <c r="W7" s="771">
        <f t="shared" ref="W7:W15" si="2">J7</f>
        <v>0</v>
      </c>
      <c r="X7" s="772"/>
      <c r="Y7" s="3579" t="s">
        <v>2553</v>
      </c>
      <c r="Z7" s="3580"/>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79" t="s">
        <v>2556</v>
      </c>
      <c r="Q8" s="3580"/>
      <c r="R8" s="770" t="s">
        <v>17</v>
      </c>
      <c r="S8" s="771">
        <f t="shared" si="0"/>
        <v>0</v>
      </c>
      <c r="T8" s="770" t="s">
        <v>17</v>
      </c>
      <c r="U8" s="771">
        <f t="shared" si="1"/>
        <v>0</v>
      </c>
      <c r="V8" s="770" t="s">
        <v>17</v>
      </c>
      <c r="W8" s="771">
        <f t="shared" si="2"/>
        <v>0</v>
      </c>
      <c r="X8" s="772"/>
      <c r="Y8" s="3579" t="s">
        <v>2556</v>
      </c>
      <c r="Z8" s="3580"/>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50"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50"/>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50"/>
      <c r="Q11" s="1798" t="str">
        <f t="shared" si="6"/>
        <v>容积率</v>
      </c>
      <c r="R11" s="770" t="s">
        <v>17</v>
      </c>
      <c r="S11" s="771" t="e">
        <f t="shared" si="0"/>
        <v>#N/A</v>
      </c>
      <c r="T11" s="770" t="s">
        <v>17</v>
      </c>
      <c r="U11" s="771" t="e">
        <f t="shared" si="1"/>
        <v>#N/A</v>
      </c>
      <c r="V11" s="770" t="s">
        <v>17</v>
      </c>
      <c r="W11" s="771" t="e">
        <f t="shared" si="2"/>
        <v>#N/A</v>
      </c>
      <c r="X11" s="772"/>
      <c r="Y11" s="339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550"/>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550"/>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550"/>
      <c r="Q14" s="1798">
        <f t="shared" si="6"/>
        <v>111</v>
      </c>
      <c r="R14" s="770" t="s">
        <v>17</v>
      </c>
      <c r="S14" s="771">
        <f t="shared" si="0"/>
        <v>100</v>
      </c>
      <c r="T14" s="770" t="s">
        <v>17</v>
      </c>
      <c r="U14" s="771">
        <f t="shared" si="1"/>
        <v>100</v>
      </c>
      <c r="V14" s="770" t="s">
        <v>17</v>
      </c>
      <c r="W14" s="771">
        <f t="shared" si="2"/>
        <v>100</v>
      </c>
      <c r="X14" s="772"/>
      <c r="Y14" s="3398"/>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52" t="s">
        <v>2564</v>
      </c>
      <c r="Q15" s="1813" t="str">
        <f t="shared" si="6"/>
        <v>产业集聚程度</v>
      </c>
      <c r="R15" s="774" t="s">
        <v>17</v>
      </c>
      <c r="S15" s="775">
        <f t="shared" si="0"/>
        <v>100</v>
      </c>
      <c r="T15" s="774" t="s">
        <v>17</v>
      </c>
      <c r="U15" s="775">
        <f t="shared" si="1"/>
        <v>100</v>
      </c>
      <c r="V15" s="774" t="s">
        <v>17</v>
      </c>
      <c r="W15" s="775">
        <f t="shared" si="2"/>
        <v>100</v>
      </c>
      <c r="X15" s="1816"/>
      <c r="Y15" s="3552"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553"/>
      <c r="Q16" s="1813"/>
      <c r="R16" s="774"/>
      <c r="S16" s="775"/>
      <c r="T16" s="774"/>
      <c r="U16" s="775"/>
      <c r="V16" s="774"/>
      <c r="W16" s="775"/>
      <c r="X16" s="1816"/>
      <c r="Y16" s="3553"/>
      <c r="Z16" s="1817"/>
      <c r="AA16" s="1814">
        <v>1</v>
      </c>
      <c r="AB16" s="1814">
        <v>1</v>
      </c>
      <c r="AC16" s="1814">
        <v>1</v>
      </c>
    </row>
    <row r="17" spans="1:29" ht="85.5">
      <c r="A17" s="428"/>
      <c r="B17" s="451" t="s">
        <v>2102</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53"/>
      <c r="Q17" s="1813" t="str">
        <f>B17</f>
        <v>交通便捷度</v>
      </c>
      <c r="R17" s="774" t="s">
        <v>17</v>
      </c>
      <c r="S17" s="775">
        <f>F17</f>
        <v>100</v>
      </c>
      <c r="T17" s="774" t="s">
        <v>17</v>
      </c>
      <c r="U17" s="775">
        <f>H17</f>
        <v>100</v>
      </c>
      <c r="V17" s="774" t="s">
        <v>17</v>
      </c>
      <c r="W17" s="775">
        <f>J17</f>
        <v>100</v>
      </c>
      <c r="X17" s="1816"/>
      <c r="Y17" s="355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553"/>
      <c r="Q18" s="1813"/>
      <c r="R18" s="774"/>
      <c r="S18" s="775"/>
      <c r="T18" s="774"/>
      <c r="U18" s="775"/>
      <c r="V18" s="774"/>
      <c r="W18" s="775"/>
      <c r="X18" s="1816"/>
      <c r="Y18" s="3553"/>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53"/>
      <c r="Q19" s="1813" t="str">
        <f>B19</f>
        <v>公共配套设施</v>
      </c>
      <c r="R19" s="774" t="s">
        <v>17</v>
      </c>
      <c r="S19" s="775">
        <f>F19</f>
        <v>100</v>
      </c>
      <c r="T19" s="774" t="s">
        <v>17</v>
      </c>
      <c r="U19" s="775">
        <f>H19</f>
        <v>100</v>
      </c>
      <c r="V19" s="774" t="s">
        <v>17</v>
      </c>
      <c r="W19" s="775">
        <f>J19</f>
        <v>100</v>
      </c>
      <c r="X19" s="1816"/>
      <c r="Y19" s="355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553"/>
      <c r="Q20" s="1813"/>
      <c r="R20" s="774"/>
      <c r="S20" s="775"/>
      <c r="T20" s="774"/>
      <c r="U20" s="775"/>
      <c r="V20" s="774"/>
      <c r="W20" s="775"/>
      <c r="X20" s="1816"/>
      <c r="Y20" s="3553"/>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53"/>
      <c r="Q21" s="1813" t="str">
        <f>B21</f>
        <v>基础设施水平</v>
      </c>
      <c r="R21" s="774" t="s">
        <v>17</v>
      </c>
      <c r="S21" s="775">
        <f>F21</f>
        <v>100</v>
      </c>
      <c r="T21" s="774" t="s">
        <v>17</v>
      </c>
      <c r="U21" s="775">
        <f>H21</f>
        <v>100</v>
      </c>
      <c r="V21" s="774" t="s">
        <v>17</v>
      </c>
      <c r="W21" s="775">
        <f>J21</f>
        <v>100</v>
      </c>
      <c r="X21" s="1816"/>
      <c r="Y21" s="355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553"/>
      <c r="Q22" s="1813"/>
      <c r="R22" s="774"/>
      <c r="S22" s="775"/>
      <c r="T22" s="774"/>
      <c r="U22" s="775"/>
      <c r="V22" s="774"/>
      <c r="W22" s="775"/>
      <c r="X22" s="1816"/>
      <c r="Y22" s="3553"/>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53"/>
      <c r="Q23" s="1813" t="str">
        <f>B23</f>
        <v>环境质量</v>
      </c>
      <c r="R23" s="774" t="s">
        <v>17</v>
      </c>
      <c r="S23" s="775">
        <f>F23</f>
        <v>100</v>
      </c>
      <c r="T23" s="774" t="s">
        <v>17</v>
      </c>
      <c r="U23" s="775">
        <f>H23</f>
        <v>100</v>
      </c>
      <c r="V23" s="774" t="s">
        <v>17</v>
      </c>
      <c r="W23" s="775">
        <f>J23</f>
        <v>100</v>
      </c>
      <c r="X23" s="1816"/>
      <c r="Y23" s="355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553"/>
      <c r="Q24" s="1813"/>
      <c r="R24" s="774"/>
      <c r="S24" s="775"/>
      <c r="T24" s="774"/>
      <c r="U24" s="775"/>
      <c r="V24" s="774"/>
      <c r="W24" s="775"/>
      <c r="X24" s="1816"/>
      <c r="Y24" s="355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53"/>
      <c r="Q25" s="1813">
        <f>B25</f>
        <v>111</v>
      </c>
      <c r="R25" s="774" t="s">
        <v>17</v>
      </c>
      <c r="S25" s="775">
        <f>F25</f>
        <v>100</v>
      </c>
      <c r="T25" s="774" t="s">
        <v>17</v>
      </c>
      <c r="U25" s="775">
        <f>H25</f>
        <v>100</v>
      </c>
      <c r="V25" s="774" t="s">
        <v>17</v>
      </c>
      <c r="W25" s="775">
        <f>J25</f>
        <v>100</v>
      </c>
      <c r="X25" s="1816"/>
      <c r="Y25" s="355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53"/>
      <c r="Q26" s="1813">
        <f t="shared" ref="Q26:Q40" si="11">B26</f>
        <v>111</v>
      </c>
      <c r="R26" s="774" t="s">
        <v>17</v>
      </c>
      <c r="S26" s="775">
        <f>F26</f>
        <v>100</v>
      </c>
      <c r="T26" s="774" t="s">
        <v>17</v>
      </c>
      <c r="U26" s="775">
        <f>H26</f>
        <v>100</v>
      </c>
      <c r="V26" s="774" t="s">
        <v>17</v>
      </c>
      <c r="W26" s="775">
        <f>J26</f>
        <v>100</v>
      </c>
      <c r="X26" s="1816"/>
      <c r="Y26" s="355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53"/>
      <c r="Q27" s="1798">
        <f t="shared" si="11"/>
        <v>111</v>
      </c>
      <c r="R27" s="770" t="s">
        <v>17</v>
      </c>
      <c r="S27" s="771">
        <f>F27</f>
        <v>100</v>
      </c>
      <c r="T27" s="770" t="s">
        <v>17</v>
      </c>
      <c r="U27" s="771">
        <f>H27</f>
        <v>100</v>
      </c>
      <c r="V27" s="770" t="s">
        <v>17</v>
      </c>
      <c r="W27" s="771">
        <f>J27</f>
        <v>100</v>
      </c>
      <c r="X27" s="772"/>
      <c r="Y27" s="355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53"/>
      <c r="Q28" s="1813">
        <f t="shared" si="11"/>
        <v>111</v>
      </c>
      <c r="R28" s="774" t="s">
        <v>17</v>
      </c>
      <c r="S28" s="775">
        <f t="shared" ref="S28:S40" si="12">F28</f>
        <v>100</v>
      </c>
      <c r="T28" s="774" t="s">
        <v>17</v>
      </c>
      <c r="U28" s="775">
        <f t="shared" ref="U28:U40" si="13">H28</f>
        <v>100</v>
      </c>
      <c r="V28" s="774" t="s">
        <v>17</v>
      </c>
      <c r="W28" s="775">
        <f t="shared" ref="W28:W40" si="14">J28</f>
        <v>100</v>
      </c>
      <c r="X28" s="1816"/>
      <c r="Y28" s="3553"/>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554" t="s">
        <v>2569</v>
      </c>
      <c r="Q29" s="1813" t="str">
        <f t="shared" si="11"/>
        <v>建筑类型</v>
      </c>
      <c r="R29" s="774" t="s">
        <v>17</v>
      </c>
      <c r="S29" s="775">
        <f t="shared" si="12"/>
        <v>100</v>
      </c>
      <c r="T29" s="774" t="s">
        <v>17</v>
      </c>
      <c r="U29" s="775">
        <f t="shared" si="13"/>
        <v>100</v>
      </c>
      <c r="V29" s="774" t="s">
        <v>17</v>
      </c>
      <c r="W29" s="775">
        <f t="shared" si="14"/>
        <v>100</v>
      </c>
      <c r="X29" s="1816"/>
      <c r="Y29" s="3555"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55"/>
      <c r="Q30" s="776" t="str">
        <f t="shared" si="11"/>
        <v>项目建筑规模</v>
      </c>
      <c r="R30" s="777" t="s">
        <v>17</v>
      </c>
      <c r="S30" s="778" t="e">
        <f t="shared" si="12"/>
        <v>#N/A</v>
      </c>
      <c r="T30" s="777" t="s">
        <v>17</v>
      </c>
      <c r="U30" s="778" t="e">
        <f t="shared" si="13"/>
        <v>#N/A</v>
      </c>
      <c r="V30" s="777" t="s">
        <v>17</v>
      </c>
      <c r="W30" s="778" t="e">
        <f t="shared" si="14"/>
        <v>#N/A</v>
      </c>
      <c r="X30" s="779"/>
      <c r="Y30" s="3555"/>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55"/>
      <c r="Q31" s="1813" t="str">
        <f t="shared" si="11"/>
        <v>建筑结构</v>
      </c>
      <c r="R31" s="774" t="s">
        <v>17</v>
      </c>
      <c r="S31" s="775">
        <f t="shared" si="12"/>
        <v>100</v>
      </c>
      <c r="T31" s="774" t="s">
        <v>17</v>
      </c>
      <c r="U31" s="775">
        <f t="shared" si="13"/>
        <v>100</v>
      </c>
      <c r="V31" s="774" t="s">
        <v>17</v>
      </c>
      <c r="W31" s="775">
        <f t="shared" si="14"/>
        <v>100</v>
      </c>
      <c r="X31" s="1816"/>
      <c r="Y31" s="3555"/>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55"/>
      <c r="Q32" s="1813" t="str">
        <f t="shared" si="11"/>
        <v>公共部分装修</v>
      </c>
      <c r="R32" s="774" t="s">
        <v>17</v>
      </c>
      <c r="S32" s="775">
        <f t="shared" si="12"/>
        <v>100</v>
      </c>
      <c r="T32" s="774" t="s">
        <v>17</v>
      </c>
      <c r="U32" s="775">
        <f t="shared" si="13"/>
        <v>100</v>
      </c>
      <c r="V32" s="774" t="s">
        <v>17</v>
      </c>
      <c r="W32" s="775">
        <f t="shared" si="14"/>
        <v>100</v>
      </c>
      <c r="X32" s="1816"/>
      <c r="Y32" s="3555"/>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55"/>
      <c r="Q33" s="1813" t="str">
        <f t="shared" si="11"/>
        <v>成新度</v>
      </c>
      <c r="R33" s="774" t="s">
        <v>17</v>
      </c>
      <c r="S33" s="775" t="e">
        <f t="shared" si="12"/>
        <v>#N/A</v>
      </c>
      <c r="T33" s="774" t="s">
        <v>17</v>
      </c>
      <c r="U33" s="775" t="e">
        <f t="shared" si="13"/>
        <v>#N/A</v>
      </c>
      <c r="V33" s="774" t="s">
        <v>17</v>
      </c>
      <c r="W33" s="775" t="e">
        <f t="shared" si="14"/>
        <v>#N/A</v>
      </c>
      <c r="X33" s="1816"/>
      <c r="Y33" s="3555"/>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55"/>
      <c r="Q34" s="1798" t="str">
        <f t="shared" si="11"/>
        <v>物业管理</v>
      </c>
      <c r="R34" s="770" t="s">
        <v>17</v>
      </c>
      <c r="S34" s="771">
        <f t="shared" si="12"/>
        <v>100</v>
      </c>
      <c r="T34" s="770" t="s">
        <v>17</v>
      </c>
      <c r="U34" s="771">
        <f t="shared" si="13"/>
        <v>100</v>
      </c>
      <c r="V34" s="770" t="s">
        <v>17</v>
      </c>
      <c r="W34" s="771">
        <f t="shared" si="14"/>
        <v>100</v>
      </c>
      <c r="X34" s="772"/>
      <c r="Y34" s="3555"/>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55" t="s">
        <v>2569</v>
      </c>
      <c r="Q35" s="1813" t="str">
        <f t="shared" si="11"/>
        <v>市政基础设施</v>
      </c>
      <c r="R35" s="774" t="s">
        <v>17</v>
      </c>
      <c r="S35" s="775">
        <f t="shared" si="12"/>
        <v>100</v>
      </c>
      <c r="T35" s="774" t="s">
        <v>17</v>
      </c>
      <c r="U35" s="775">
        <f t="shared" si="13"/>
        <v>100</v>
      </c>
      <c r="V35" s="774" t="s">
        <v>17</v>
      </c>
      <c r="W35" s="775">
        <f t="shared" si="14"/>
        <v>100</v>
      </c>
      <c r="X35" s="1816"/>
      <c r="Y35" s="3555"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55"/>
      <c r="Q36" s="1813" t="str">
        <f t="shared" si="11"/>
        <v>内部装修</v>
      </c>
      <c r="R36" s="774" t="s">
        <v>17</v>
      </c>
      <c r="S36" s="775">
        <f t="shared" si="12"/>
        <v>100</v>
      </c>
      <c r="T36" s="774" t="s">
        <v>17</v>
      </c>
      <c r="U36" s="775">
        <f t="shared" si="13"/>
        <v>100</v>
      </c>
      <c r="V36" s="774" t="s">
        <v>17</v>
      </c>
      <c r="W36" s="775">
        <f t="shared" si="14"/>
        <v>100</v>
      </c>
      <c r="X36" s="1816"/>
      <c r="Y36" s="3555"/>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55"/>
      <c r="Q37" s="1813" t="str">
        <f t="shared" si="11"/>
        <v>内部装修状况</v>
      </c>
      <c r="R37" s="774" t="s">
        <v>17</v>
      </c>
      <c r="S37" s="775">
        <f t="shared" si="12"/>
        <v>100</v>
      </c>
      <c r="T37" s="774" t="s">
        <v>17</v>
      </c>
      <c r="U37" s="775">
        <f t="shared" si="13"/>
        <v>100</v>
      </c>
      <c r="V37" s="774" t="s">
        <v>17</v>
      </c>
      <c r="W37" s="775">
        <f t="shared" si="14"/>
        <v>100</v>
      </c>
      <c r="X37" s="1816"/>
      <c r="Y37" s="355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55"/>
      <c r="Q38" s="776">
        <f t="shared" si="11"/>
        <v>111</v>
      </c>
      <c r="R38" s="777" t="s">
        <v>17</v>
      </c>
      <c r="S38" s="778">
        <f t="shared" si="12"/>
        <v>100</v>
      </c>
      <c r="T38" s="777" t="s">
        <v>17</v>
      </c>
      <c r="U38" s="778">
        <f t="shared" si="13"/>
        <v>100</v>
      </c>
      <c r="V38" s="777" t="s">
        <v>17</v>
      </c>
      <c r="W38" s="778">
        <f t="shared" si="14"/>
        <v>100</v>
      </c>
      <c r="X38" s="779"/>
      <c r="Y38" s="355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55"/>
      <c r="Q39" s="1813">
        <f t="shared" si="11"/>
        <v>111</v>
      </c>
      <c r="R39" s="774" t="s">
        <v>17</v>
      </c>
      <c r="S39" s="775">
        <f t="shared" si="12"/>
        <v>100</v>
      </c>
      <c r="T39" s="774" t="s">
        <v>17</v>
      </c>
      <c r="U39" s="775">
        <f t="shared" si="13"/>
        <v>100</v>
      </c>
      <c r="V39" s="774" t="s">
        <v>17</v>
      </c>
      <c r="W39" s="775">
        <f t="shared" si="14"/>
        <v>100</v>
      </c>
      <c r="X39" s="1816"/>
      <c r="Y39" s="3555"/>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661"/>
      <c r="Q40" s="1813">
        <f t="shared" si="11"/>
        <v>111</v>
      </c>
      <c r="R40" s="774" t="s">
        <v>17</v>
      </c>
      <c r="S40" s="775">
        <f t="shared" si="12"/>
        <v>100</v>
      </c>
      <c r="T40" s="774" t="s">
        <v>17</v>
      </c>
      <c r="U40" s="775">
        <f t="shared" si="13"/>
        <v>100</v>
      </c>
      <c r="V40" s="774" t="s">
        <v>17</v>
      </c>
      <c r="W40" s="775">
        <f t="shared" si="14"/>
        <v>100</v>
      </c>
      <c r="X40" s="1816"/>
      <c r="Y40" s="3661"/>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550" t="str">
        <f>A41</f>
        <v>成交单价（元/平方米）</v>
      </c>
      <c r="Q41" s="3550"/>
      <c r="R41" s="3657">
        <f>E41</f>
        <v>0</v>
      </c>
      <c r="S41" s="3657"/>
      <c r="T41" s="3657">
        <f>G41</f>
        <v>0</v>
      </c>
      <c r="U41" s="3657"/>
      <c r="V41" s="3657">
        <f>I41</f>
        <v>0</v>
      </c>
      <c r="W41" s="3657"/>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550" t="str">
        <f>A42</f>
        <v>比较价值（元/平方米）</v>
      </c>
      <c r="Q42" s="3550"/>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544" t="str">
        <f>A43</f>
        <v>估价对象XX用房的比较价值（楼面单价，元/平方米）</v>
      </c>
      <c r="Q43" s="3545"/>
      <c r="R43" s="3656" t="e">
        <f>IF(F1="售价",ROUND(AVERAGE(R42:V42),0),ROUND(AVERAGE(R42:V42),1))</f>
        <v>#DIV/0!</v>
      </c>
      <c r="S43" s="3656"/>
      <c r="T43" s="3656"/>
      <c r="U43" s="3656"/>
      <c r="V43" s="3656"/>
      <c r="W43" s="36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2334</v>
      </c>
      <c r="B2" s="1421" t="e">
        <f ca="1">IF(C2="——",IF(B37="元/平方米",ROUND(C39*D3/10000,0),ROUND(F3*C39/10000,0)),IF(B37="元/平方米",ROUND(C39*D3/10000,0),ROUND(F3*C39/10000,0))-D2)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8" t="s">
        <v>2652</v>
      </c>
      <c r="AC4" s="3557" t="s">
        <v>2653</v>
      </c>
    </row>
    <row r="5" spans="1:29" ht="15">
      <c r="A5" s="404"/>
      <c r="B5" s="405"/>
      <c r="C5" s="3577" t="s">
        <v>2546</v>
      </c>
      <c r="D5" s="3578"/>
      <c r="E5" s="3584" t="s">
        <v>2547</v>
      </c>
      <c r="F5" s="3585"/>
      <c r="G5" s="3577" t="s">
        <v>2548</v>
      </c>
      <c r="H5" s="3578"/>
      <c r="I5" s="3577" t="s">
        <v>2549</v>
      </c>
      <c r="J5" s="3578"/>
      <c r="K5" s="610"/>
      <c r="L5" s="1133"/>
      <c r="M5" s="1134"/>
      <c r="N5" s="1134"/>
      <c r="O5" s="1134"/>
      <c r="P5" s="3565"/>
      <c r="Q5" s="3566"/>
      <c r="R5" s="3571"/>
      <c r="S5" s="3572"/>
      <c r="T5" s="3571"/>
      <c r="U5" s="3572"/>
      <c r="V5" s="3556"/>
      <c r="W5" s="3556"/>
      <c r="X5" s="1816"/>
      <c r="Y5" s="3571"/>
      <c r="Z5" s="3572"/>
      <c r="AA5" s="3558"/>
      <c r="AB5" s="3558"/>
      <c r="AC5" s="3558"/>
    </row>
    <row r="6" spans="1:29" ht="15.75" thickBot="1">
      <c r="A6" s="406"/>
      <c r="B6" s="407"/>
      <c r="C6" s="3575" t="s">
        <v>2550</v>
      </c>
      <c r="D6" s="3576"/>
      <c r="E6" s="3582" t="s">
        <v>2550</v>
      </c>
      <c r="F6" s="3583"/>
      <c r="G6" s="3575" t="s">
        <v>2550</v>
      </c>
      <c r="H6" s="3576"/>
      <c r="I6" s="3575" t="s">
        <v>2550</v>
      </c>
      <c r="J6" s="3576"/>
      <c r="K6" s="610" t="s">
        <v>2551</v>
      </c>
      <c r="L6" s="1133"/>
      <c r="M6" s="1134"/>
      <c r="N6" s="1134"/>
      <c r="O6" s="1134"/>
      <c r="P6" s="3567"/>
      <c r="Q6" s="3568"/>
      <c r="R6" s="3571"/>
      <c r="S6" s="3572"/>
      <c r="T6" s="3573"/>
      <c r="U6" s="3574"/>
      <c r="V6" s="3556"/>
      <c r="W6" s="3556"/>
      <c r="X6" s="1816"/>
      <c r="Y6" s="3573"/>
      <c r="Z6" s="3574"/>
      <c r="AA6" s="3559"/>
      <c r="AB6" s="3559"/>
      <c r="AC6" s="3559"/>
    </row>
    <row r="7" spans="1:29" s="117" customFormat="1" ht="15.75" thickBot="1">
      <c r="A7" s="408" t="s">
        <v>2552</v>
      </c>
      <c r="B7" s="409"/>
      <c r="C7" s="410">
        <f>'数据-取费表'!B2</f>
        <v>43373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79" t="s">
        <v>2553</v>
      </c>
      <c r="Q7" s="3581"/>
      <c r="R7" s="770" t="s">
        <v>17</v>
      </c>
      <c r="S7" s="771">
        <f t="shared" ref="S7:S14" si="0">F7</f>
        <v>0</v>
      </c>
      <c r="T7" s="770" t="s">
        <v>17</v>
      </c>
      <c r="U7" s="771">
        <f t="shared" ref="U7:U14" si="1">H7</f>
        <v>0</v>
      </c>
      <c r="V7" s="770" t="s">
        <v>17</v>
      </c>
      <c r="W7" s="771">
        <f t="shared" ref="W7:W14" si="2">J7</f>
        <v>0</v>
      </c>
      <c r="X7" s="772"/>
      <c r="Y7" s="3579" t="s">
        <v>2553</v>
      </c>
      <c r="Z7" s="3580"/>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79" t="s">
        <v>2556</v>
      </c>
      <c r="Q8" s="3580"/>
      <c r="R8" s="770" t="s">
        <v>17</v>
      </c>
      <c r="S8" s="771">
        <f t="shared" si="0"/>
        <v>0</v>
      </c>
      <c r="T8" s="770" t="s">
        <v>17</v>
      </c>
      <c r="U8" s="771">
        <f t="shared" si="1"/>
        <v>0</v>
      </c>
      <c r="V8" s="770" t="s">
        <v>17</v>
      </c>
      <c r="W8" s="771">
        <f t="shared" si="2"/>
        <v>0</v>
      </c>
      <c r="X8" s="772"/>
      <c r="Y8" s="3579" t="s">
        <v>2556</v>
      </c>
      <c r="Z8" s="3580"/>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50" t="s">
        <v>2559</v>
      </c>
      <c r="Q9" s="1798" t="str">
        <f t="shared" ref="Q9:Q14" si="6">B9</f>
        <v>用途</v>
      </c>
      <c r="R9" s="770" t="s">
        <v>17</v>
      </c>
      <c r="S9" s="771">
        <f t="shared" si="0"/>
        <v>100</v>
      </c>
      <c r="T9" s="770" t="s">
        <v>17</v>
      </c>
      <c r="U9" s="771">
        <f t="shared" si="1"/>
        <v>100</v>
      </c>
      <c r="V9" s="770" t="s">
        <v>17</v>
      </c>
      <c r="W9" s="771">
        <f t="shared" si="2"/>
        <v>100</v>
      </c>
      <c r="X9" s="772"/>
      <c r="Y9" s="3398"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50"/>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50"/>
      <c r="Q11" s="1798">
        <f t="shared" si="6"/>
        <v>111</v>
      </c>
      <c r="R11" s="770" t="s">
        <v>17</v>
      </c>
      <c r="S11" s="771">
        <f t="shared" si="0"/>
        <v>100</v>
      </c>
      <c r="T11" s="770" t="s">
        <v>17</v>
      </c>
      <c r="U11" s="771">
        <f t="shared" si="1"/>
        <v>100</v>
      </c>
      <c r="V11" s="770" t="s">
        <v>17</v>
      </c>
      <c r="W11" s="771">
        <f t="shared" si="2"/>
        <v>100</v>
      </c>
      <c r="X11" s="772"/>
      <c r="Y11" s="339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50"/>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50"/>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52" t="s">
        <v>2564</v>
      </c>
      <c r="Q14" s="1813" t="str">
        <f t="shared" si="6"/>
        <v>交通便捷度</v>
      </c>
      <c r="R14" s="774" t="s">
        <v>17</v>
      </c>
      <c r="S14" s="775">
        <f t="shared" si="0"/>
        <v>100</v>
      </c>
      <c r="T14" s="774" t="s">
        <v>17</v>
      </c>
      <c r="U14" s="775">
        <f t="shared" si="1"/>
        <v>100</v>
      </c>
      <c r="V14" s="774" t="s">
        <v>17</v>
      </c>
      <c r="W14" s="775">
        <f t="shared" si="2"/>
        <v>100</v>
      </c>
      <c r="X14" s="1816"/>
      <c r="Y14" s="3552"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553"/>
      <c r="Q15" s="1813"/>
      <c r="R15" s="774"/>
      <c r="S15" s="775"/>
      <c r="T15" s="774"/>
      <c r="U15" s="775"/>
      <c r="V15" s="774"/>
      <c r="W15" s="775"/>
      <c r="X15" s="1816"/>
      <c r="Y15" s="3553"/>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53"/>
      <c r="Q16" s="1813" t="str">
        <f>B16</f>
        <v>公共配套设施</v>
      </c>
      <c r="R16" s="774" t="s">
        <v>17</v>
      </c>
      <c r="S16" s="775">
        <f>F16</f>
        <v>100</v>
      </c>
      <c r="T16" s="774" t="s">
        <v>17</v>
      </c>
      <c r="U16" s="775">
        <f>H16</f>
        <v>100</v>
      </c>
      <c r="V16" s="774" t="s">
        <v>17</v>
      </c>
      <c r="W16" s="775">
        <f>J16</f>
        <v>100</v>
      </c>
      <c r="X16" s="1816"/>
      <c r="Y16" s="355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553"/>
      <c r="Q17" s="1813"/>
      <c r="R17" s="774"/>
      <c r="S17" s="775"/>
      <c r="T17" s="774"/>
      <c r="U17" s="775"/>
      <c r="V17" s="774"/>
      <c r="W17" s="775"/>
      <c r="X17" s="1816"/>
      <c r="Y17" s="3553"/>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53"/>
      <c r="Q18" s="1813" t="str">
        <f>B18</f>
        <v>基础设施水平</v>
      </c>
      <c r="R18" s="774" t="s">
        <v>17</v>
      </c>
      <c r="S18" s="775">
        <f>F18</f>
        <v>100</v>
      </c>
      <c r="T18" s="774" t="s">
        <v>17</v>
      </c>
      <c r="U18" s="775">
        <f>H18</f>
        <v>100</v>
      </c>
      <c r="V18" s="774" t="s">
        <v>17</v>
      </c>
      <c r="W18" s="775">
        <f>J18</f>
        <v>100</v>
      </c>
      <c r="X18" s="1816"/>
      <c r="Y18" s="355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553"/>
      <c r="Q19" s="1813"/>
      <c r="R19" s="774"/>
      <c r="S19" s="775"/>
      <c r="T19" s="774"/>
      <c r="U19" s="775"/>
      <c r="V19" s="774"/>
      <c r="W19" s="775"/>
      <c r="X19" s="1816"/>
      <c r="Y19" s="3553"/>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53"/>
      <c r="Q20" s="1813" t="str">
        <f>B20</f>
        <v>自然及人文环境</v>
      </c>
      <c r="R20" s="774" t="s">
        <v>17</v>
      </c>
      <c r="S20" s="775">
        <f>F20</f>
        <v>100</v>
      </c>
      <c r="T20" s="774" t="s">
        <v>17</v>
      </c>
      <c r="U20" s="775">
        <f>H20</f>
        <v>100</v>
      </c>
      <c r="V20" s="774" t="s">
        <v>17</v>
      </c>
      <c r="W20" s="775">
        <f>J20</f>
        <v>100</v>
      </c>
      <c r="X20" s="1816"/>
      <c r="Y20" s="355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553"/>
      <c r="Q21" s="1813"/>
      <c r="R21" s="774"/>
      <c r="S21" s="775"/>
      <c r="T21" s="774"/>
      <c r="U21" s="775"/>
      <c r="V21" s="774"/>
      <c r="W21" s="775"/>
      <c r="X21" s="1816"/>
      <c r="Y21" s="3553"/>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53"/>
      <c r="Q22" s="1813" t="str">
        <f>B22</f>
        <v>楼层</v>
      </c>
      <c r="R22" s="774" t="s">
        <v>17</v>
      </c>
      <c r="S22" s="775">
        <f>F22</f>
        <v>100</v>
      </c>
      <c r="T22" s="774" t="s">
        <v>17</v>
      </c>
      <c r="U22" s="775">
        <f>H22</f>
        <v>100</v>
      </c>
      <c r="V22" s="774" t="s">
        <v>17</v>
      </c>
      <c r="W22" s="775">
        <f>J22</f>
        <v>100</v>
      </c>
      <c r="X22" s="1816"/>
      <c r="Y22" s="355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53"/>
      <c r="Q23" s="1813">
        <f>B23</f>
        <v>111</v>
      </c>
      <c r="R23" s="774" t="s">
        <v>17</v>
      </c>
      <c r="S23" s="775">
        <f>F23</f>
        <v>100</v>
      </c>
      <c r="T23" s="774" t="s">
        <v>17</v>
      </c>
      <c r="U23" s="775">
        <f>H23</f>
        <v>100</v>
      </c>
      <c r="V23" s="774" t="s">
        <v>17</v>
      </c>
      <c r="W23" s="775">
        <f>J23</f>
        <v>100</v>
      </c>
      <c r="X23" s="1816"/>
      <c r="Y23" s="355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53"/>
      <c r="Q24" s="1813">
        <f t="shared" ref="Q24:Q36" si="11">B24</f>
        <v>111</v>
      </c>
      <c r="R24" s="774" t="s">
        <v>17</v>
      </c>
      <c r="S24" s="775">
        <f>F24</f>
        <v>100</v>
      </c>
      <c r="T24" s="774" t="s">
        <v>17</v>
      </c>
      <c r="U24" s="775">
        <f>H24</f>
        <v>100</v>
      </c>
      <c r="V24" s="774" t="s">
        <v>17</v>
      </c>
      <c r="W24" s="775">
        <f>J24</f>
        <v>100</v>
      </c>
      <c r="X24" s="1816"/>
      <c r="Y24" s="355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53"/>
      <c r="Q25" s="1798">
        <f t="shared" si="11"/>
        <v>111</v>
      </c>
      <c r="R25" s="770" t="s">
        <v>17</v>
      </c>
      <c r="S25" s="771">
        <f>F25</f>
        <v>100</v>
      </c>
      <c r="T25" s="770" t="s">
        <v>17</v>
      </c>
      <c r="U25" s="771">
        <f>H25</f>
        <v>100</v>
      </c>
      <c r="V25" s="770" t="s">
        <v>17</v>
      </c>
      <c r="W25" s="771">
        <f>J25</f>
        <v>100</v>
      </c>
      <c r="X25" s="772"/>
      <c r="Y25" s="3553"/>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54"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555"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55"/>
      <c r="Q27" s="776" t="str">
        <f t="shared" si="11"/>
        <v>项目停车位配比</v>
      </c>
      <c r="R27" s="777" t="s">
        <v>17</v>
      </c>
      <c r="S27" s="778">
        <f t="shared" si="12"/>
        <v>100</v>
      </c>
      <c r="T27" s="777" t="s">
        <v>17</v>
      </c>
      <c r="U27" s="778">
        <f t="shared" si="13"/>
        <v>100</v>
      </c>
      <c r="V27" s="777" t="s">
        <v>17</v>
      </c>
      <c r="W27" s="778">
        <f t="shared" si="14"/>
        <v>100</v>
      </c>
      <c r="X27" s="779"/>
      <c r="Y27" s="3555"/>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55"/>
      <c r="Q28" s="1813" t="str">
        <f t="shared" si="11"/>
        <v>公共部分装修</v>
      </c>
      <c r="R28" s="774" t="s">
        <v>17</v>
      </c>
      <c r="S28" s="775">
        <f t="shared" si="12"/>
        <v>100</v>
      </c>
      <c r="T28" s="774" t="s">
        <v>17</v>
      </c>
      <c r="U28" s="775">
        <f t="shared" si="13"/>
        <v>100</v>
      </c>
      <c r="V28" s="774" t="s">
        <v>17</v>
      </c>
      <c r="W28" s="775">
        <f t="shared" si="14"/>
        <v>100</v>
      </c>
      <c r="X28" s="1816"/>
      <c r="Y28" s="3555"/>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55"/>
      <c r="Q29" s="1813" t="str">
        <f t="shared" si="11"/>
        <v>成新率</v>
      </c>
      <c r="R29" s="774" t="s">
        <v>17</v>
      </c>
      <c r="S29" s="775" t="e">
        <f t="shared" si="12"/>
        <v>#N/A</v>
      </c>
      <c r="T29" s="774" t="s">
        <v>17</v>
      </c>
      <c r="U29" s="775" t="e">
        <f t="shared" si="13"/>
        <v>#N/A</v>
      </c>
      <c r="V29" s="774" t="s">
        <v>17</v>
      </c>
      <c r="W29" s="775" t="e">
        <f t="shared" si="14"/>
        <v>#N/A</v>
      </c>
      <c r="X29" s="1816"/>
      <c r="Y29" s="3555"/>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55"/>
      <c r="Q30" s="1813" t="str">
        <f t="shared" si="11"/>
        <v>物业等级</v>
      </c>
      <c r="R30" s="774" t="s">
        <v>17</v>
      </c>
      <c r="S30" s="775">
        <f t="shared" si="12"/>
        <v>100</v>
      </c>
      <c r="T30" s="774" t="s">
        <v>17</v>
      </c>
      <c r="U30" s="775">
        <f t="shared" si="13"/>
        <v>100</v>
      </c>
      <c r="V30" s="774" t="s">
        <v>17</v>
      </c>
      <c r="W30" s="775">
        <f t="shared" si="14"/>
        <v>100</v>
      </c>
      <c r="X30" s="1816"/>
      <c r="Y30" s="3555"/>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55"/>
      <c r="Q31" s="1798" t="str">
        <f t="shared" si="11"/>
        <v>停车位面积</v>
      </c>
      <c r="R31" s="770" t="s">
        <v>17</v>
      </c>
      <c r="S31" s="771" t="e">
        <f t="shared" si="12"/>
        <v>#N/A</v>
      </c>
      <c r="T31" s="770" t="s">
        <v>17</v>
      </c>
      <c r="U31" s="771" t="e">
        <f t="shared" si="13"/>
        <v>#N/A</v>
      </c>
      <c r="V31" s="770" t="s">
        <v>17</v>
      </c>
      <c r="W31" s="771" t="e">
        <f t="shared" si="14"/>
        <v>#N/A</v>
      </c>
      <c r="X31" s="772"/>
      <c r="Y31" s="3555"/>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55" t="s">
        <v>2569</v>
      </c>
      <c r="Q32" s="1813" t="str">
        <f t="shared" si="11"/>
        <v>车位类型</v>
      </c>
      <c r="R32" s="774" t="s">
        <v>17</v>
      </c>
      <c r="S32" s="775">
        <f t="shared" si="12"/>
        <v>100</v>
      </c>
      <c r="T32" s="774" t="s">
        <v>17</v>
      </c>
      <c r="U32" s="775">
        <f t="shared" si="13"/>
        <v>100</v>
      </c>
      <c r="V32" s="774" t="s">
        <v>17</v>
      </c>
      <c r="W32" s="775">
        <f t="shared" si="14"/>
        <v>100</v>
      </c>
      <c r="X32" s="1816"/>
      <c r="Y32" s="3555"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55"/>
      <c r="Q33" s="1813" t="str">
        <f t="shared" si="11"/>
        <v>是否直接入户</v>
      </c>
      <c r="R33" s="774" t="s">
        <v>17</v>
      </c>
      <c r="S33" s="775">
        <f t="shared" si="12"/>
        <v>100</v>
      </c>
      <c r="T33" s="774" t="s">
        <v>17</v>
      </c>
      <c r="U33" s="775">
        <f t="shared" si="13"/>
        <v>100</v>
      </c>
      <c r="V33" s="774" t="s">
        <v>17</v>
      </c>
      <c r="W33" s="775">
        <f t="shared" si="14"/>
        <v>100</v>
      </c>
      <c r="X33" s="1816"/>
      <c r="Y33" s="355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55"/>
      <c r="Q34" s="1813">
        <f t="shared" si="11"/>
        <v>111</v>
      </c>
      <c r="R34" s="774" t="s">
        <v>17</v>
      </c>
      <c r="S34" s="775">
        <f t="shared" si="12"/>
        <v>100</v>
      </c>
      <c r="T34" s="774" t="s">
        <v>17</v>
      </c>
      <c r="U34" s="775">
        <f t="shared" si="13"/>
        <v>100</v>
      </c>
      <c r="V34" s="774" t="s">
        <v>17</v>
      </c>
      <c r="W34" s="775">
        <f t="shared" si="14"/>
        <v>100</v>
      </c>
      <c r="X34" s="1816"/>
      <c r="Y34" s="355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55"/>
      <c r="Q35" s="776">
        <f t="shared" si="11"/>
        <v>111</v>
      </c>
      <c r="R35" s="777" t="s">
        <v>17</v>
      </c>
      <c r="S35" s="778">
        <f t="shared" si="12"/>
        <v>100</v>
      </c>
      <c r="T35" s="777" t="s">
        <v>17</v>
      </c>
      <c r="U35" s="778">
        <f t="shared" si="13"/>
        <v>100</v>
      </c>
      <c r="V35" s="777" t="s">
        <v>17</v>
      </c>
      <c r="W35" s="778">
        <f t="shared" si="14"/>
        <v>100</v>
      </c>
      <c r="X35" s="779"/>
      <c r="Y35" s="355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55"/>
      <c r="Q36" s="1813">
        <f t="shared" si="11"/>
        <v>111</v>
      </c>
      <c r="R36" s="774" t="s">
        <v>17</v>
      </c>
      <c r="S36" s="775">
        <f t="shared" si="12"/>
        <v>100</v>
      </c>
      <c r="T36" s="774" t="s">
        <v>17</v>
      </c>
      <c r="U36" s="775">
        <f t="shared" si="13"/>
        <v>100</v>
      </c>
      <c r="V36" s="774" t="s">
        <v>17</v>
      </c>
      <c r="W36" s="775">
        <f t="shared" si="14"/>
        <v>100</v>
      </c>
      <c r="X36" s="1816"/>
      <c r="Y36" s="3555"/>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550" t="str">
        <f>A37</f>
        <v>成交单价</v>
      </c>
      <c r="Q37" s="3550"/>
      <c r="R37" s="3657">
        <f>E37</f>
        <v>0</v>
      </c>
      <c r="S37" s="3657"/>
      <c r="T37" s="3657">
        <f>G37</f>
        <v>0</v>
      </c>
      <c r="U37" s="3657"/>
      <c r="V37" s="3657">
        <f>I37</f>
        <v>0</v>
      </c>
      <c r="W37" s="3657"/>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50" t="str">
        <f>A38</f>
        <v>比较价值（元/平方米）</v>
      </c>
      <c r="Q38" s="3550"/>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544" t="str">
        <f>A39</f>
        <v>估价对象XX用房的比较价值（楼面单价，元/平方米）</v>
      </c>
      <c r="Q39" s="3545"/>
      <c r="R39" s="3656" t="e">
        <f>IF(F1="售价",ROUND(AVERAGE(R38:V38),0),ROUND(AVERAGE(R38:V38),1))</f>
        <v>#DIV/0!</v>
      </c>
      <c r="S39" s="3656"/>
      <c r="T39" s="3656"/>
      <c r="U39" s="3656"/>
      <c r="V39" s="3656"/>
      <c r="W39" s="36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2334</v>
      </c>
      <c r="B2" s="1421" t="e">
        <f ca="1">IF(C2="——",ROUND(C37*D3/10000,0),ROUND(C37*D3/10000,0)-D2)</f>
        <v>#DIV/0!</v>
      </c>
      <c r="C2" s="2593"/>
      <c r="D2" s="1127" t="e">
        <f ca="1">SUMIF(INDIRECT("'"&amp;F2&amp;"'"&amp;"!A:A"),"承租人权益价值",INDIRECT("'"&amp;F2&amp;"'"&amp;"!c:c"))</f>
        <v>#REF!</v>
      </c>
      <c r="E2" s="2594" t="s">
        <v>2335</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8" t="s">
        <v>2652</v>
      </c>
      <c r="AC4" s="3557" t="s">
        <v>2653</v>
      </c>
    </row>
    <row r="5" spans="1:29" ht="15">
      <c r="A5" s="404"/>
      <c r="B5" s="405"/>
      <c r="C5" s="3577" t="s">
        <v>2546</v>
      </c>
      <c r="D5" s="3578"/>
      <c r="E5" s="3584" t="s">
        <v>2547</v>
      </c>
      <c r="F5" s="3585"/>
      <c r="G5" s="3577" t="s">
        <v>2548</v>
      </c>
      <c r="H5" s="3578"/>
      <c r="I5" s="3577" t="s">
        <v>2549</v>
      </c>
      <c r="J5" s="3578"/>
      <c r="K5" s="610"/>
      <c r="L5" s="1133"/>
      <c r="M5" s="1134"/>
      <c r="N5" s="1134"/>
      <c r="O5" s="1134"/>
      <c r="P5" s="3565"/>
      <c r="Q5" s="3566"/>
      <c r="R5" s="3571"/>
      <c r="S5" s="3572"/>
      <c r="T5" s="3571"/>
      <c r="U5" s="3572"/>
      <c r="V5" s="3556"/>
      <c r="W5" s="3556"/>
      <c r="X5" s="1816"/>
      <c r="Y5" s="3571"/>
      <c r="Z5" s="3572"/>
      <c r="AA5" s="3558"/>
      <c r="AB5" s="3558"/>
      <c r="AC5" s="3558"/>
    </row>
    <row r="6" spans="1:29" ht="15.75" thickBot="1">
      <c r="A6" s="406"/>
      <c r="B6" s="407"/>
      <c r="C6" s="3575" t="s">
        <v>2550</v>
      </c>
      <c r="D6" s="3576"/>
      <c r="E6" s="3582" t="s">
        <v>2550</v>
      </c>
      <c r="F6" s="3583"/>
      <c r="G6" s="3575" t="s">
        <v>2550</v>
      </c>
      <c r="H6" s="3576"/>
      <c r="I6" s="3575" t="s">
        <v>2550</v>
      </c>
      <c r="J6" s="3576"/>
      <c r="K6" s="610" t="s">
        <v>2551</v>
      </c>
      <c r="L6" s="1133"/>
      <c r="M6" s="1134"/>
      <c r="N6" s="1134"/>
      <c r="O6" s="1134"/>
      <c r="P6" s="3567"/>
      <c r="Q6" s="3568"/>
      <c r="R6" s="3571"/>
      <c r="S6" s="3572"/>
      <c r="T6" s="3573"/>
      <c r="U6" s="3574"/>
      <c r="V6" s="3556"/>
      <c r="W6" s="3556"/>
      <c r="X6" s="1816"/>
      <c r="Y6" s="3573"/>
      <c r="Z6" s="3574"/>
      <c r="AA6" s="3559"/>
      <c r="AB6" s="3559"/>
      <c r="AC6" s="3559"/>
    </row>
    <row r="7" spans="1:29" s="117" customFormat="1" ht="15.75" thickBot="1">
      <c r="A7" s="408" t="s">
        <v>2552</v>
      </c>
      <c r="B7" s="409"/>
      <c r="C7" s="410">
        <f>'数据-取费表'!B2</f>
        <v>43373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579" t="s">
        <v>2553</v>
      </c>
      <c r="Q7" s="3581"/>
      <c r="R7" s="770" t="s">
        <v>17</v>
      </c>
      <c r="S7" s="771">
        <f t="shared" ref="S7:S14" si="0">F7</f>
        <v>0</v>
      </c>
      <c r="T7" s="770" t="s">
        <v>17</v>
      </c>
      <c r="U7" s="771">
        <f t="shared" ref="U7:U14" si="1">H7</f>
        <v>0</v>
      </c>
      <c r="V7" s="770" t="s">
        <v>17</v>
      </c>
      <c r="W7" s="771">
        <f t="shared" ref="W7:W14" si="2">J7</f>
        <v>0</v>
      </c>
      <c r="X7" s="772"/>
      <c r="Y7" s="3579" t="s">
        <v>2553</v>
      </c>
      <c r="Z7" s="3580"/>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79" t="s">
        <v>2556</v>
      </c>
      <c r="Q8" s="3580"/>
      <c r="R8" s="770" t="s">
        <v>17</v>
      </c>
      <c r="S8" s="771">
        <f t="shared" si="0"/>
        <v>0</v>
      </c>
      <c r="T8" s="770" t="s">
        <v>17</v>
      </c>
      <c r="U8" s="771">
        <f t="shared" si="1"/>
        <v>0</v>
      </c>
      <c r="V8" s="770" t="s">
        <v>17</v>
      </c>
      <c r="W8" s="771">
        <f t="shared" si="2"/>
        <v>0</v>
      </c>
      <c r="X8" s="772"/>
      <c r="Y8" s="3579" t="s">
        <v>2556</v>
      </c>
      <c r="Z8" s="3580"/>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50" t="s">
        <v>2559</v>
      </c>
      <c r="Q9" s="1798" t="str">
        <f t="shared" ref="Q9:Q14" si="6">B9</f>
        <v>用途</v>
      </c>
      <c r="R9" s="770" t="s">
        <v>17</v>
      </c>
      <c r="S9" s="771">
        <f t="shared" si="0"/>
        <v>100</v>
      </c>
      <c r="T9" s="770" t="s">
        <v>17</v>
      </c>
      <c r="U9" s="771">
        <f t="shared" si="1"/>
        <v>100</v>
      </c>
      <c r="V9" s="770" t="s">
        <v>17</v>
      </c>
      <c r="W9" s="771">
        <f t="shared" si="2"/>
        <v>100</v>
      </c>
      <c r="X9" s="772"/>
      <c r="Y9" s="3398"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50"/>
      <c r="Q10" s="1798" t="str">
        <f t="shared" si="6"/>
        <v>土地使用年限（年）</v>
      </c>
      <c r="R10" s="770" t="s">
        <v>17</v>
      </c>
      <c r="S10" s="771">
        <f t="shared" si="0"/>
        <v>100</v>
      </c>
      <c r="T10" s="770" t="s">
        <v>17</v>
      </c>
      <c r="U10" s="771">
        <f t="shared" si="1"/>
        <v>100</v>
      </c>
      <c r="V10" s="770" t="s">
        <v>17</v>
      </c>
      <c r="W10" s="771">
        <f t="shared" si="2"/>
        <v>100</v>
      </c>
      <c r="X10" s="772"/>
      <c r="Y10" s="339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50"/>
      <c r="Q11" s="1798">
        <f t="shared" si="6"/>
        <v>111</v>
      </c>
      <c r="R11" s="770" t="s">
        <v>17</v>
      </c>
      <c r="S11" s="771">
        <f t="shared" si="0"/>
        <v>100</v>
      </c>
      <c r="T11" s="770" t="s">
        <v>17</v>
      </c>
      <c r="U11" s="771">
        <f t="shared" si="1"/>
        <v>100</v>
      </c>
      <c r="V11" s="770" t="s">
        <v>17</v>
      </c>
      <c r="W11" s="771">
        <f t="shared" si="2"/>
        <v>100</v>
      </c>
      <c r="X11" s="772"/>
      <c r="Y11" s="339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50"/>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550"/>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52" t="s">
        <v>2564</v>
      </c>
      <c r="Q14" s="1813" t="str">
        <f t="shared" si="6"/>
        <v>交通便捷度</v>
      </c>
      <c r="R14" s="774" t="s">
        <v>17</v>
      </c>
      <c r="S14" s="775">
        <f t="shared" si="0"/>
        <v>100</v>
      </c>
      <c r="T14" s="774" t="s">
        <v>17</v>
      </c>
      <c r="U14" s="775">
        <f t="shared" si="1"/>
        <v>100</v>
      </c>
      <c r="V14" s="774" t="s">
        <v>17</v>
      </c>
      <c r="W14" s="775">
        <f t="shared" si="2"/>
        <v>100</v>
      </c>
      <c r="X14" s="1816"/>
      <c r="Y14" s="3552"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553"/>
      <c r="Q15" s="1813"/>
      <c r="R15" s="774"/>
      <c r="S15" s="775"/>
      <c r="T15" s="774"/>
      <c r="U15" s="775"/>
      <c r="V15" s="774"/>
      <c r="W15" s="775"/>
      <c r="X15" s="1816"/>
      <c r="Y15" s="3553"/>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53"/>
      <c r="Q16" s="1813" t="str">
        <f>B16</f>
        <v>公共配套设施</v>
      </c>
      <c r="R16" s="774" t="s">
        <v>17</v>
      </c>
      <c r="S16" s="775">
        <f>F16</f>
        <v>100</v>
      </c>
      <c r="T16" s="774" t="s">
        <v>17</v>
      </c>
      <c r="U16" s="775">
        <f>H16</f>
        <v>100</v>
      </c>
      <c r="V16" s="774" t="s">
        <v>17</v>
      </c>
      <c r="W16" s="775">
        <f>J16</f>
        <v>100</v>
      </c>
      <c r="X16" s="1816"/>
      <c r="Y16" s="355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553"/>
      <c r="Q17" s="1813"/>
      <c r="R17" s="774"/>
      <c r="S17" s="775"/>
      <c r="T17" s="774"/>
      <c r="U17" s="775"/>
      <c r="V17" s="774"/>
      <c r="W17" s="775"/>
      <c r="X17" s="1816"/>
      <c r="Y17" s="3553"/>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53"/>
      <c r="Q18" s="1813" t="str">
        <f>B18</f>
        <v>基础设施水平</v>
      </c>
      <c r="R18" s="774" t="s">
        <v>17</v>
      </c>
      <c r="S18" s="775">
        <f>F18</f>
        <v>100</v>
      </c>
      <c r="T18" s="774" t="s">
        <v>17</v>
      </c>
      <c r="U18" s="775">
        <f>H18</f>
        <v>100</v>
      </c>
      <c r="V18" s="774" t="s">
        <v>17</v>
      </c>
      <c r="W18" s="775">
        <f>J18</f>
        <v>100</v>
      </c>
      <c r="X18" s="1816"/>
      <c r="Y18" s="355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553"/>
      <c r="Q19" s="1813"/>
      <c r="R19" s="774"/>
      <c r="S19" s="775"/>
      <c r="T19" s="774"/>
      <c r="U19" s="775"/>
      <c r="V19" s="774"/>
      <c r="W19" s="775"/>
      <c r="X19" s="1816"/>
      <c r="Y19" s="3553"/>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53"/>
      <c r="Q20" s="1813" t="str">
        <f>B20</f>
        <v>自然及人文环境</v>
      </c>
      <c r="R20" s="774" t="s">
        <v>17</v>
      </c>
      <c r="S20" s="775">
        <f>F20</f>
        <v>100</v>
      </c>
      <c r="T20" s="774" t="s">
        <v>17</v>
      </c>
      <c r="U20" s="775">
        <f>H20</f>
        <v>100</v>
      </c>
      <c r="V20" s="774" t="s">
        <v>17</v>
      </c>
      <c r="W20" s="775">
        <f>J20</f>
        <v>100</v>
      </c>
      <c r="X20" s="1816"/>
      <c r="Y20" s="355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553"/>
      <c r="Q21" s="1813"/>
      <c r="R21" s="774"/>
      <c r="S21" s="775"/>
      <c r="T21" s="774"/>
      <c r="U21" s="775"/>
      <c r="V21" s="774"/>
      <c r="W21" s="775"/>
      <c r="X21" s="1816"/>
      <c r="Y21" s="3553"/>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53"/>
      <c r="Q22" s="1813" t="str">
        <f>B22</f>
        <v>楼层</v>
      </c>
      <c r="R22" s="774" t="s">
        <v>17</v>
      </c>
      <c r="S22" s="775">
        <f>F22</f>
        <v>100</v>
      </c>
      <c r="T22" s="774" t="s">
        <v>17</v>
      </c>
      <c r="U22" s="775">
        <f>H22</f>
        <v>100</v>
      </c>
      <c r="V22" s="774" t="s">
        <v>17</v>
      </c>
      <c r="W22" s="775">
        <f>J22</f>
        <v>100</v>
      </c>
      <c r="X22" s="1816"/>
      <c r="Y22" s="355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53"/>
      <c r="Q23" s="1813">
        <f>B23</f>
        <v>111</v>
      </c>
      <c r="R23" s="774" t="s">
        <v>17</v>
      </c>
      <c r="S23" s="775">
        <f>F23</f>
        <v>100</v>
      </c>
      <c r="T23" s="774" t="s">
        <v>17</v>
      </c>
      <c r="U23" s="775">
        <f>H23</f>
        <v>100</v>
      </c>
      <c r="V23" s="774" t="s">
        <v>17</v>
      </c>
      <c r="W23" s="775">
        <f>J23</f>
        <v>100</v>
      </c>
      <c r="X23" s="1816"/>
      <c r="Y23" s="355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53"/>
      <c r="Q24" s="1813">
        <f t="shared" ref="Q24:Q34" si="11">B24</f>
        <v>111</v>
      </c>
      <c r="R24" s="774" t="s">
        <v>17</v>
      </c>
      <c r="S24" s="775">
        <f>F24</f>
        <v>100</v>
      </c>
      <c r="T24" s="774" t="s">
        <v>17</v>
      </c>
      <c r="U24" s="775">
        <f>H24</f>
        <v>100</v>
      </c>
      <c r="V24" s="774" t="s">
        <v>17</v>
      </c>
      <c r="W24" s="775">
        <f>J24</f>
        <v>100</v>
      </c>
      <c r="X24" s="1816"/>
      <c r="Y24" s="355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553"/>
      <c r="Q25" s="1798">
        <f t="shared" si="11"/>
        <v>111</v>
      </c>
      <c r="R25" s="770" t="s">
        <v>17</v>
      </c>
      <c r="S25" s="771">
        <f>F25</f>
        <v>100</v>
      </c>
      <c r="T25" s="770" t="s">
        <v>17</v>
      </c>
      <c r="U25" s="771">
        <f>H25</f>
        <v>100</v>
      </c>
      <c r="V25" s="770" t="s">
        <v>17</v>
      </c>
      <c r="W25" s="771">
        <f>J25</f>
        <v>100</v>
      </c>
      <c r="X25" s="772"/>
      <c r="Y25" s="3553"/>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554"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555"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55"/>
      <c r="Q27" s="776" t="str">
        <f t="shared" si="11"/>
        <v>成新率</v>
      </c>
      <c r="R27" s="777" t="s">
        <v>17</v>
      </c>
      <c r="S27" s="778" t="e">
        <f t="shared" si="12"/>
        <v>#N/A</v>
      </c>
      <c r="T27" s="777" t="s">
        <v>17</v>
      </c>
      <c r="U27" s="778" t="e">
        <f t="shared" si="13"/>
        <v>#N/A</v>
      </c>
      <c r="V27" s="777" t="s">
        <v>17</v>
      </c>
      <c r="W27" s="778" t="e">
        <f t="shared" si="14"/>
        <v>#N/A</v>
      </c>
      <c r="X27" s="779"/>
      <c r="Y27" s="3555"/>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55"/>
      <c r="Q28" s="1813" t="str">
        <f t="shared" si="11"/>
        <v>物业等级</v>
      </c>
      <c r="R28" s="774" t="s">
        <v>17</v>
      </c>
      <c r="S28" s="775">
        <f t="shared" si="12"/>
        <v>100</v>
      </c>
      <c r="T28" s="774" t="s">
        <v>17</v>
      </c>
      <c r="U28" s="775">
        <f t="shared" si="13"/>
        <v>100</v>
      </c>
      <c r="V28" s="774" t="s">
        <v>17</v>
      </c>
      <c r="W28" s="775">
        <f t="shared" si="14"/>
        <v>100</v>
      </c>
      <c r="X28" s="1816"/>
      <c r="Y28" s="3555"/>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55"/>
      <c r="Q29" s="1813" t="str">
        <f t="shared" si="11"/>
        <v>有无电梯</v>
      </c>
      <c r="R29" s="774" t="s">
        <v>17</v>
      </c>
      <c r="S29" s="775">
        <f t="shared" si="12"/>
        <v>100</v>
      </c>
      <c r="T29" s="774" t="s">
        <v>17</v>
      </c>
      <c r="U29" s="775">
        <f t="shared" si="13"/>
        <v>100</v>
      </c>
      <c r="V29" s="774" t="s">
        <v>17</v>
      </c>
      <c r="W29" s="775">
        <f t="shared" si="14"/>
        <v>100</v>
      </c>
      <c r="X29" s="1816"/>
      <c r="Y29" s="3555"/>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55"/>
      <c r="Q30" s="1813" t="str">
        <f t="shared" si="11"/>
        <v>建筑面积</v>
      </c>
      <c r="R30" s="774" t="s">
        <v>17</v>
      </c>
      <c r="S30" s="775" t="e">
        <f t="shared" si="12"/>
        <v>#N/A</v>
      </c>
      <c r="T30" s="774" t="s">
        <v>17</v>
      </c>
      <c r="U30" s="775" t="e">
        <f t="shared" si="13"/>
        <v>#N/A</v>
      </c>
      <c r="V30" s="774" t="s">
        <v>17</v>
      </c>
      <c r="W30" s="775" t="e">
        <f t="shared" si="14"/>
        <v>#N/A</v>
      </c>
      <c r="X30" s="1816"/>
      <c r="Y30" s="3555"/>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55"/>
      <c r="Q31" s="1798" t="str">
        <f t="shared" si="11"/>
        <v>是否封闭</v>
      </c>
      <c r="R31" s="770" t="s">
        <v>17</v>
      </c>
      <c r="S31" s="771">
        <f t="shared" si="12"/>
        <v>100</v>
      </c>
      <c r="T31" s="770" t="s">
        <v>17</v>
      </c>
      <c r="U31" s="771">
        <f t="shared" si="13"/>
        <v>100</v>
      </c>
      <c r="V31" s="770" t="s">
        <v>17</v>
      </c>
      <c r="W31" s="771">
        <f t="shared" si="14"/>
        <v>100</v>
      </c>
      <c r="X31" s="772"/>
      <c r="Y31" s="355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55" t="s">
        <v>2569</v>
      </c>
      <c r="Q32" s="1813">
        <f t="shared" si="11"/>
        <v>111</v>
      </c>
      <c r="R32" s="774" t="s">
        <v>17</v>
      </c>
      <c r="S32" s="775">
        <f t="shared" si="12"/>
        <v>100</v>
      </c>
      <c r="T32" s="774" t="s">
        <v>17</v>
      </c>
      <c r="U32" s="775">
        <f t="shared" si="13"/>
        <v>100</v>
      </c>
      <c r="V32" s="774" t="s">
        <v>17</v>
      </c>
      <c r="W32" s="775">
        <f t="shared" si="14"/>
        <v>100</v>
      </c>
      <c r="X32" s="1816"/>
      <c r="Y32" s="3555"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55"/>
      <c r="Q33" s="1813">
        <f t="shared" si="11"/>
        <v>111</v>
      </c>
      <c r="R33" s="774" t="s">
        <v>17</v>
      </c>
      <c r="S33" s="775">
        <f t="shared" si="12"/>
        <v>100</v>
      </c>
      <c r="T33" s="774" t="s">
        <v>17</v>
      </c>
      <c r="U33" s="775">
        <f t="shared" si="13"/>
        <v>100</v>
      </c>
      <c r="V33" s="774" t="s">
        <v>17</v>
      </c>
      <c r="W33" s="775">
        <f t="shared" si="14"/>
        <v>100</v>
      </c>
      <c r="X33" s="1816"/>
      <c r="Y33" s="3555"/>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555"/>
      <c r="Q34" s="1813">
        <f t="shared" si="11"/>
        <v>111</v>
      </c>
      <c r="R34" s="774" t="s">
        <v>17</v>
      </c>
      <c r="S34" s="775">
        <f t="shared" si="12"/>
        <v>100</v>
      </c>
      <c r="T34" s="774" t="s">
        <v>17</v>
      </c>
      <c r="U34" s="775">
        <f t="shared" si="13"/>
        <v>100</v>
      </c>
      <c r="V34" s="774" t="s">
        <v>17</v>
      </c>
      <c r="W34" s="775">
        <f t="shared" si="14"/>
        <v>100</v>
      </c>
      <c r="X34" s="1816"/>
      <c r="Y34" s="3555"/>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550" t="str">
        <f>A35</f>
        <v>成交单价（元/平方米）</v>
      </c>
      <c r="Q35" s="3550"/>
      <c r="R35" s="3657">
        <f>E35</f>
        <v>0</v>
      </c>
      <c r="S35" s="3657"/>
      <c r="T35" s="3657">
        <f>G35</f>
        <v>0</v>
      </c>
      <c r="U35" s="3657"/>
      <c r="V35" s="3657">
        <f>I35</f>
        <v>0</v>
      </c>
      <c r="W35" s="3657"/>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550" t="str">
        <f>A36</f>
        <v>比较价值（元/平方米）</v>
      </c>
      <c r="Q36" s="3550"/>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544" t="str">
        <f>A37</f>
        <v>估价对象XX用房的比较价值（楼面单价，元/平方米）</v>
      </c>
      <c r="Q37" s="3545"/>
      <c r="R37" s="3656" t="e">
        <f>IF(F1="售价",ROUND(AVERAGE(R36:V36),0),ROUND(AVERAGE(R36:V36),1))</f>
        <v>#DIV/0!</v>
      </c>
      <c r="S37" s="3656"/>
      <c r="T37" s="3656"/>
      <c r="U37" s="3656"/>
      <c r="V37" s="3656"/>
      <c r="W37" s="36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7" sqref="H4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547" t="s">
        <v>2650</v>
      </c>
      <c r="D4" s="3560"/>
      <c r="E4" s="3561" t="s">
        <v>2651</v>
      </c>
      <c r="F4" s="3562"/>
      <c r="G4" s="3547" t="s">
        <v>2652</v>
      </c>
      <c r="H4" s="3560"/>
      <c r="I4" s="3547" t="s">
        <v>2653</v>
      </c>
      <c r="J4" s="3560"/>
      <c r="K4" s="610" t="s">
        <v>2654</v>
      </c>
      <c r="L4" s="1133"/>
      <c r="M4" s="1134"/>
      <c r="N4" s="1134"/>
      <c r="O4" s="1134"/>
      <c r="P4" s="3563" t="s">
        <v>2655</v>
      </c>
      <c r="Q4" s="3564"/>
      <c r="R4" s="3569" t="s">
        <v>2651</v>
      </c>
      <c r="S4" s="3570"/>
      <c r="T4" s="3569" t="s">
        <v>2652</v>
      </c>
      <c r="U4" s="3570"/>
      <c r="V4" s="3556" t="s">
        <v>2653</v>
      </c>
      <c r="W4" s="3556"/>
      <c r="X4" s="1816"/>
      <c r="Y4" s="3569" t="s">
        <v>2655</v>
      </c>
      <c r="Z4" s="3570"/>
      <c r="AA4" s="3557" t="s">
        <v>2651</v>
      </c>
      <c r="AB4" s="3558" t="s">
        <v>2652</v>
      </c>
      <c r="AC4" s="3557" t="s">
        <v>2653</v>
      </c>
    </row>
    <row r="5" spans="1:29" ht="15">
      <c r="A5" s="404"/>
      <c r="B5" s="405"/>
      <c r="C5" s="3577" t="s">
        <v>2546</v>
      </c>
      <c r="D5" s="3578"/>
      <c r="E5" s="3584" t="s">
        <v>2547</v>
      </c>
      <c r="F5" s="3585"/>
      <c r="G5" s="3577" t="s">
        <v>2548</v>
      </c>
      <c r="H5" s="3578"/>
      <c r="I5" s="3577" t="s">
        <v>2549</v>
      </c>
      <c r="J5" s="3578"/>
      <c r="K5" s="610"/>
      <c r="L5" s="1133"/>
      <c r="M5" s="1134"/>
      <c r="N5" s="1134"/>
      <c r="O5" s="1134"/>
      <c r="P5" s="3565"/>
      <c r="Q5" s="3566"/>
      <c r="R5" s="3571"/>
      <c r="S5" s="3572"/>
      <c r="T5" s="3571"/>
      <c r="U5" s="3572"/>
      <c r="V5" s="3556"/>
      <c r="W5" s="3556"/>
      <c r="X5" s="1816"/>
      <c r="Y5" s="3571"/>
      <c r="Z5" s="3572"/>
      <c r="AA5" s="3558"/>
      <c r="AB5" s="3558"/>
      <c r="AC5" s="3558"/>
    </row>
    <row r="6" spans="1:29" ht="15.75" thickBot="1">
      <c r="A6" s="406"/>
      <c r="B6" s="407"/>
      <c r="C6" s="3679" t="s">
        <v>2800</v>
      </c>
      <c r="D6" s="3680"/>
      <c r="E6" s="3681" t="s">
        <v>2800</v>
      </c>
      <c r="F6" s="3682"/>
      <c r="G6" s="3679" t="s">
        <v>2800</v>
      </c>
      <c r="H6" s="3680"/>
      <c r="I6" s="3679" t="s">
        <v>2800</v>
      </c>
      <c r="J6" s="3680"/>
      <c r="K6" s="610" t="s">
        <v>2551</v>
      </c>
      <c r="L6" s="1133"/>
      <c r="M6" s="1134"/>
      <c r="N6" s="1134"/>
      <c r="O6" s="1134"/>
      <c r="P6" s="3567"/>
      <c r="Q6" s="3568"/>
      <c r="R6" s="3571"/>
      <c r="S6" s="3572"/>
      <c r="T6" s="3573"/>
      <c r="U6" s="3574"/>
      <c r="V6" s="3556"/>
      <c r="W6" s="3556"/>
      <c r="X6" s="1816"/>
      <c r="Y6" s="3573"/>
      <c r="Z6" s="3574"/>
      <c r="AA6" s="3559"/>
      <c r="AB6" s="3559"/>
      <c r="AC6" s="3559"/>
    </row>
    <row r="7" spans="1:29" s="117" customFormat="1" ht="15.75" thickBot="1">
      <c r="A7" s="408" t="s">
        <v>2552</v>
      </c>
      <c r="B7" s="409"/>
      <c r="C7" s="410">
        <f>'数据-取费表'!B2</f>
        <v>43373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579" t="s">
        <v>2553</v>
      </c>
      <c r="Q7" s="3581"/>
      <c r="R7" s="770" t="s">
        <v>17</v>
      </c>
      <c r="S7" s="771">
        <f t="shared" ref="S7:S15" si="0">F7</f>
        <v>0</v>
      </c>
      <c r="T7" s="770" t="s">
        <v>17</v>
      </c>
      <c r="U7" s="771">
        <f t="shared" ref="U7:U15" si="1">H7</f>
        <v>0</v>
      </c>
      <c r="V7" s="770" t="s">
        <v>17</v>
      </c>
      <c r="W7" s="771">
        <f t="shared" ref="W7:W15" si="2">J7</f>
        <v>0</v>
      </c>
      <c r="X7" s="772"/>
      <c r="Y7" s="3579" t="s">
        <v>2553</v>
      </c>
      <c r="Z7" s="3580"/>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579" t="s">
        <v>2556</v>
      </c>
      <c r="Q8" s="3580"/>
      <c r="R8" s="770" t="s">
        <v>17</v>
      </c>
      <c r="S8" s="771">
        <f t="shared" si="0"/>
        <v>0</v>
      </c>
      <c r="T8" s="770" t="s">
        <v>17</v>
      </c>
      <c r="U8" s="771">
        <f t="shared" si="1"/>
        <v>0</v>
      </c>
      <c r="V8" s="770" t="s">
        <v>17</v>
      </c>
      <c r="W8" s="771">
        <f t="shared" si="2"/>
        <v>0</v>
      </c>
      <c r="X8" s="772"/>
      <c r="Y8" s="3579" t="s">
        <v>2556</v>
      </c>
      <c r="Z8" s="3580"/>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550" t="s">
        <v>2559</v>
      </c>
      <c r="Q9" s="1798" t="str">
        <f t="shared" ref="Q9:Q15" si="6">B9</f>
        <v>用途</v>
      </c>
      <c r="R9" s="770" t="s">
        <v>17</v>
      </c>
      <c r="S9" s="771">
        <f t="shared" si="0"/>
        <v>100</v>
      </c>
      <c r="T9" s="770" t="s">
        <v>17</v>
      </c>
      <c r="U9" s="771">
        <f t="shared" si="1"/>
        <v>100</v>
      </c>
      <c r="V9" s="770" t="s">
        <v>17</v>
      </c>
      <c r="W9" s="771">
        <f t="shared" si="2"/>
        <v>100</v>
      </c>
      <c r="X9" s="772"/>
      <c r="Y9" s="3398"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550"/>
      <c r="Q10" s="1798" t="str">
        <f t="shared" si="6"/>
        <v>土地使用年限（年）</v>
      </c>
      <c r="R10" s="770" t="s">
        <v>17</v>
      </c>
      <c r="S10" s="771">
        <f t="shared" si="0"/>
        <v>101</v>
      </c>
      <c r="T10" s="770" t="s">
        <v>17</v>
      </c>
      <c r="U10" s="771">
        <f t="shared" si="1"/>
        <v>101</v>
      </c>
      <c r="V10" s="770" t="s">
        <v>17</v>
      </c>
      <c r="W10" s="771">
        <f t="shared" si="2"/>
        <v>101</v>
      </c>
      <c r="X10" s="772"/>
      <c r="Y10" s="3398"/>
      <c r="Z10" s="55" t="str">
        <f t="shared" si="7"/>
        <v>土地使用年限（年）</v>
      </c>
      <c r="AA10" s="773">
        <f t="shared" si="3"/>
        <v>0.99009900990099009</v>
      </c>
      <c r="AB10" s="773">
        <f t="shared" si="4"/>
        <v>0.99009900990099009</v>
      </c>
      <c r="AC10" s="773">
        <f t="shared" si="5"/>
        <v>0.99009900990099009</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50"/>
      <c r="Q11" s="1798" t="str">
        <f t="shared" si="6"/>
        <v>容积率</v>
      </c>
      <c r="R11" s="770" t="s">
        <v>17</v>
      </c>
      <c r="S11" s="771" t="e">
        <f t="shared" si="0"/>
        <v>#N/A</v>
      </c>
      <c r="T11" s="770" t="s">
        <v>17</v>
      </c>
      <c r="U11" s="771" t="e">
        <f t="shared" si="1"/>
        <v>#N/A</v>
      </c>
      <c r="V11" s="770" t="s">
        <v>17</v>
      </c>
      <c r="W11" s="771" t="e">
        <f t="shared" si="2"/>
        <v>#N/A</v>
      </c>
      <c r="X11" s="772"/>
      <c r="Y11" s="339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50"/>
      <c r="Q12" s="1798">
        <f t="shared" si="6"/>
        <v>111</v>
      </c>
      <c r="R12" s="770" t="s">
        <v>17</v>
      </c>
      <c r="S12" s="771">
        <f t="shared" si="0"/>
        <v>100</v>
      </c>
      <c r="T12" s="770" t="s">
        <v>17</v>
      </c>
      <c r="U12" s="771">
        <f t="shared" si="1"/>
        <v>100</v>
      </c>
      <c r="V12" s="770" t="s">
        <v>17</v>
      </c>
      <c r="W12" s="771">
        <f t="shared" si="2"/>
        <v>100</v>
      </c>
      <c r="X12" s="772"/>
      <c r="Y12" s="339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50"/>
      <c r="Q13" s="1798">
        <f t="shared" si="6"/>
        <v>111</v>
      </c>
      <c r="R13" s="770" t="s">
        <v>17</v>
      </c>
      <c r="S13" s="771">
        <f t="shared" si="0"/>
        <v>100</v>
      </c>
      <c r="T13" s="770" t="s">
        <v>17</v>
      </c>
      <c r="U13" s="771">
        <f t="shared" si="1"/>
        <v>100</v>
      </c>
      <c r="V13" s="770" t="s">
        <v>17</v>
      </c>
      <c r="W13" s="771">
        <f t="shared" si="2"/>
        <v>100</v>
      </c>
      <c r="X13" s="772"/>
      <c r="Y13" s="339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50"/>
      <c r="Q14" s="1798">
        <f t="shared" si="6"/>
        <v>111</v>
      </c>
      <c r="R14" s="770" t="s">
        <v>17</v>
      </c>
      <c r="S14" s="771">
        <f t="shared" si="0"/>
        <v>100</v>
      </c>
      <c r="T14" s="770" t="s">
        <v>17</v>
      </c>
      <c r="U14" s="771">
        <f t="shared" si="1"/>
        <v>100</v>
      </c>
      <c r="V14" s="770" t="s">
        <v>17</v>
      </c>
      <c r="W14" s="771">
        <f t="shared" si="2"/>
        <v>100</v>
      </c>
      <c r="X14" s="772"/>
      <c r="Y14" s="3398"/>
      <c r="Z14" s="55">
        <f t="shared" si="7"/>
        <v>111</v>
      </c>
      <c r="AA14" s="773">
        <f t="shared" si="3"/>
        <v>1</v>
      </c>
      <c r="AB14" s="773">
        <f t="shared" si="4"/>
        <v>1</v>
      </c>
      <c r="AC14" s="773">
        <f t="shared" si="5"/>
        <v>1</v>
      </c>
    </row>
    <row r="15" spans="1:29" ht="57">
      <c r="A15" s="440" t="s">
        <v>2563</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52" t="s">
        <v>2564</v>
      </c>
      <c r="Q15" s="1813" t="str">
        <f t="shared" si="6"/>
        <v>产业集聚程度</v>
      </c>
      <c r="R15" s="774" t="s">
        <v>17</v>
      </c>
      <c r="S15" s="775">
        <f t="shared" si="0"/>
        <v>100</v>
      </c>
      <c r="T15" s="774" t="s">
        <v>17</v>
      </c>
      <c r="U15" s="775">
        <f t="shared" si="1"/>
        <v>100</v>
      </c>
      <c r="V15" s="774" t="s">
        <v>17</v>
      </c>
      <c r="W15" s="775">
        <f t="shared" si="2"/>
        <v>100</v>
      </c>
      <c r="X15" s="1816"/>
      <c r="Y15" s="3552"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553"/>
      <c r="Q16" s="1813"/>
      <c r="R16" s="774"/>
      <c r="S16" s="775"/>
      <c r="T16" s="774"/>
      <c r="U16" s="775"/>
      <c r="V16" s="774"/>
      <c r="W16" s="775"/>
      <c r="X16" s="1816"/>
      <c r="Y16" s="3553"/>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53"/>
      <c r="Q17" s="1813" t="str">
        <f>B17</f>
        <v>交通便捷度</v>
      </c>
      <c r="R17" s="774" t="s">
        <v>17</v>
      </c>
      <c r="S17" s="775">
        <f>F17</f>
        <v>100</v>
      </c>
      <c r="T17" s="774" t="s">
        <v>17</v>
      </c>
      <c r="U17" s="775">
        <f>H17</f>
        <v>100</v>
      </c>
      <c r="V17" s="774" t="s">
        <v>17</v>
      </c>
      <c r="W17" s="775">
        <f>J17</f>
        <v>100</v>
      </c>
      <c r="X17" s="1816"/>
      <c r="Y17" s="355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553"/>
      <c r="Q18" s="1813"/>
      <c r="R18" s="774"/>
      <c r="S18" s="775"/>
      <c r="T18" s="774"/>
      <c r="U18" s="775"/>
      <c r="V18" s="774"/>
      <c r="W18" s="775"/>
      <c r="X18" s="1816"/>
      <c r="Y18" s="3553"/>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53"/>
      <c r="Q19" s="1813" t="str">
        <f t="shared" ref="Q19:Q33" si="8">B19</f>
        <v>区域土地利用方向</v>
      </c>
      <c r="R19" s="774" t="s">
        <v>17</v>
      </c>
      <c r="S19" s="775">
        <f>F19</f>
        <v>100</v>
      </c>
      <c r="T19" s="774" t="s">
        <v>17</v>
      </c>
      <c r="U19" s="775">
        <f>H19</f>
        <v>100</v>
      </c>
      <c r="V19" s="774" t="s">
        <v>17</v>
      </c>
      <c r="W19" s="775">
        <f>J19</f>
        <v>100</v>
      </c>
      <c r="X19" s="1816"/>
      <c r="Y19" s="355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553"/>
      <c r="Q20" s="1813"/>
      <c r="R20" s="774"/>
      <c r="S20" s="775"/>
      <c r="T20" s="774"/>
      <c r="U20" s="775"/>
      <c r="V20" s="774"/>
      <c r="W20" s="775"/>
      <c r="X20" s="1816"/>
      <c r="Y20" s="3553"/>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53"/>
      <c r="Q21" s="1813" t="str">
        <f t="shared" si="8"/>
        <v>环境状况</v>
      </c>
      <c r="R21" s="774" t="s">
        <v>17</v>
      </c>
      <c r="S21" s="775">
        <f>F21</f>
        <v>100</v>
      </c>
      <c r="T21" s="774" t="s">
        <v>17</v>
      </c>
      <c r="U21" s="775">
        <f>H21</f>
        <v>100</v>
      </c>
      <c r="V21" s="774" t="s">
        <v>17</v>
      </c>
      <c r="W21" s="775">
        <f>J21</f>
        <v>100</v>
      </c>
      <c r="X21" s="1816"/>
      <c r="Y21" s="355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553"/>
      <c r="Q22" s="1813"/>
      <c r="R22" s="774"/>
      <c r="S22" s="775"/>
      <c r="T22" s="774"/>
      <c r="U22" s="775"/>
      <c r="V22" s="774"/>
      <c r="W22" s="775"/>
      <c r="X22" s="1816"/>
      <c r="Y22" s="3553"/>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53"/>
      <c r="Q23" s="1798" t="str">
        <f t="shared" si="8"/>
        <v>公共配套设施</v>
      </c>
      <c r="R23" s="770" t="s">
        <v>17</v>
      </c>
      <c r="S23" s="771">
        <f>F23</f>
        <v>100</v>
      </c>
      <c r="T23" s="770" t="s">
        <v>17</v>
      </c>
      <c r="U23" s="771">
        <f>H23</f>
        <v>100</v>
      </c>
      <c r="V23" s="770" t="s">
        <v>17</v>
      </c>
      <c r="W23" s="771">
        <f>J23</f>
        <v>100</v>
      </c>
      <c r="X23" s="772"/>
      <c r="Y23" s="355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553"/>
      <c r="Q24" s="1798"/>
      <c r="R24" s="770"/>
      <c r="S24" s="771"/>
      <c r="T24" s="770"/>
      <c r="U24" s="771"/>
      <c r="V24" s="770"/>
      <c r="W24" s="771"/>
      <c r="X24" s="772"/>
      <c r="Y24" s="3553"/>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53"/>
      <c r="Q25" s="1798" t="str">
        <f t="shared" ref="Q25" si="9">B25</f>
        <v>基础设施水平</v>
      </c>
      <c r="R25" s="770" t="s">
        <v>17</v>
      </c>
      <c r="S25" s="771">
        <f>F25</f>
        <v>100</v>
      </c>
      <c r="T25" s="770" t="s">
        <v>17</v>
      </c>
      <c r="U25" s="771">
        <f>H25</f>
        <v>100</v>
      </c>
      <c r="V25" s="770" t="s">
        <v>17</v>
      </c>
      <c r="W25" s="771">
        <f>J25</f>
        <v>100</v>
      </c>
      <c r="X25" s="772"/>
      <c r="Y25" s="355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553"/>
      <c r="Q26" s="1798"/>
      <c r="R26" s="770"/>
      <c r="S26" s="771"/>
      <c r="T26" s="770"/>
      <c r="U26" s="771"/>
      <c r="V26" s="770"/>
      <c r="W26" s="771"/>
      <c r="X26" s="772"/>
      <c r="Y26" s="355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5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553"/>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53"/>
      <c r="Q28" s="1813" t="str">
        <f t="shared" si="8"/>
        <v>毗邻道路的类型与等级</v>
      </c>
      <c r="R28" s="774" t="s">
        <v>17</v>
      </c>
      <c r="S28" s="775">
        <f t="shared" si="10"/>
        <v>100</v>
      </c>
      <c r="T28" s="774" t="s">
        <v>17</v>
      </c>
      <c r="U28" s="775">
        <f t="shared" si="11"/>
        <v>100</v>
      </c>
      <c r="V28" s="774" t="s">
        <v>17</v>
      </c>
      <c r="W28" s="775">
        <f t="shared" si="12"/>
        <v>100</v>
      </c>
      <c r="X28" s="1816"/>
      <c r="Y28" s="355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553"/>
      <c r="Q29" s="1813"/>
      <c r="R29" s="774"/>
      <c r="S29" s="775"/>
      <c r="T29" s="774"/>
      <c r="U29" s="775"/>
      <c r="V29" s="774"/>
      <c r="W29" s="775"/>
      <c r="X29" s="1816"/>
      <c r="Y29" s="3553"/>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53"/>
      <c r="Q30" s="1813" t="str">
        <f t="shared" si="8"/>
        <v>土地级别</v>
      </c>
      <c r="R30" s="774" t="s">
        <v>17</v>
      </c>
      <c r="S30" s="775">
        <f t="shared" si="10"/>
        <v>100</v>
      </c>
      <c r="T30" s="774" t="s">
        <v>17</v>
      </c>
      <c r="U30" s="775">
        <f t="shared" si="11"/>
        <v>100</v>
      </c>
      <c r="V30" s="774" t="s">
        <v>17</v>
      </c>
      <c r="W30" s="775">
        <f t="shared" si="12"/>
        <v>100</v>
      </c>
      <c r="X30" s="1816"/>
      <c r="Y30" s="355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53"/>
      <c r="Q31" s="1813">
        <f t="shared" si="8"/>
        <v>111</v>
      </c>
      <c r="R31" s="774" t="s">
        <v>17</v>
      </c>
      <c r="S31" s="775">
        <f t="shared" si="10"/>
        <v>100</v>
      </c>
      <c r="T31" s="774" t="s">
        <v>17</v>
      </c>
      <c r="U31" s="775">
        <f t="shared" si="11"/>
        <v>100</v>
      </c>
      <c r="V31" s="774" t="s">
        <v>17</v>
      </c>
      <c r="W31" s="775">
        <f t="shared" si="12"/>
        <v>100</v>
      </c>
      <c r="X31" s="1816"/>
      <c r="Y31" s="355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54" t="s">
        <v>2569</v>
      </c>
      <c r="Q32" s="1813">
        <f t="shared" si="8"/>
        <v>111</v>
      </c>
      <c r="R32" s="774" t="s">
        <v>17</v>
      </c>
      <c r="S32" s="775">
        <f t="shared" si="10"/>
        <v>100</v>
      </c>
      <c r="T32" s="774" t="s">
        <v>17</v>
      </c>
      <c r="U32" s="775">
        <f t="shared" si="11"/>
        <v>100</v>
      </c>
      <c r="V32" s="774" t="s">
        <v>17</v>
      </c>
      <c r="W32" s="775">
        <f t="shared" si="12"/>
        <v>100</v>
      </c>
      <c r="X32" s="1816"/>
      <c r="Y32" s="3555"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55"/>
      <c r="Q33" s="1813">
        <f t="shared" si="8"/>
        <v>111</v>
      </c>
      <c r="R33" s="777" t="s">
        <v>17</v>
      </c>
      <c r="S33" s="778">
        <f t="shared" si="10"/>
        <v>100</v>
      </c>
      <c r="T33" s="777" t="s">
        <v>17</v>
      </c>
      <c r="U33" s="778">
        <f t="shared" si="11"/>
        <v>100</v>
      </c>
      <c r="V33" s="777" t="s">
        <v>17</v>
      </c>
      <c r="W33" s="778">
        <f t="shared" si="12"/>
        <v>100</v>
      </c>
      <c r="X33" s="779"/>
      <c r="Y33" s="3555"/>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55"/>
      <c r="Q34" s="1813" t="str">
        <f>B34</f>
        <v>宗地面积</v>
      </c>
      <c r="R34" s="774" t="s">
        <v>17</v>
      </c>
      <c r="S34" s="775" t="e">
        <f t="shared" si="10"/>
        <v>#N/A</v>
      </c>
      <c r="T34" s="774" t="s">
        <v>17</v>
      </c>
      <c r="U34" s="775" t="e">
        <f t="shared" si="11"/>
        <v>#N/A</v>
      </c>
      <c r="V34" s="774" t="s">
        <v>17</v>
      </c>
      <c r="W34" s="775" t="e">
        <f t="shared" si="12"/>
        <v>#N/A</v>
      </c>
      <c r="X34" s="1816"/>
      <c r="Y34" s="3555"/>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555"/>
      <c r="Q35" s="1813" t="str">
        <f t="shared" ref="Q35:Q40" si="14">B35</f>
        <v>宗地形状</v>
      </c>
      <c r="R35" s="774" t="s">
        <v>17</v>
      </c>
      <c r="S35" s="775">
        <f t="shared" si="10"/>
        <v>100</v>
      </c>
      <c r="T35" s="774" t="s">
        <v>17</v>
      </c>
      <c r="U35" s="775">
        <f t="shared" si="11"/>
        <v>100</v>
      </c>
      <c r="V35" s="774" t="s">
        <v>17</v>
      </c>
      <c r="W35" s="775">
        <f t="shared" si="12"/>
        <v>100</v>
      </c>
      <c r="X35" s="1816"/>
      <c r="Y35" s="3555"/>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555"/>
      <c r="Q36" s="1813" t="str">
        <f t="shared" si="14"/>
        <v>宗地开发程度</v>
      </c>
      <c r="R36" s="770" t="s">
        <v>17</v>
      </c>
      <c r="S36" s="771">
        <f t="shared" si="10"/>
        <v>100</v>
      </c>
      <c r="T36" s="770" t="s">
        <v>17</v>
      </c>
      <c r="U36" s="771">
        <f t="shared" si="11"/>
        <v>100</v>
      </c>
      <c r="V36" s="770" t="s">
        <v>17</v>
      </c>
      <c r="W36" s="771">
        <f t="shared" si="12"/>
        <v>100</v>
      </c>
      <c r="X36" s="772"/>
      <c r="Y36" s="3555"/>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555" t="s">
        <v>2569</v>
      </c>
      <c r="Q37" s="1813" t="str">
        <f t="shared" si="14"/>
        <v>工程地质条件</v>
      </c>
      <c r="R37" s="774" t="s">
        <v>17</v>
      </c>
      <c r="S37" s="775">
        <f t="shared" si="10"/>
        <v>100</v>
      </c>
      <c r="T37" s="774" t="s">
        <v>17</v>
      </c>
      <c r="U37" s="775">
        <f t="shared" si="11"/>
        <v>100</v>
      </c>
      <c r="V37" s="774" t="s">
        <v>17</v>
      </c>
      <c r="W37" s="775">
        <f t="shared" si="12"/>
        <v>100</v>
      </c>
      <c r="X37" s="1816"/>
      <c r="Y37" s="3555"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55"/>
      <c r="Q38" s="1813">
        <f t="shared" si="14"/>
        <v>111</v>
      </c>
      <c r="R38" s="774" t="s">
        <v>17</v>
      </c>
      <c r="S38" s="775">
        <f t="shared" si="10"/>
        <v>100</v>
      </c>
      <c r="T38" s="774" t="s">
        <v>17</v>
      </c>
      <c r="U38" s="775">
        <f t="shared" si="11"/>
        <v>100</v>
      </c>
      <c r="V38" s="774" t="s">
        <v>17</v>
      </c>
      <c r="W38" s="775">
        <f t="shared" si="12"/>
        <v>100</v>
      </c>
      <c r="X38" s="1816"/>
      <c r="Y38" s="355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55"/>
      <c r="Q39" s="1813">
        <f t="shared" si="14"/>
        <v>111</v>
      </c>
      <c r="R39" s="774" t="s">
        <v>17</v>
      </c>
      <c r="S39" s="775">
        <f t="shared" si="10"/>
        <v>100</v>
      </c>
      <c r="T39" s="774" t="s">
        <v>17</v>
      </c>
      <c r="U39" s="775">
        <f t="shared" si="11"/>
        <v>100</v>
      </c>
      <c r="V39" s="774" t="s">
        <v>17</v>
      </c>
      <c r="W39" s="775">
        <f t="shared" si="12"/>
        <v>100</v>
      </c>
      <c r="X39" s="1816"/>
      <c r="Y39" s="3555"/>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55"/>
      <c r="Q40" s="1813">
        <f t="shared" si="14"/>
        <v>111</v>
      </c>
      <c r="R40" s="777" t="s">
        <v>17</v>
      </c>
      <c r="S40" s="778">
        <f t="shared" si="10"/>
        <v>100</v>
      </c>
      <c r="T40" s="777" t="s">
        <v>17</v>
      </c>
      <c r="U40" s="778">
        <f t="shared" si="11"/>
        <v>100</v>
      </c>
      <c r="V40" s="777" t="s">
        <v>17</v>
      </c>
      <c r="W40" s="778">
        <f t="shared" si="12"/>
        <v>100</v>
      </c>
      <c r="X40" s="779"/>
      <c r="Y40" s="3555"/>
      <c r="Z40" s="780">
        <f t="shared" si="13"/>
        <v>111</v>
      </c>
      <c r="AA40" s="1814">
        <f t="shared" si="3"/>
        <v>1</v>
      </c>
      <c r="AB40" s="1814">
        <f t="shared" si="4"/>
        <v>1</v>
      </c>
      <c r="AC40" s="1814">
        <f t="shared" si="5"/>
        <v>1</v>
      </c>
    </row>
    <row r="41" spans="1:29" ht="15">
      <c r="A41" s="479" t="s">
        <v>2724</v>
      </c>
      <c r="B41" s="2711" t="s">
        <v>2803</v>
      </c>
      <c r="C41" s="682" t="s">
        <v>1</v>
      </c>
      <c r="D41" s="481"/>
      <c r="E41" s="482"/>
      <c r="F41" s="483"/>
      <c r="G41" s="484"/>
      <c r="H41" s="485"/>
      <c r="I41" s="482"/>
      <c r="J41" s="485"/>
      <c r="K41" s="783"/>
      <c r="L41" s="1146"/>
      <c r="M41" s="1134"/>
      <c r="N41" s="1134"/>
      <c r="O41" s="1147"/>
      <c r="P41" s="3550" t="str">
        <f>A41</f>
        <v>成交单价</v>
      </c>
      <c r="Q41" s="3550"/>
      <c r="R41" s="3556">
        <f>E41</f>
        <v>0</v>
      </c>
      <c r="S41" s="3556"/>
      <c r="T41" s="3556">
        <f>G41</f>
        <v>0</v>
      </c>
      <c r="U41" s="3556"/>
      <c r="V41" s="3556">
        <f>I41</f>
        <v>0</v>
      </c>
      <c r="W41" s="3556"/>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550" t="str">
        <f>A42</f>
        <v>比较价值（元/平方米）</v>
      </c>
      <c r="Q42" s="3550"/>
      <c r="R42" s="3543" t="e">
        <f>ROUND(PRODUCT(R41,AA7:AA40),0)</f>
        <v>#DIV/0!</v>
      </c>
      <c r="S42" s="3543"/>
      <c r="T42" s="3543" t="e">
        <f>ROUND(PRODUCT(T41,AB7:AB40),0)</f>
        <v>#DIV/0!</v>
      </c>
      <c r="U42" s="3543"/>
      <c r="V42" s="3543" t="e">
        <f>ROUND(PRODUCT(V41,AC7:AC40),0)</f>
        <v>#DIV/0!</v>
      </c>
      <c r="W42" s="3543"/>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544" t="str">
        <f>A43</f>
        <v>估价对象XX用房的比较价值（楼面单价，元/平方米）</v>
      </c>
      <c r="Q43" s="3545"/>
      <c r="R43" s="3546" t="e">
        <f>ROUND(AVERAGE(R42:V42),0)</f>
        <v>#DIV/0!</v>
      </c>
      <c r="S43" s="3546"/>
      <c r="T43" s="3546"/>
      <c r="U43" s="3546"/>
      <c r="V43" s="3546"/>
      <c r="W43" s="354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547" t="s">
        <v>2767</v>
      </c>
      <c r="H50" s="3548"/>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21264.71</v>
      </c>
      <c r="F51" s="691" t="e">
        <f t="shared" ref="F51:F60" si="15">ROUND(B51*E51/10000,0)</f>
        <v>#DIV/0!</v>
      </c>
      <c r="G51" s="3549"/>
      <c r="H51" s="3550"/>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551"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551"/>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551"/>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551"/>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591.26</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4098.78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3" t="s">
        <v>2805</v>
      </c>
      <c r="B66" s="332" t="str">
        <f>"北京市平均增长率"&amp;TEXT(基准地价修正!P24,"0.00%")</f>
        <v>北京市平均增长率1.50%</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H47" sqref="H47"/>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0</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8" t="s">
        <v>2816</v>
      </c>
      <c r="D2" s="2729" t="s">
        <v>2817</v>
      </c>
      <c r="E2" s="2730"/>
      <c r="F2" s="2729" t="s">
        <v>2818</v>
      </c>
      <c r="G2" s="2731">
        <f>IF(E2="商业",项目基本情况!B37,IF(E2="办公",项目基本情况!C37,IF(E2="住宅",项目基本情况!D37,项目基本情况!E37)))</f>
        <v>0</v>
      </c>
      <c r="H2" s="2729" t="s">
        <v>2819</v>
      </c>
      <c r="I2" s="2731">
        <f>IF(E2="商业",项目基本情况!B38,IF(E2="办公",项目基本情况!C38,IF(E2="住宅",项目基本情况!D38,项目基本情况!E38)))</f>
        <v>0</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8" t="s">
        <v>2822</v>
      </c>
      <c r="D3" s="2729" t="s">
        <v>2823</v>
      </c>
      <c r="E3" s="2734"/>
      <c r="F3" s="2735" t="s">
        <v>2824</v>
      </c>
      <c r="G3" s="916">
        <f>IF(F3="宗地容积率",'数据-汇总表'!I4,IF(F3="估价对象容积率",'数据-汇总表'!I6,'数据-汇总表'!I7))</f>
        <v>5.19</v>
      </c>
      <c r="H3" s="198" t="s">
        <v>2825</v>
      </c>
      <c r="I3" s="947"/>
      <c r="J3" s="2732" t="s">
        <v>2826</v>
      </c>
      <c r="K3" s="1373"/>
      <c r="L3" s="2733"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686"/>
      <c r="B4" s="3687"/>
      <c r="C4" s="3687"/>
      <c r="D4" s="3688"/>
      <c r="E4" s="3688"/>
      <c r="F4" s="3688"/>
      <c r="G4" s="3688"/>
      <c r="H4" s="3688"/>
      <c r="I4" s="3688"/>
      <c r="J4" s="3689"/>
      <c r="K4" s="1373"/>
      <c r="L4" s="2733"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2829</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2831</v>
      </c>
      <c r="B6" s="2747" t="s">
        <v>2832</v>
      </c>
      <c r="C6" s="918">
        <f>SUMIF(L1:L12,G2,M1:M12)</f>
        <v>0</v>
      </c>
      <c r="D6" s="2748" t="s">
        <v>2833</v>
      </c>
      <c r="E6" s="2749"/>
      <c r="F6" s="2749"/>
      <c r="G6" s="2750"/>
      <c r="H6" s="2750"/>
      <c r="I6" s="2750"/>
      <c r="J6" s="2751"/>
      <c r="K6" s="1845"/>
      <c r="L6" s="2733"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690" t="str">
        <f>IF(E2="商业",IF(C8="不临58条商业街","",2),"")</f>
        <v/>
      </c>
      <c r="B7" s="2752" t="s">
        <v>2835</v>
      </c>
      <c r="C7" s="919" t="e">
        <f>IF(C8="不临58条商业街",1,ROUND(1+(1.6*E8+1.2*E9+0.8*E10+0.4*E11)*C9,4))</f>
        <v>#DIV/0!</v>
      </c>
      <c r="D7" s="2753" t="s">
        <v>2836</v>
      </c>
      <c r="E7" s="948"/>
      <c r="F7" s="2754"/>
      <c r="G7" s="2755"/>
      <c r="H7" s="2755"/>
      <c r="I7" s="2755"/>
      <c r="J7" s="2756"/>
      <c r="K7" s="1845"/>
      <c r="L7" s="2733"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5.19</v>
      </c>
      <c r="AA7" s="1609"/>
      <c r="AB7" s="1609"/>
      <c r="AC7" s="1610"/>
      <c r="AD7" s="1611"/>
      <c r="AE7" s="1611"/>
      <c r="AF7" s="1611"/>
      <c r="AG7" s="1611"/>
      <c r="AH7" s="1611"/>
      <c r="AI7" s="1611"/>
      <c r="AJ7" s="1612"/>
    </row>
    <row r="8" spans="1:36" ht="15">
      <c r="A8" s="3691"/>
      <c r="B8" s="198" t="s">
        <v>2840</v>
      </c>
      <c r="C8" s="2757"/>
      <c r="D8" s="920" t="s">
        <v>139</v>
      </c>
      <c r="E8" s="921" t="e">
        <f>ROUND(C11/E7,4)</f>
        <v>#DIV/0!</v>
      </c>
      <c r="F8" s="2758" t="s">
        <v>2841</v>
      </c>
      <c r="G8" s="2759"/>
      <c r="H8" s="2759"/>
      <c r="I8" s="2759"/>
      <c r="J8" s="2760"/>
      <c r="K8" s="1373"/>
      <c r="L8" s="2733"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683" t="s">
        <v>2843</v>
      </c>
      <c r="X8" s="3684"/>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691"/>
      <c r="B9" s="198" t="s">
        <v>2856</v>
      </c>
      <c r="C9" s="922">
        <f>SUMIF(修正!C59:C119,C8,修正!E59:E119)</f>
        <v>0</v>
      </c>
      <c r="D9" s="200" t="s">
        <v>140</v>
      </c>
      <c r="E9" s="200" t="e">
        <f>ROUND(C11/E7,4)</f>
        <v>#DIV/0!</v>
      </c>
      <c r="F9" s="2758" t="s">
        <v>2857</v>
      </c>
      <c r="G9" s="2759"/>
      <c r="H9" s="2759"/>
      <c r="I9" s="2759"/>
      <c r="J9" s="2760"/>
      <c r="K9" s="1373"/>
      <c r="L9" s="2733"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685"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691"/>
      <c r="B10" s="198" t="s">
        <v>2861</v>
      </c>
      <c r="C10" s="200">
        <f>SUMIF(修正!C59:C119,C8,修正!F59:F119)</f>
        <v>0</v>
      </c>
      <c r="D10" s="200" t="s">
        <v>141</v>
      </c>
      <c r="E10" s="200" t="e">
        <f>ROUND(C11/E7,4)</f>
        <v>#DIV/0!</v>
      </c>
      <c r="F10" s="2758" t="s">
        <v>2862</v>
      </c>
      <c r="G10" s="2759"/>
      <c r="H10" s="2759"/>
      <c r="I10" s="2759"/>
      <c r="J10" s="2760"/>
      <c r="K10" s="1373"/>
      <c r="L10" s="2733"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68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691"/>
      <c r="B11" s="2761" t="s">
        <v>2864</v>
      </c>
      <c r="C11" s="923">
        <f>C10/4</f>
        <v>0</v>
      </c>
      <c r="D11" s="923" t="s">
        <v>142</v>
      </c>
      <c r="E11" s="923" t="e">
        <f>ROUND(C11/E7,4)</f>
        <v>#DIV/0!</v>
      </c>
      <c r="F11" s="2762" t="s">
        <v>2865</v>
      </c>
      <c r="G11" s="2763"/>
      <c r="H11" s="2763"/>
      <c r="I11" s="2763"/>
      <c r="J11" s="2764"/>
      <c r="K11" s="1373"/>
      <c r="L11" s="2733"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685" t="s">
        <v>2867</v>
      </c>
      <c r="X11" s="1617" t="s">
        <v>2868</v>
      </c>
      <c r="Y11" s="1618">
        <f>$G$3</f>
        <v>5.19</v>
      </c>
      <c r="Z11" s="1618">
        <f t="shared" ref="Z11:AJ11" si="3">$G$3</f>
        <v>5.19</v>
      </c>
      <c r="AA11" s="1618">
        <f t="shared" si="3"/>
        <v>5.19</v>
      </c>
      <c r="AB11" s="1618">
        <f t="shared" si="3"/>
        <v>5.19</v>
      </c>
      <c r="AC11" s="1618">
        <f t="shared" si="3"/>
        <v>5.19</v>
      </c>
      <c r="AD11" s="1618">
        <f t="shared" si="3"/>
        <v>5.19</v>
      </c>
      <c r="AE11" s="1618">
        <f t="shared" si="3"/>
        <v>5.19</v>
      </c>
      <c r="AF11" s="1618">
        <f t="shared" si="3"/>
        <v>5.19</v>
      </c>
      <c r="AG11" s="1618">
        <f t="shared" si="3"/>
        <v>5.19</v>
      </c>
      <c r="AH11" s="1618">
        <f t="shared" si="3"/>
        <v>5.19</v>
      </c>
      <c r="AI11" s="1618">
        <f t="shared" si="3"/>
        <v>5.19</v>
      </c>
      <c r="AJ11" s="1618">
        <f t="shared" si="3"/>
        <v>5.19</v>
      </c>
    </row>
    <row r="12" spans="1:36" ht="25.5" thickBot="1">
      <c r="A12" s="3690" t="s">
        <v>2869</v>
      </c>
      <c r="B12" s="2765" t="s">
        <v>2870</v>
      </c>
      <c r="C12" s="919">
        <f>ROUND(C15*D15*E15*F15*G15*H15*I15*J15,4)</f>
        <v>1</v>
      </c>
      <c r="D12" s="2766" t="s">
        <v>2871</v>
      </c>
      <c r="E12" s="2767"/>
      <c r="F12" s="2767"/>
      <c r="G12" s="2768"/>
      <c r="H12" s="2768"/>
      <c r="I12" s="2768"/>
      <c r="J12" s="2769"/>
      <c r="K12" s="1373"/>
      <c r="L12" s="2770"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685"/>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692"/>
      <c r="B13" s="2771" t="s">
        <v>2874</v>
      </c>
      <c r="C13" s="2772" t="s">
        <v>2875</v>
      </c>
      <c r="D13" s="1811" t="s">
        <v>2876</v>
      </c>
      <c r="E13" s="1811" t="s">
        <v>2877</v>
      </c>
      <c r="F13" s="30" t="s">
        <v>2878</v>
      </c>
      <c r="G13" s="2773" t="s">
        <v>2879</v>
      </c>
      <c r="H13" s="2773" t="s">
        <v>2879</v>
      </c>
      <c r="I13" s="2773" t="s">
        <v>2879</v>
      </c>
      <c r="J13" s="2774" t="s">
        <v>2879</v>
      </c>
      <c r="K13" s="1373"/>
      <c r="L13" s="1373"/>
      <c r="M13" s="1373"/>
      <c r="N13" s="1373"/>
      <c r="O13" s="1373"/>
      <c r="P13" s="1373"/>
      <c r="Q13" s="1373"/>
      <c r="R13" s="1605">
        <v>12</v>
      </c>
      <c r="S13" s="1606"/>
      <c r="T13" s="1605" t="e">
        <f t="shared" si="0"/>
        <v>#DIV/0!</v>
      </c>
      <c r="U13" s="1606"/>
      <c r="V13" s="1605" t="e">
        <f t="shared" si="1"/>
        <v>#DIV/0!</v>
      </c>
      <c r="W13" s="3685"/>
      <c r="X13" s="1619"/>
      <c r="Y13" s="1616">
        <f>(-0.163*(Y12^2)-0.59*Y12+7617)*(10^(-4))/Y11</f>
        <v>0.14676300578034682</v>
      </c>
      <c r="Z13" s="1616">
        <f t="shared" ref="Z13:AJ13" si="5">(-0.163*(Z12^2)-0.59*Z12+7617)*(10^(-4))/Z11</f>
        <v>0.14676300578034682</v>
      </c>
      <c r="AA13" s="1616">
        <f t="shared" si="5"/>
        <v>0.14676300578034682</v>
      </c>
      <c r="AB13" s="1616">
        <f t="shared" si="5"/>
        <v>0.14676300578034682</v>
      </c>
      <c r="AC13" s="1616">
        <f t="shared" si="5"/>
        <v>0.14676300578034682</v>
      </c>
      <c r="AD13" s="1616">
        <f t="shared" si="5"/>
        <v>0.14676300578034682</v>
      </c>
      <c r="AE13" s="1616">
        <f t="shared" si="5"/>
        <v>0.14676300578034682</v>
      </c>
      <c r="AF13" s="1616">
        <f t="shared" si="5"/>
        <v>0.14676300578034682</v>
      </c>
      <c r="AG13" s="1616">
        <f t="shared" si="5"/>
        <v>0.14676300578034682</v>
      </c>
      <c r="AH13" s="1616">
        <f t="shared" si="5"/>
        <v>0.14676300578034682</v>
      </c>
      <c r="AI13" s="1616">
        <f t="shared" si="5"/>
        <v>0.14676300578034682</v>
      </c>
      <c r="AJ13" s="1616">
        <f t="shared" si="5"/>
        <v>0.14676300578034682</v>
      </c>
    </row>
    <row r="14" spans="1:36" ht="15">
      <c r="A14" s="3692"/>
      <c r="B14" s="2775"/>
      <c r="C14" s="2776"/>
      <c r="D14" s="2777"/>
      <c r="E14" s="2777"/>
      <c r="F14" s="2778"/>
      <c r="G14" s="2779" t="s">
        <v>2880</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693"/>
      <c r="B15" s="2783" t="s">
        <v>2881</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2882</v>
      </c>
      <c r="N15" s="920" t="s">
        <v>2883</v>
      </c>
      <c r="O15" s="920" t="s">
        <v>2884</v>
      </c>
      <c r="P15" s="2785"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690" t="s">
        <v>2886</v>
      </c>
      <c r="B16" s="2752" t="s">
        <v>2887</v>
      </c>
      <c r="C16" s="1804" t="e">
        <f>ROUND(SUM(G17:J17)/C17,0)</f>
        <v>#DIV/0!</v>
      </c>
      <c r="D16" s="2786" t="s">
        <v>2888</v>
      </c>
      <c r="E16" s="2787"/>
      <c r="F16" s="2788"/>
      <c r="G16" s="2789"/>
      <c r="H16" s="2789"/>
      <c r="I16" s="2789"/>
      <c r="J16" s="2790"/>
      <c r="K16" s="1373"/>
      <c r="L16" s="2791"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691"/>
      <c r="B17" s="2792" t="s">
        <v>2890</v>
      </c>
      <c r="C17" s="924">
        <f>SUMPRODUCT((修正!A2:A5=E2)*(修正!B1:M1=G2)*(修正!B2:M5))</f>
        <v>0</v>
      </c>
      <c r="D17" s="2793"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2894</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2895</v>
      </c>
      <c r="C19" s="927" t="e">
        <f>ROUND(IF(H19="按公示增长率计算",SUMPRODUCT((地价!A3:A24=YEAR(G19)&amp;"-"&amp;ROUNDUP(MONTH(G19)/3,0))*(地价!X2:AB2=E2)*(地价!X3:AB24)),IF(H19="地价指数",M20/M19,(1+I19)^O19)),4)</f>
        <v>#DIV/0!</v>
      </c>
      <c r="D19" s="2804" t="s">
        <v>2896</v>
      </c>
      <c r="E19" s="928">
        <v>41640</v>
      </c>
      <c r="F19" s="2804" t="s">
        <v>2897</v>
      </c>
      <c r="G19" s="929">
        <f>'数据-取费表'!B2</f>
        <v>43373</v>
      </c>
      <c r="H19" s="2805" t="s">
        <v>2898</v>
      </c>
      <c r="I19" s="930" t="str">
        <f>IF(H19="季度增幅（自定义）",SUMIF(N21:N24,E2,O21:O24),"")</f>
        <v/>
      </c>
      <c r="J19" s="2802"/>
      <c r="K19" s="1380"/>
      <c r="L19" s="2806" t="s">
        <v>2899</v>
      </c>
      <c r="M19" s="1737">
        <f>ROUND(SUMIF(地价!B2:F2,E2,地价!B24:F24),0)</f>
        <v>0</v>
      </c>
      <c r="N19" s="2807"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t="e">
        <f>ROUND(POWER(1+G20,J20-I20)*(POWER(1+G20,I20)-1)/(POWER(1+G20,J20)-1),4)</f>
        <v>#DIV/0!</v>
      </c>
      <c r="D20" s="2813" t="s">
        <v>2902</v>
      </c>
      <c r="E20" s="1771">
        <f ca="1">存贷款利率!D4/100</f>
        <v>4.3499999999999997E-2</v>
      </c>
      <c r="F20" s="2813" t="s">
        <v>2893</v>
      </c>
      <c r="G20" s="937">
        <f>SUMIF(M15:P15,E2,M17:P17)</f>
        <v>0</v>
      </c>
      <c r="H20" s="2813" t="s">
        <v>2903</v>
      </c>
      <c r="I20" s="938" t="e">
        <f>SUMIF('数据-取费表'!C6:C15,E2,'数据-取费表'!F6:F15)/COUNTIF('数据-取费表'!C6:C15,E2)</f>
        <v>#DIV/0!</v>
      </c>
      <c r="J20" s="939">
        <f>IF(E2="住宅",70,IF(E2="商业",40,50))</f>
        <v>50</v>
      </c>
      <c r="K20" s="1380"/>
      <c r="L20" s="2814" t="s">
        <v>2904</v>
      </c>
      <c r="M20" s="1738">
        <f>ROUND(SUMPRODUCT((地价!A4:A24=YEAR(G19)&amp;"-"&amp;ROUNDUP(MONTH(G19)/3,0))*(地价!B2:F2=E2)*(地价!B4:F24)),0)</f>
        <v>0</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f>IF(B21="容积率修正",IF(G3&lt;=10,D22,J22),C23)</f>
        <v>0</v>
      </c>
      <c r="D21" s="2820"/>
      <c r="E21" s="2820"/>
      <c r="F21" s="2820"/>
      <c r="G21" s="2820"/>
      <c r="H21" s="2820"/>
      <c r="I21" s="2820"/>
      <c r="J21" s="2821"/>
      <c r="K21" s="1380"/>
      <c r="N21" s="2822" t="s">
        <v>2909</v>
      </c>
      <c r="O21" s="1564"/>
      <c r="P21" s="1565">
        <f>SUMPRODUCT((地价!A3:A24=YEAR(G19)&amp;"-"&amp;ROUNDUP(MONTH(G19)/3,0))*(地价!AD2:AH2=N21)*(地价!AD3:AH24))</f>
        <v>1.61E-2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0</v>
      </c>
      <c r="E22" s="916">
        <f>ROUNDDOWN(G3,1)</f>
        <v>5.0999999999999996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2913</v>
      </c>
      <c r="O22" s="1564"/>
      <c r="P22" s="1565">
        <f>SUMPRODUCT((地价!A3:A24=YEAR(G19)&amp;"-"&amp;ROUNDUP(MONTH(G19)/3,0))*(地价!AD2:AH2=N22)*(地价!AD3:AH24))</f>
        <v>1.61E-2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2916</v>
      </c>
      <c r="O23" s="1564"/>
      <c r="P23" s="1565">
        <f>SUMPRODUCT((地价!A3:A24=YEAR(G19)&amp;"-"&amp;ROUNDUP(MONTH(G19)/3,0))*(地价!AD2:AH2=N23)*(地价!AD3:AH24))</f>
        <v>2.53E-2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0</v>
      </c>
      <c r="D24" s="2800"/>
      <c r="E24" s="2830"/>
      <c r="F24" s="2830"/>
      <c r="G24" s="2830"/>
      <c r="H24" s="2830"/>
      <c r="I24" s="2830"/>
      <c r="J24" s="2831"/>
      <c r="K24" s="1380"/>
      <c r="N24" s="2832" t="s">
        <v>2918</v>
      </c>
      <c r="O24" s="1566"/>
      <c r="P24" s="1567">
        <f>SUMPRODUCT((地价!A3:A24=YEAR(G19)&amp;"-"&amp;ROUNDUP(MONTH(G19)/3,0))*(地价!AD2:AH2=N24)*(地价!AD3:AH24))</f>
        <v>1.4999999999999999E-2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SUMPRODUCT((地价!A3:A24=YEAR(G19)&amp;"-"&amp;ROUNDUP(MONTH(G19)/3,0))*(地价!AD2:AH2=N25)*(地价!AD3:AH24))</f>
        <v>2.3099999999999999E-2</v>
      </c>
      <c r="R25" s="1379"/>
      <c r="S25" s="1379"/>
      <c r="T25" s="1374"/>
      <c r="U25" s="1374"/>
      <c r="V25" s="1374"/>
      <c r="W25" s="1373"/>
      <c r="X25" s="1373"/>
      <c r="Y25" s="1373"/>
      <c r="Z25" s="1380"/>
      <c r="AA25" s="1381"/>
      <c r="AB25" s="1381"/>
      <c r="AC25" s="1381"/>
      <c r="AD25" s="1381"/>
    </row>
    <row r="26" spans="1:37" ht="15">
      <c r="A26" s="2836"/>
      <c r="B26" s="2823" t="s">
        <v>2921</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t="e">
        <f>ROUND(C5*C18*C19*C20*C21*C24,0)</f>
        <v>#DIV/0!</v>
      </c>
      <c r="D29" s="2852"/>
      <c r="E29" s="945" t="e">
        <f>ROUND(C29*D29/10000,0)</f>
        <v>#DIV/0!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t="e">
        <f>ROUND(IF(E2="工业",C29*M39,C29*M38),0)</f>
        <v>#DIV/0!</v>
      </c>
      <c r="D30" s="2858"/>
      <c r="E30" s="945" t="e">
        <f>ROUND(C30*D30/10000,0)</f>
        <v>#DIV/0!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700" t="s">
        <v>2935</v>
      </c>
      <c r="B33" s="2868" t="s">
        <v>2936</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701"/>
      <c r="B34" s="2772" t="s">
        <v>2937</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701"/>
      <c r="B35" s="2772" t="s">
        <v>2938</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702"/>
      <c r="B36" s="2772" t="s">
        <v>2939</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t="e">
        <f>ROUND(C5*C19*C20*C24*F37,0)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t="e">
        <f>ROUND(C5*C19*C20*C24*F38,0)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t="e">
        <f>ROUND(C5*C19*C20*C24*F39,0)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2885</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2601</v>
      </c>
      <c r="K80" s="603" t="s">
        <v>2602</v>
      </c>
      <c r="L80" s="603" t="s">
        <v>2603</v>
      </c>
      <c r="M80" s="603" t="s">
        <v>2604</v>
      </c>
      <c r="N80" s="603" t="s">
        <v>2605</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2957</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2971</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2963</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2964</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2961</v>
      </c>
      <c r="B87" s="2891" t="s">
        <v>2975</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694" t="s">
        <v>2977</v>
      </c>
      <c r="B90" s="3694"/>
      <c r="C90" s="3694"/>
      <c r="D90" s="3694"/>
      <c r="E90" s="3694"/>
      <c r="F90" s="3694"/>
      <c r="G90" s="3694"/>
      <c r="H90" s="3694"/>
      <c r="I90" s="3694"/>
      <c r="J90" s="3694"/>
      <c r="K90" s="2899"/>
      <c r="L90" s="2899"/>
      <c r="M90" s="2899"/>
      <c r="N90" s="2899"/>
    </row>
    <row r="91" spans="1:37">
      <c r="A91" s="3696" t="s">
        <v>2978</v>
      </c>
      <c r="B91" s="3696" t="s">
        <v>2979</v>
      </c>
      <c r="C91" s="2853" t="s">
        <v>2980</v>
      </c>
      <c r="D91" s="2854"/>
      <c r="E91" s="2854"/>
      <c r="F91" s="2854"/>
      <c r="G91" s="2854"/>
      <c r="H91" s="2854"/>
      <c r="I91" s="2854"/>
      <c r="J91" s="2900"/>
      <c r="K91" s="2901"/>
      <c r="L91" s="2901"/>
      <c r="M91" s="2901"/>
      <c r="N91" s="2901"/>
    </row>
    <row r="92" spans="1:37">
      <c r="A92" s="3696"/>
      <c r="B92" s="3696"/>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697"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698"/>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698"/>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698"/>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698"/>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698"/>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698"/>
      <c r="B99" s="2902" t="s">
        <v>2860</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699"/>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697" t="s">
        <v>2982</v>
      </c>
      <c r="B101" s="2906" t="s">
        <v>2983</v>
      </c>
      <c r="C101" s="2907">
        <f>$G$3</f>
        <v>5.19</v>
      </c>
      <c r="D101" s="2907">
        <f t="shared" ref="D101:N101" si="31">$G$3</f>
        <v>5.19</v>
      </c>
      <c r="E101" s="2907">
        <f t="shared" si="31"/>
        <v>5.19</v>
      </c>
      <c r="F101" s="2907">
        <f t="shared" si="31"/>
        <v>5.19</v>
      </c>
      <c r="G101" s="2907">
        <f t="shared" si="31"/>
        <v>5.19</v>
      </c>
      <c r="H101" s="2907">
        <f t="shared" si="31"/>
        <v>5.19</v>
      </c>
      <c r="I101" s="2907">
        <f t="shared" si="31"/>
        <v>5.19</v>
      </c>
      <c r="J101" s="2907">
        <f t="shared" si="31"/>
        <v>5.19</v>
      </c>
      <c r="K101" s="2907">
        <f t="shared" si="31"/>
        <v>5.19</v>
      </c>
      <c r="L101" s="2907">
        <f t="shared" si="31"/>
        <v>5.19</v>
      </c>
      <c r="M101" s="2907">
        <f t="shared" si="31"/>
        <v>5.19</v>
      </c>
      <c r="N101" s="2907">
        <f t="shared" si="31"/>
        <v>5.19</v>
      </c>
    </row>
    <row r="102" spans="1:14">
      <c r="A102" s="3698"/>
      <c r="B102" s="2902">
        <v>1</v>
      </c>
      <c r="C102" s="2903">
        <f>1.9362/C101</f>
        <v>0.37306358381502885</v>
      </c>
      <c r="D102" s="2903">
        <f>1.9362/D101</f>
        <v>0.37306358381502885</v>
      </c>
      <c r="E102" s="2903">
        <f>1.8629/E101</f>
        <v>0.35894026974951826</v>
      </c>
      <c r="F102" s="2903">
        <f>1.8629/F101</f>
        <v>0.35894026974951826</v>
      </c>
      <c r="G102" s="2903">
        <f>1.8629/G101</f>
        <v>0.35894026974951826</v>
      </c>
      <c r="H102" s="2903">
        <f>1.8629/H101</f>
        <v>0.35894026974951826</v>
      </c>
      <c r="I102" s="2903">
        <f>1.8629/I101</f>
        <v>0.35894026974951826</v>
      </c>
      <c r="J102" s="2903">
        <f>1.942/J101</f>
        <v>0.37418111753371863</v>
      </c>
      <c r="K102" s="2903">
        <f>1.942/K101</f>
        <v>0.37418111753371863</v>
      </c>
      <c r="L102" s="2903">
        <f>1.942/L101</f>
        <v>0.37418111753371863</v>
      </c>
      <c r="M102" s="2903">
        <f>1.942/M101</f>
        <v>0.37418111753371863</v>
      </c>
      <c r="N102" s="2903">
        <f>1.942/N101</f>
        <v>0.37418111753371863</v>
      </c>
    </row>
    <row r="103" spans="1:14">
      <c r="A103" s="3698"/>
      <c r="B103" s="2902">
        <v>2</v>
      </c>
      <c r="C103" s="2903">
        <f>1.4198/C101</f>
        <v>0.27356454720616569</v>
      </c>
      <c r="D103" s="2903">
        <f>1.4198/D101</f>
        <v>0.27356454720616569</v>
      </c>
      <c r="E103" s="2903">
        <f>1.3372/E101</f>
        <v>0.25764932562620418</v>
      </c>
      <c r="F103" s="2903">
        <f>1.3372/F101</f>
        <v>0.25764932562620418</v>
      </c>
      <c r="G103" s="2903">
        <f>1.3372/G101</f>
        <v>0.25764932562620418</v>
      </c>
      <c r="H103" s="2903">
        <f>1.3372/H101</f>
        <v>0.25764932562620418</v>
      </c>
      <c r="I103" s="2903">
        <f>1.3372/I101</f>
        <v>0.25764932562620418</v>
      </c>
      <c r="J103" s="2903">
        <f>1.2799/J101</f>
        <v>0.24660886319845857</v>
      </c>
      <c r="K103" s="2903">
        <f>1.2799/K101</f>
        <v>0.24660886319845857</v>
      </c>
      <c r="L103" s="2903">
        <f>1.2799/L101</f>
        <v>0.24660886319845857</v>
      </c>
      <c r="M103" s="2903">
        <f>1.2799/M101</f>
        <v>0.24660886319845857</v>
      </c>
      <c r="N103" s="2903">
        <f>1.2799/N101</f>
        <v>0.24660886319845857</v>
      </c>
    </row>
    <row r="104" spans="1:14">
      <c r="A104" s="3698"/>
      <c r="B104" s="2902">
        <v>3</v>
      </c>
      <c r="C104" s="2903">
        <f>1.1594/C101</f>
        <v>0.22339113680154141</v>
      </c>
      <c r="D104" s="2903">
        <f>1.1594/D101</f>
        <v>0.22339113680154141</v>
      </c>
      <c r="E104" s="2903">
        <f>1.0788/E101</f>
        <v>0.20786127167630056</v>
      </c>
      <c r="F104" s="2903">
        <f>1.0788/F101</f>
        <v>0.20786127167630056</v>
      </c>
      <c r="G104" s="2903">
        <f>1.0788/G101</f>
        <v>0.20786127167630056</v>
      </c>
      <c r="H104" s="2903">
        <f>1.0788/H101</f>
        <v>0.20786127167630056</v>
      </c>
      <c r="I104" s="2903">
        <f>1.0788/I101</f>
        <v>0.20786127167630056</v>
      </c>
      <c r="J104" s="2903">
        <f>1.0072/J101</f>
        <v>0.19406551059730251</v>
      </c>
      <c r="K104" s="2903">
        <f>1.0072/K101</f>
        <v>0.19406551059730251</v>
      </c>
      <c r="L104" s="2903">
        <f>1.0072/L101</f>
        <v>0.19406551059730251</v>
      </c>
      <c r="M104" s="2903">
        <f>1.0072/M101</f>
        <v>0.19406551059730251</v>
      </c>
      <c r="N104" s="2903">
        <f>1.0072/N101</f>
        <v>0.19406551059730251</v>
      </c>
    </row>
    <row r="105" spans="1:14">
      <c r="A105" s="3698"/>
      <c r="B105" s="2902">
        <v>4</v>
      </c>
      <c r="C105" s="2903">
        <f>0.9622/C101</f>
        <v>0.18539499036608864</v>
      </c>
      <c r="D105" s="2903">
        <f>0.9622/D101</f>
        <v>0.18539499036608864</v>
      </c>
      <c r="E105" s="2903">
        <f>0.8656/E101</f>
        <v>0.16678227360308284</v>
      </c>
      <c r="F105" s="2903">
        <f>0.8656/F101</f>
        <v>0.16678227360308284</v>
      </c>
      <c r="G105" s="2903">
        <f>0.8656/G101</f>
        <v>0.16678227360308284</v>
      </c>
      <c r="H105" s="2903">
        <f>0.8656/H101</f>
        <v>0.16678227360308284</v>
      </c>
      <c r="I105" s="2903">
        <f>0.8656/I101</f>
        <v>0.16678227360308284</v>
      </c>
      <c r="J105" s="2903">
        <f>0.7525/J101</f>
        <v>0.14499036608863197</v>
      </c>
      <c r="K105" s="2903">
        <f>0.7525/K101</f>
        <v>0.14499036608863197</v>
      </c>
      <c r="L105" s="2903">
        <f>0.7525/L101</f>
        <v>0.14499036608863197</v>
      </c>
      <c r="M105" s="2903">
        <f>0.7525/M101</f>
        <v>0.14499036608863197</v>
      </c>
      <c r="N105" s="2903">
        <f>0.7525/N101</f>
        <v>0.14499036608863197</v>
      </c>
    </row>
    <row r="106" spans="1:14">
      <c r="A106" s="3698"/>
      <c r="B106" s="2902">
        <v>5</v>
      </c>
      <c r="C106" s="2903">
        <f>0.8417/C101</f>
        <v>0.16217726396917148</v>
      </c>
      <c r="D106" s="2903">
        <f>0.8417/D101</f>
        <v>0.16217726396917148</v>
      </c>
      <c r="E106" s="2903">
        <f>0.7371/E101</f>
        <v>0.14202312138728324</v>
      </c>
      <c r="F106" s="2903">
        <f>0.7371/F101</f>
        <v>0.14202312138728324</v>
      </c>
      <c r="G106" s="2903">
        <f>0.7371/G101</f>
        <v>0.14202312138728324</v>
      </c>
      <c r="H106" s="2903">
        <f>0.7371/H101</f>
        <v>0.14202312138728324</v>
      </c>
      <c r="I106" s="2903">
        <f>0.7371/I101</f>
        <v>0.14202312138728324</v>
      </c>
      <c r="J106" s="2903">
        <f>0.5659/J101</f>
        <v>0.10903660886319844</v>
      </c>
      <c r="K106" s="2903">
        <f>0.5659/K101</f>
        <v>0.10903660886319844</v>
      </c>
      <c r="L106" s="2903">
        <f>0.5659/L101</f>
        <v>0.10903660886319844</v>
      </c>
      <c r="M106" s="2903">
        <f>0.5659/M101</f>
        <v>0.10903660886319844</v>
      </c>
      <c r="N106" s="2903">
        <f>0.5659/N101</f>
        <v>0.10903660886319844</v>
      </c>
    </row>
    <row r="107" spans="1:14">
      <c r="A107" s="3698"/>
      <c r="B107" s="2902">
        <v>6</v>
      </c>
      <c r="C107" s="2903">
        <f>0.7608/C101</f>
        <v>0.14658959537572253</v>
      </c>
      <c r="D107" s="2903">
        <f>0.7608/D101</f>
        <v>0.14658959537572253</v>
      </c>
      <c r="E107" s="2903">
        <f>0.6482/E101</f>
        <v>0.12489402697495182</v>
      </c>
      <c r="F107" s="2903">
        <f>0.6482/F101</f>
        <v>0.12489402697495182</v>
      </c>
      <c r="G107" s="2903">
        <f>0.6482/G101</f>
        <v>0.12489402697495182</v>
      </c>
      <c r="H107" s="2903">
        <f>0.6482/H101</f>
        <v>0.12489402697495182</v>
      </c>
      <c r="I107" s="2903">
        <f>0.6482/I101</f>
        <v>0.12489402697495182</v>
      </c>
      <c r="J107" s="2903">
        <f>0.4525/J101</f>
        <v>8.7186897880539502E-2</v>
      </c>
      <c r="K107" s="2903">
        <f>0.4525/K101</f>
        <v>8.7186897880539502E-2</v>
      </c>
      <c r="L107" s="2903">
        <f>0.4525/L101</f>
        <v>8.7186897880539502E-2</v>
      </c>
      <c r="M107" s="2903">
        <f>0.4525/M101</f>
        <v>8.7186897880539502E-2</v>
      </c>
      <c r="N107" s="2903">
        <f>0.4525/N101</f>
        <v>8.7186897880539502E-2</v>
      </c>
    </row>
    <row r="108" spans="1:14">
      <c r="A108" s="3698"/>
      <c r="B108" s="3513" t="s">
        <v>2984</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699"/>
      <c r="B109" s="3514"/>
      <c r="C109" s="2905">
        <f>(-0.163*(C108^2)-0.59*C108+7617)*(10^(-4))/C101</f>
        <v>0.14676300578034682</v>
      </c>
      <c r="D109" s="2905">
        <f>(-0.163*(D108^2)-0.59*D108+7617)*(10^(-4))/D101</f>
        <v>0.14676300578034682</v>
      </c>
      <c r="E109" s="2905">
        <f>(-0.161*(E108^2)-7.509*E108+6533)*(10^(-4))/E101</f>
        <v>0.12587668593448939</v>
      </c>
      <c r="F109" s="2905">
        <f>(-0.161*(F108^2)-7.509*F108+6533)*(10^(-4))/F101</f>
        <v>0.12587668593448939</v>
      </c>
      <c r="G109" s="2905">
        <f>(-0.161*(G108^2)-7.509*G108+6533)*(10^(-4))/G101</f>
        <v>0.12587668593448939</v>
      </c>
      <c r="H109" s="2905">
        <f>(-0.161*(H108^2)-7.509*H108+6533)*(10^(-4))/H101</f>
        <v>0.12587668593448939</v>
      </c>
      <c r="I109" s="2905">
        <f>(-0.161*(I108^2)-7.509*I108+6533)*(10^(-4))/I101</f>
        <v>0.12587668593448939</v>
      </c>
      <c r="J109" s="2905">
        <f>(-0.214*(J108^2)-21.991*J108+4665)*(10^(-4))/J101</f>
        <v>8.9884393063583812E-2</v>
      </c>
      <c r="K109" s="2905">
        <f>(-0.214*(K108^2)-21.991*K108+4665)*(10^(-4))/K101</f>
        <v>8.9884393063583812E-2</v>
      </c>
      <c r="L109" s="2905">
        <f>(-0.214*(L108^2)-21.991*L108+4665)*(10^(-4))/L101</f>
        <v>8.9884393063583812E-2</v>
      </c>
      <c r="M109" s="2905">
        <f>(-0.214*(M108^2)-21.991*M108+4665)*(10^(-4))/M101</f>
        <v>8.9884393063583812E-2</v>
      </c>
      <c r="N109" s="2905">
        <f>(-0.214*(N108^2)-21.991*N108+4665)*(10^(-4))/N101</f>
        <v>8.9884393063583812E-2</v>
      </c>
    </row>
    <row r="110" spans="1:14">
      <c r="A110" s="3695" t="s">
        <v>2985</v>
      </c>
      <c r="B110" s="3695"/>
      <c r="C110" s="3695"/>
      <c r="D110" s="3695"/>
      <c r="E110" s="3695"/>
      <c r="F110" s="3695"/>
      <c r="G110" s="3695"/>
      <c r="H110" s="3695"/>
      <c r="I110" s="3695"/>
      <c r="J110" s="3695"/>
      <c r="K110" s="2908"/>
      <c r="L110" s="2908"/>
      <c r="M110" s="2908"/>
      <c r="N110" s="2908"/>
    </row>
    <row r="112" spans="1:14" ht="13.5" thickBot="1"/>
    <row r="113" spans="1:13" ht="25.5" thickBot="1">
      <c r="A113" s="903" t="s">
        <v>2986</v>
      </c>
      <c r="B113" s="1290">
        <f>G3</f>
        <v>5.19</v>
      </c>
      <c r="C113" s="904" t="s">
        <v>2987</v>
      </c>
      <c r="D113" s="905">
        <f>SUMPRODUCT((A115:A118=F113)*(B114:M114=H113)*B115:M118)</f>
        <v>0</v>
      </c>
      <c r="E113" s="2731" t="s">
        <v>2817</v>
      </c>
      <c r="F113" s="2910">
        <f>E2</f>
        <v>0</v>
      </c>
      <c r="G113" s="2731" t="s">
        <v>2818</v>
      </c>
      <c r="H113" s="2910">
        <f>G2</f>
        <v>0</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2882</v>
      </c>
      <c r="B115" s="910">
        <f>ROUND(0.9335-0.0094*B113,4)</f>
        <v>0.88470000000000004</v>
      </c>
      <c r="C115" s="910">
        <f>B115</f>
        <v>0.88470000000000004</v>
      </c>
      <c r="D115" s="910">
        <f>ROUND(0.8331-0.0109*B113,4)</f>
        <v>0.77649999999999997</v>
      </c>
      <c r="E115" s="910">
        <f>D115</f>
        <v>0.77649999999999997</v>
      </c>
      <c r="F115" s="910">
        <f>E115</f>
        <v>0.77649999999999997</v>
      </c>
      <c r="G115" s="910">
        <f>F115</f>
        <v>0.77649999999999997</v>
      </c>
      <c r="H115" s="910">
        <f>G115</f>
        <v>0.77649999999999997</v>
      </c>
      <c r="I115" s="910">
        <f>ROUND(0.689-0.0155*B113,4)</f>
        <v>0.60860000000000003</v>
      </c>
      <c r="J115" s="910">
        <f t="shared" ref="J115:M118" si="33">I115</f>
        <v>0.60860000000000003</v>
      </c>
      <c r="K115" s="910">
        <f t="shared" si="33"/>
        <v>0.60860000000000003</v>
      </c>
      <c r="L115" s="910">
        <f t="shared" si="33"/>
        <v>0.60860000000000003</v>
      </c>
      <c r="M115" s="911">
        <f t="shared" si="33"/>
        <v>0.60860000000000003</v>
      </c>
    </row>
    <row r="116" spans="1:13">
      <c r="A116" s="909" t="s">
        <v>2883</v>
      </c>
      <c r="B116" s="910">
        <f>ROUND(0.949-0.012*B113,4)</f>
        <v>0.88670000000000004</v>
      </c>
      <c r="C116" s="910">
        <f>B116</f>
        <v>0.88670000000000004</v>
      </c>
      <c r="D116" s="910">
        <f>ROUND(0.8567-0.013*B113,4)</f>
        <v>0.78920000000000001</v>
      </c>
      <c r="E116" s="910">
        <f t="shared" ref="E116:H117" si="34">D116</f>
        <v>0.78920000000000001</v>
      </c>
      <c r="F116" s="910">
        <f t="shared" si="34"/>
        <v>0.78920000000000001</v>
      </c>
      <c r="G116" s="910">
        <f t="shared" si="34"/>
        <v>0.78920000000000001</v>
      </c>
      <c r="H116" s="910">
        <f t="shared" si="34"/>
        <v>0.78920000000000001</v>
      </c>
      <c r="I116" s="910">
        <f>ROUND(0.7694-0.014*B113,4)</f>
        <v>0.69669999999999999</v>
      </c>
      <c r="J116" s="910">
        <f t="shared" si="33"/>
        <v>0.69669999999999999</v>
      </c>
      <c r="K116" s="910">
        <f t="shared" si="33"/>
        <v>0.69669999999999999</v>
      </c>
      <c r="L116" s="910">
        <f t="shared" si="33"/>
        <v>0.69669999999999999</v>
      </c>
      <c r="M116" s="911">
        <f t="shared" si="33"/>
        <v>0.69669999999999999</v>
      </c>
    </row>
    <row r="117" spans="1:13">
      <c r="A117" s="909" t="s">
        <v>2884</v>
      </c>
      <c r="B117" s="910">
        <f>ROUND(0.8808-0.006*B113,4)</f>
        <v>0.84970000000000001</v>
      </c>
      <c r="C117" s="910">
        <f>B117</f>
        <v>0.84970000000000001</v>
      </c>
      <c r="D117" s="910">
        <f>ROUND(0.8748-0.008*B113,4)</f>
        <v>0.83330000000000004</v>
      </c>
      <c r="E117" s="910">
        <f t="shared" si="34"/>
        <v>0.83330000000000004</v>
      </c>
      <c r="F117" s="910">
        <f t="shared" si="34"/>
        <v>0.83330000000000004</v>
      </c>
      <c r="G117" s="910">
        <f t="shared" si="34"/>
        <v>0.83330000000000004</v>
      </c>
      <c r="H117" s="910">
        <f t="shared" si="34"/>
        <v>0.83330000000000004</v>
      </c>
      <c r="I117" s="910">
        <f>ROUND(0.7412-0.0095*B113,4)</f>
        <v>0.69189999999999996</v>
      </c>
      <c r="J117" s="910">
        <f t="shared" si="33"/>
        <v>0.69189999999999996</v>
      </c>
      <c r="K117" s="910">
        <f t="shared" si="33"/>
        <v>0.69189999999999996</v>
      </c>
      <c r="L117" s="910">
        <f t="shared" si="33"/>
        <v>0.69189999999999996</v>
      </c>
      <c r="M117" s="911">
        <f t="shared" si="33"/>
        <v>0.69189999999999996</v>
      </c>
    </row>
    <row r="118" spans="1:13" ht="13.5" thickBot="1">
      <c r="A118" s="714" t="s">
        <v>2885</v>
      </c>
      <c r="B118" s="912">
        <f>ROUND(0.7275-0.01*B113,4)</f>
        <v>0.67559999999999998</v>
      </c>
      <c r="C118" s="912">
        <f>B118</f>
        <v>0.67559999999999998</v>
      </c>
      <c r="D118" s="912">
        <f>ROUND(0.7043-0.012*B113,4)</f>
        <v>0.64200000000000002</v>
      </c>
      <c r="E118" s="912">
        <f>D118</f>
        <v>0.64200000000000002</v>
      </c>
      <c r="F118" s="912">
        <f>E118</f>
        <v>0.64200000000000002</v>
      </c>
      <c r="G118" s="912">
        <f>ROUND(0.6299-0.0122*B113,4)</f>
        <v>0.56659999999999999</v>
      </c>
      <c r="H118" s="912">
        <f>G118</f>
        <v>0.56659999999999999</v>
      </c>
      <c r="I118" s="912">
        <f>ROUND(0.5667-0.0136*B113,4)</f>
        <v>0.49609999999999999</v>
      </c>
      <c r="J118" s="912">
        <f t="shared" si="33"/>
        <v>0.49609999999999999</v>
      </c>
      <c r="K118" s="912">
        <f t="shared" si="33"/>
        <v>0.49609999999999999</v>
      </c>
      <c r="L118" s="912">
        <f t="shared" si="33"/>
        <v>0.49609999999999999</v>
      </c>
      <c r="M118" s="913">
        <f t="shared" si="33"/>
        <v>0.49609999999999999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03" t="s">
        <v>183</v>
      </c>
      <c r="B18" s="882" t="s">
        <v>560</v>
      </c>
      <c r="C18" s="883" t="s">
        <v>561</v>
      </c>
      <c r="D18" s="884"/>
      <c r="E18" s="882">
        <v>1</v>
      </c>
      <c r="F18" s="885" t="s">
        <v>562</v>
      </c>
      <c r="G18" s="886"/>
      <c r="H18" s="878"/>
      <c r="I18" s="878"/>
    </row>
    <row r="19" spans="1:9" s="887" customFormat="1" ht="19.5" customHeight="1">
      <c r="A19" s="3703"/>
      <c r="B19" s="3703" t="s">
        <v>563</v>
      </c>
      <c r="C19" s="883" t="s">
        <v>564</v>
      </c>
      <c r="D19" s="884"/>
      <c r="E19" s="882">
        <v>0.9</v>
      </c>
      <c r="F19" s="885" t="s">
        <v>565</v>
      </c>
      <c r="G19" s="886"/>
      <c r="H19" s="878"/>
      <c r="I19" s="878"/>
    </row>
    <row r="20" spans="1:9" s="887" customFormat="1" ht="19.5" customHeight="1">
      <c r="A20" s="3703"/>
      <c r="B20" s="3703"/>
      <c r="C20" s="883" t="s">
        <v>566</v>
      </c>
      <c r="D20" s="884"/>
      <c r="E20" s="882">
        <v>1.1000000000000001</v>
      </c>
      <c r="F20" s="885" t="s">
        <v>567</v>
      </c>
      <c r="G20" s="886"/>
      <c r="H20" s="878"/>
      <c r="I20" s="878"/>
    </row>
    <row r="21" spans="1:9" s="887" customFormat="1" ht="19.5" customHeight="1">
      <c r="A21" s="3703"/>
      <c r="B21" s="3703"/>
      <c r="C21" s="883" t="s">
        <v>568</v>
      </c>
      <c r="D21" s="884"/>
      <c r="E21" s="882">
        <v>0.8</v>
      </c>
      <c r="F21" s="885" t="s">
        <v>569</v>
      </c>
      <c r="G21" s="886"/>
      <c r="H21" s="878"/>
      <c r="I21" s="878"/>
    </row>
    <row r="22" spans="1:9" s="887" customFormat="1" ht="19.5" customHeight="1">
      <c r="A22" s="3703"/>
      <c r="B22" s="3703"/>
      <c r="C22" s="883" t="s">
        <v>570</v>
      </c>
      <c r="D22" s="884"/>
      <c r="E22" s="882">
        <v>0.5</v>
      </c>
      <c r="F22" s="885"/>
      <c r="G22" s="886"/>
      <c r="H22" s="878"/>
      <c r="I22" s="878"/>
    </row>
    <row r="23" spans="1:9" s="887" customFormat="1" ht="19.5" customHeight="1">
      <c r="A23" s="3703" t="s">
        <v>184</v>
      </c>
      <c r="B23" s="882" t="s">
        <v>560</v>
      </c>
      <c r="C23" s="883" t="s">
        <v>571</v>
      </c>
      <c r="D23" s="884"/>
      <c r="E23" s="882">
        <v>1</v>
      </c>
      <c r="F23" s="885" t="s">
        <v>572</v>
      </c>
      <c r="G23" s="886"/>
      <c r="H23" s="878"/>
      <c r="I23" s="878"/>
    </row>
    <row r="24" spans="1:9" s="887" customFormat="1" ht="19.5" customHeight="1">
      <c r="A24" s="3703"/>
      <c r="B24" s="3703" t="s">
        <v>563</v>
      </c>
      <c r="C24" s="883" t="s">
        <v>573</v>
      </c>
      <c r="D24" s="884"/>
      <c r="E24" s="882">
        <v>0.5</v>
      </c>
      <c r="F24" s="885"/>
      <c r="G24" s="886"/>
      <c r="H24" s="878"/>
      <c r="I24" s="878"/>
    </row>
    <row r="25" spans="1:9" s="887" customFormat="1" ht="19.5" customHeight="1">
      <c r="A25" s="3703"/>
      <c r="B25" s="3703"/>
      <c r="C25" s="883" t="s">
        <v>574</v>
      </c>
      <c r="D25" s="884"/>
      <c r="E25" s="882">
        <v>1.1000000000000001</v>
      </c>
      <c r="F25" s="885"/>
      <c r="G25" s="886"/>
      <c r="H25" s="878"/>
      <c r="I25" s="878"/>
    </row>
    <row r="26" spans="1:9" s="887" customFormat="1" ht="19.5" customHeight="1">
      <c r="A26" s="3703"/>
      <c r="B26" s="3703"/>
      <c r="C26" s="883" t="s">
        <v>575</v>
      </c>
      <c r="D26" s="884"/>
      <c r="E26" s="882">
        <v>1.1000000000000001</v>
      </c>
      <c r="F26" s="885"/>
      <c r="G26" s="886"/>
      <c r="H26" s="878"/>
      <c r="I26" s="878"/>
    </row>
    <row r="27" spans="1:9" s="887" customFormat="1" ht="19.5" customHeight="1">
      <c r="A27" s="3703"/>
      <c r="B27" s="3703"/>
      <c r="C27" s="883" t="s">
        <v>576</v>
      </c>
      <c r="D27" s="884"/>
      <c r="E27" s="882">
        <v>0.9</v>
      </c>
      <c r="F27" s="885" t="s">
        <v>577</v>
      </c>
      <c r="G27" s="886"/>
      <c r="H27" s="878"/>
      <c r="I27" s="878"/>
    </row>
    <row r="28" spans="1:9" s="887" customFormat="1" ht="19.5" customHeight="1">
      <c r="A28" s="3703"/>
      <c r="B28" s="3703"/>
      <c r="C28" s="883" t="s">
        <v>578</v>
      </c>
      <c r="D28" s="884"/>
      <c r="E28" s="882">
        <v>0.9</v>
      </c>
      <c r="F28" s="885" t="s">
        <v>579</v>
      </c>
      <c r="G28" s="886"/>
      <c r="H28" s="878"/>
      <c r="I28" s="878"/>
    </row>
    <row r="29" spans="1:9" s="887" customFormat="1" ht="19.5" customHeight="1">
      <c r="A29" s="3703"/>
      <c r="B29" s="3703"/>
      <c r="C29" s="883" t="s">
        <v>580</v>
      </c>
      <c r="D29" s="884"/>
      <c r="E29" s="882">
        <v>0.9</v>
      </c>
      <c r="F29" s="885" t="s">
        <v>581</v>
      </c>
      <c r="G29" s="886"/>
      <c r="H29" s="878"/>
      <c r="I29" s="878"/>
    </row>
    <row r="30" spans="1:9" s="887" customFormat="1" ht="19.5" customHeight="1">
      <c r="A30" s="3703"/>
      <c r="B30" s="3703"/>
      <c r="C30" s="883" t="s">
        <v>582</v>
      </c>
      <c r="D30" s="884"/>
      <c r="E30" s="882">
        <v>0.9</v>
      </c>
      <c r="F30" s="885" t="s">
        <v>583</v>
      </c>
      <c r="G30" s="886"/>
      <c r="H30" s="878"/>
      <c r="I30" s="878"/>
    </row>
    <row r="31" spans="1:9" s="887" customFormat="1" ht="19.5" customHeight="1">
      <c r="A31" s="3703"/>
      <c r="B31" s="3703"/>
      <c r="C31" s="883" t="s">
        <v>584</v>
      </c>
      <c r="D31" s="884"/>
      <c r="E31" s="882">
        <v>0.8</v>
      </c>
      <c r="F31" s="885" t="s">
        <v>585</v>
      </c>
      <c r="G31" s="886"/>
      <c r="H31" s="878"/>
      <c r="I31" s="878"/>
    </row>
    <row r="32" spans="1:9" s="887" customFormat="1" ht="19.5" customHeight="1">
      <c r="A32" s="3703"/>
      <c r="B32" s="3703"/>
      <c r="C32" s="883" t="s">
        <v>586</v>
      </c>
      <c r="D32" s="884"/>
      <c r="E32" s="882">
        <v>0.8</v>
      </c>
      <c r="F32" s="885" t="s">
        <v>587</v>
      </c>
      <c r="G32" s="886"/>
      <c r="H32" s="878"/>
      <c r="I32" s="878"/>
    </row>
    <row r="33" spans="1:9" s="887" customFormat="1" ht="19.5" customHeight="1">
      <c r="A33" s="3703" t="s">
        <v>185</v>
      </c>
      <c r="B33" s="882" t="s">
        <v>560</v>
      </c>
      <c r="C33" s="883" t="s">
        <v>588</v>
      </c>
      <c r="D33" s="884"/>
      <c r="E33" s="882">
        <v>1</v>
      </c>
      <c r="F33" s="885" t="s">
        <v>589</v>
      </c>
      <c r="G33" s="886"/>
      <c r="H33" s="878"/>
      <c r="I33" s="878"/>
    </row>
    <row r="34" spans="1:9" s="887" customFormat="1" ht="19.5" customHeight="1">
      <c r="A34" s="3703"/>
      <c r="B34" s="882" t="s">
        <v>563</v>
      </c>
      <c r="C34" s="883" t="s">
        <v>590</v>
      </c>
      <c r="D34" s="884"/>
      <c r="E34" s="882">
        <v>1.5</v>
      </c>
      <c r="F34" s="885" t="s">
        <v>591</v>
      </c>
      <c r="G34" s="886"/>
      <c r="H34" s="878"/>
      <c r="I34" s="878"/>
    </row>
    <row r="35" spans="1:9" s="887" customFormat="1" ht="19.5" customHeight="1">
      <c r="A35" s="3703" t="s">
        <v>186</v>
      </c>
      <c r="B35" s="882" t="s">
        <v>560</v>
      </c>
      <c r="C35" s="883" t="s">
        <v>592</v>
      </c>
      <c r="D35" s="884"/>
      <c r="E35" s="882">
        <v>1</v>
      </c>
      <c r="F35" s="885" t="s">
        <v>593</v>
      </c>
      <c r="G35" s="886"/>
      <c r="H35" s="878"/>
      <c r="I35" s="878"/>
    </row>
    <row r="36" spans="1:9" s="887" customFormat="1" ht="19.5" customHeight="1">
      <c r="A36" s="3703"/>
      <c r="B36" s="3703" t="s">
        <v>563</v>
      </c>
      <c r="C36" s="883" t="s">
        <v>594</v>
      </c>
      <c r="D36" s="884"/>
      <c r="E36" s="882">
        <v>1</v>
      </c>
      <c r="F36" s="885" t="s">
        <v>595</v>
      </c>
      <c r="G36" s="886"/>
      <c r="H36" s="878"/>
      <c r="I36" s="878"/>
    </row>
    <row r="37" spans="1:9" s="887" customFormat="1" ht="19.5" customHeight="1">
      <c r="A37" s="3703"/>
      <c r="B37" s="3703"/>
      <c r="C37" s="883" t="s">
        <v>596</v>
      </c>
      <c r="D37" s="884"/>
      <c r="E37" s="882">
        <v>1.5</v>
      </c>
      <c r="F37" s="885" t="s">
        <v>597</v>
      </c>
      <c r="G37" s="886"/>
      <c r="H37" s="878"/>
      <c r="I37" s="878"/>
    </row>
    <row r="38" spans="1:9" s="887" customFormat="1" ht="19.5" customHeight="1">
      <c r="A38" s="3703"/>
      <c r="B38" s="3703"/>
      <c r="C38" s="883" t="s">
        <v>598</v>
      </c>
      <c r="D38" s="884"/>
      <c r="E38" s="882">
        <v>1</v>
      </c>
      <c r="F38" s="885" t="s">
        <v>599</v>
      </c>
      <c r="G38" s="886"/>
      <c r="H38" s="878"/>
      <c r="I38" s="878"/>
    </row>
    <row r="39" spans="1:9" s="887" customFormat="1" ht="19.5" customHeight="1">
      <c r="A39" s="3703"/>
      <c r="B39" s="370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03" t="s">
        <v>614</v>
      </c>
      <c r="C61" s="818" t="s">
        <v>615</v>
      </c>
      <c r="D61" s="818" t="s">
        <v>616</v>
      </c>
      <c r="E61" s="895">
        <v>0.5</v>
      </c>
      <c r="F61" s="882">
        <v>80</v>
      </c>
    </row>
    <row r="62" spans="1:8" s="878" customFormat="1" ht="24">
      <c r="A62" s="882">
        <v>2</v>
      </c>
      <c r="B62" s="3703"/>
      <c r="C62" s="818" t="s">
        <v>617</v>
      </c>
      <c r="D62" s="818" t="s">
        <v>618</v>
      </c>
      <c r="E62" s="895">
        <v>0.5</v>
      </c>
      <c r="F62" s="882">
        <v>80</v>
      </c>
    </row>
    <row r="63" spans="1:8" s="878" customFormat="1" ht="36">
      <c r="A63" s="882">
        <v>3</v>
      </c>
      <c r="B63" s="3703"/>
      <c r="C63" s="818" t="s">
        <v>619</v>
      </c>
      <c r="D63" s="818" t="s">
        <v>620</v>
      </c>
      <c r="E63" s="895">
        <v>0.5</v>
      </c>
      <c r="F63" s="882">
        <v>80</v>
      </c>
    </row>
    <row r="64" spans="1:8" s="878" customFormat="1" ht="36">
      <c r="A64" s="882">
        <v>4</v>
      </c>
      <c r="B64" s="3703"/>
      <c r="C64" s="818" t="s">
        <v>621</v>
      </c>
      <c r="D64" s="818" t="s">
        <v>622</v>
      </c>
      <c r="E64" s="895">
        <v>0.4</v>
      </c>
      <c r="F64" s="882">
        <v>60</v>
      </c>
    </row>
    <row r="65" spans="1:6" s="878" customFormat="1" ht="36">
      <c r="A65" s="882">
        <v>5</v>
      </c>
      <c r="B65" s="3703"/>
      <c r="C65" s="818" t="s">
        <v>623</v>
      </c>
      <c r="D65" s="818" t="s">
        <v>624</v>
      </c>
      <c r="E65" s="895">
        <v>0.2</v>
      </c>
      <c r="F65" s="882">
        <v>30</v>
      </c>
    </row>
    <row r="66" spans="1:6" s="878" customFormat="1" ht="36">
      <c r="A66" s="882">
        <v>6</v>
      </c>
      <c r="B66" s="3703"/>
      <c r="C66" s="818" t="s">
        <v>625</v>
      </c>
      <c r="D66" s="818" t="s">
        <v>626</v>
      </c>
      <c r="E66" s="895">
        <v>0.3</v>
      </c>
      <c r="F66" s="882">
        <v>50</v>
      </c>
    </row>
    <row r="67" spans="1:6" s="878" customFormat="1" ht="36">
      <c r="A67" s="882">
        <v>7</v>
      </c>
      <c r="B67" s="3703"/>
      <c r="C67" s="818" t="s">
        <v>627</v>
      </c>
      <c r="D67" s="818" t="s">
        <v>628</v>
      </c>
      <c r="E67" s="895">
        <v>0.2</v>
      </c>
      <c r="F67" s="882">
        <v>30</v>
      </c>
    </row>
    <row r="68" spans="1:6" s="878" customFormat="1" ht="36">
      <c r="A68" s="882">
        <v>8</v>
      </c>
      <c r="B68" s="3703"/>
      <c r="C68" s="818" t="s">
        <v>629</v>
      </c>
      <c r="D68" s="818" t="s">
        <v>630</v>
      </c>
      <c r="E68" s="895">
        <v>0.2</v>
      </c>
      <c r="F68" s="882">
        <v>30</v>
      </c>
    </row>
    <row r="69" spans="1:6" s="878" customFormat="1" ht="36">
      <c r="A69" s="882">
        <v>9</v>
      </c>
      <c r="B69" s="3703"/>
      <c r="C69" s="818" t="s">
        <v>631</v>
      </c>
      <c r="D69" s="818" t="s">
        <v>632</v>
      </c>
      <c r="E69" s="895">
        <v>0.2</v>
      </c>
      <c r="F69" s="882">
        <v>30</v>
      </c>
    </row>
    <row r="70" spans="1:6" s="878" customFormat="1" ht="48">
      <c r="A70" s="882">
        <v>10</v>
      </c>
      <c r="B70" s="3703"/>
      <c r="C70" s="818" t="s">
        <v>633</v>
      </c>
      <c r="D70" s="818" t="s">
        <v>634</v>
      </c>
      <c r="E70" s="895">
        <v>0.2</v>
      </c>
      <c r="F70" s="882">
        <v>30</v>
      </c>
    </row>
    <row r="71" spans="1:6" s="878" customFormat="1" ht="48">
      <c r="A71" s="882">
        <v>11</v>
      </c>
      <c r="B71" s="3703"/>
      <c r="C71" s="818" t="s">
        <v>635</v>
      </c>
      <c r="D71" s="818" t="s">
        <v>636</v>
      </c>
      <c r="E71" s="895">
        <v>0.2</v>
      </c>
      <c r="F71" s="882">
        <v>30</v>
      </c>
    </row>
    <row r="72" spans="1:6" s="878" customFormat="1" ht="36">
      <c r="A72" s="882">
        <v>12</v>
      </c>
      <c r="B72" s="3703"/>
      <c r="C72" s="818" t="s">
        <v>637</v>
      </c>
      <c r="D72" s="818" t="s">
        <v>638</v>
      </c>
      <c r="E72" s="895">
        <v>0.5</v>
      </c>
      <c r="F72" s="882">
        <v>80</v>
      </c>
    </row>
    <row r="73" spans="1:6" s="878" customFormat="1" ht="24">
      <c r="A73" s="882">
        <v>13</v>
      </c>
      <c r="B73" s="3703"/>
      <c r="C73" s="818" t="s">
        <v>639</v>
      </c>
      <c r="D73" s="818" t="s">
        <v>640</v>
      </c>
      <c r="E73" s="895">
        <v>0.4</v>
      </c>
      <c r="F73" s="882">
        <v>60</v>
      </c>
    </row>
    <row r="74" spans="1:6" s="878" customFormat="1" ht="24">
      <c r="A74" s="882">
        <v>14</v>
      </c>
      <c r="B74" s="3703"/>
      <c r="C74" s="818" t="s">
        <v>641</v>
      </c>
      <c r="D74" s="818" t="s">
        <v>642</v>
      </c>
      <c r="E74" s="895">
        <v>0.2</v>
      </c>
      <c r="F74" s="882">
        <v>30</v>
      </c>
    </row>
    <row r="75" spans="1:6" s="878" customFormat="1" ht="24">
      <c r="A75" s="882">
        <v>15</v>
      </c>
      <c r="B75" s="3703"/>
      <c r="C75" s="818" t="s">
        <v>643</v>
      </c>
      <c r="D75" s="818" t="s">
        <v>644</v>
      </c>
      <c r="E75" s="895">
        <v>0.2</v>
      </c>
      <c r="F75" s="882">
        <v>30</v>
      </c>
    </row>
    <row r="76" spans="1:6" s="878" customFormat="1" ht="24">
      <c r="A76" s="882">
        <v>16</v>
      </c>
      <c r="B76" s="3703" t="s">
        <v>645</v>
      </c>
      <c r="C76" s="818" t="s">
        <v>646</v>
      </c>
      <c r="D76" s="818" t="s">
        <v>647</v>
      </c>
      <c r="E76" s="895">
        <v>0.5</v>
      </c>
      <c r="F76" s="882">
        <v>80</v>
      </c>
    </row>
    <row r="77" spans="1:6" s="878" customFormat="1" ht="24">
      <c r="A77" s="882">
        <v>17</v>
      </c>
      <c r="B77" s="3703"/>
      <c r="C77" s="818" t="s">
        <v>648</v>
      </c>
      <c r="D77" s="818" t="s">
        <v>649</v>
      </c>
      <c r="E77" s="895">
        <v>0.5</v>
      </c>
      <c r="F77" s="882">
        <v>80</v>
      </c>
    </row>
    <row r="78" spans="1:6" s="878" customFormat="1" ht="24">
      <c r="A78" s="882">
        <v>18</v>
      </c>
      <c r="B78" s="3703"/>
      <c r="C78" s="818" t="s">
        <v>650</v>
      </c>
      <c r="D78" s="818" t="s">
        <v>651</v>
      </c>
      <c r="E78" s="895">
        <v>0.2</v>
      </c>
      <c r="F78" s="882">
        <v>30</v>
      </c>
    </row>
    <row r="79" spans="1:6" s="878" customFormat="1" ht="24">
      <c r="A79" s="882">
        <v>19</v>
      </c>
      <c r="B79" s="3703"/>
      <c r="C79" s="818" t="s">
        <v>652</v>
      </c>
      <c r="D79" s="818" t="s">
        <v>653</v>
      </c>
      <c r="E79" s="895">
        <v>0.5</v>
      </c>
      <c r="F79" s="882">
        <v>80</v>
      </c>
    </row>
    <row r="80" spans="1:6" s="878" customFormat="1" ht="36">
      <c r="A80" s="882">
        <v>20</v>
      </c>
      <c r="B80" s="3703"/>
      <c r="C80" s="818" t="s">
        <v>654</v>
      </c>
      <c r="D80" s="818" t="s">
        <v>655</v>
      </c>
      <c r="E80" s="895">
        <v>0.2</v>
      </c>
      <c r="F80" s="882">
        <v>30</v>
      </c>
    </row>
    <row r="81" spans="1:6" s="878" customFormat="1" ht="36">
      <c r="A81" s="882">
        <v>21</v>
      </c>
      <c r="B81" s="3703"/>
      <c r="C81" s="818" t="s">
        <v>656</v>
      </c>
      <c r="D81" s="818" t="s">
        <v>657</v>
      </c>
      <c r="E81" s="895">
        <v>0.2</v>
      </c>
      <c r="F81" s="882">
        <v>30</v>
      </c>
    </row>
    <row r="82" spans="1:6" s="878" customFormat="1" ht="48">
      <c r="A82" s="882">
        <v>22</v>
      </c>
      <c r="B82" s="3703"/>
      <c r="C82" s="818" t="s">
        <v>658</v>
      </c>
      <c r="D82" s="818" t="s">
        <v>659</v>
      </c>
      <c r="E82" s="895">
        <v>0.2</v>
      </c>
      <c r="F82" s="882">
        <v>30</v>
      </c>
    </row>
    <row r="83" spans="1:6" s="878" customFormat="1" ht="48">
      <c r="A83" s="882">
        <v>23</v>
      </c>
      <c r="B83" s="3703"/>
      <c r="C83" s="818" t="s">
        <v>660</v>
      </c>
      <c r="D83" s="818" t="s">
        <v>661</v>
      </c>
      <c r="E83" s="895">
        <v>0.2</v>
      </c>
      <c r="F83" s="882">
        <v>30</v>
      </c>
    </row>
    <row r="84" spans="1:6" s="878" customFormat="1" ht="36">
      <c r="A84" s="882">
        <v>24</v>
      </c>
      <c r="B84" s="3703"/>
      <c r="C84" s="818" t="s">
        <v>662</v>
      </c>
      <c r="D84" s="818" t="s">
        <v>663</v>
      </c>
      <c r="E84" s="895">
        <v>0.2</v>
      </c>
      <c r="F84" s="882">
        <v>30</v>
      </c>
    </row>
    <row r="85" spans="1:6" s="878" customFormat="1" ht="36">
      <c r="A85" s="882">
        <v>25</v>
      </c>
      <c r="B85" s="3703"/>
      <c r="C85" s="818" t="s">
        <v>664</v>
      </c>
      <c r="D85" s="818" t="s">
        <v>665</v>
      </c>
      <c r="E85" s="895">
        <v>0.5</v>
      </c>
      <c r="F85" s="882">
        <v>80</v>
      </c>
    </row>
    <row r="86" spans="1:6" s="878" customFormat="1" ht="36">
      <c r="A86" s="882">
        <v>26</v>
      </c>
      <c r="B86" s="3703"/>
      <c r="C86" s="818" t="s">
        <v>666</v>
      </c>
      <c r="D86" s="818" t="s">
        <v>667</v>
      </c>
      <c r="E86" s="895">
        <v>0.2</v>
      </c>
      <c r="F86" s="882">
        <v>30</v>
      </c>
    </row>
    <row r="87" spans="1:6" s="878" customFormat="1" ht="36">
      <c r="A87" s="882">
        <v>27</v>
      </c>
      <c r="B87" s="3703"/>
      <c r="C87" s="818" t="s">
        <v>668</v>
      </c>
      <c r="D87" s="818" t="s">
        <v>669</v>
      </c>
      <c r="E87" s="895">
        <v>0.2</v>
      </c>
      <c r="F87" s="882">
        <v>30</v>
      </c>
    </row>
    <row r="88" spans="1:6" s="878" customFormat="1" ht="36">
      <c r="A88" s="882">
        <v>28</v>
      </c>
      <c r="B88" s="3703"/>
      <c r="C88" s="818" t="s">
        <v>670</v>
      </c>
      <c r="D88" s="818" t="s">
        <v>671</v>
      </c>
      <c r="E88" s="895">
        <v>0.2</v>
      </c>
      <c r="F88" s="882">
        <v>30</v>
      </c>
    </row>
    <row r="89" spans="1:6" s="878" customFormat="1" ht="24">
      <c r="A89" s="882">
        <v>29</v>
      </c>
      <c r="B89" s="3703"/>
      <c r="C89" s="818" t="s">
        <v>672</v>
      </c>
      <c r="D89" s="818" t="s">
        <v>673</v>
      </c>
      <c r="E89" s="895">
        <v>0.2</v>
      </c>
      <c r="F89" s="882">
        <v>30</v>
      </c>
    </row>
    <row r="90" spans="1:6" s="878" customFormat="1" ht="24">
      <c r="A90" s="882">
        <v>30</v>
      </c>
      <c r="B90" s="3703"/>
      <c r="C90" s="818" t="s">
        <v>674</v>
      </c>
      <c r="D90" s="818" t="s">
        <v>675</v>
      </c>
      <c r="E90" s="895">
        <v>0.2</v>
      </c>
      <c r="F90" s="882">
        <v>30</v>
      </c>
    </row>
    <row r="91" spans="1:6" s="878" customFormat="1" ht="36">
      <c r="A91" s="882">
        <v>31</v>
      </c>
      <c r="B91" s="3703"/>
      <c r="C91" s="818" t="s">
        <v>676</v>
      </c>
      <c r="D91" s="818" t="s">
        <v>677</v>
      </c>
      <c r="E91" s="895">
        <v>0.2</v>
      </c>
      <c r="F91" s="882">
        <v>30</v>
      </c>
    </row>
    <row r="92" spans="1:6" s="878" customFormat="1" ht="24">
      <c r="A92" s="882">
        <v>32</v>
      </c>
      <c r="B92" s="3703" t="s">
        <v>678</v>
      </c>
      <c r="C92" s="882" t="s">
        <v>679</v>
      </c>
      <c r="D92" s="818" t="s">
        <v>680</v>
      </c>
      <c r="E92" s="895">
        <v>0.2</v>
      </c>
      <c r="F92" s="882">
        <v>30</v>
      </c>
    </row>
    <row r="93" spans="1:6" s="878" customFormat="1" ht="36">
      <c r="A93" s="882">
        <v>33</v>
      </c>
      <c r="B93" s="3703"/>
      <c r="C93" s="882" t="s">
        <v>681</v>
      </c>
      <c r="D93" s="818" t="s">
        <v>682</v>
      </c>
      <c r="E93" s="895">
        <v>0.2</v>
      </c>
      <c r="F93" s="882">
        <v>30</v>
      </c>
    </row>
    <row r="94" spans="1:6" s="878" customFormat="1" ht="48">
      <c r="A94" s="882">
        <v>34</v>
      </c>
      <c r="B94" s="3703"/>
      <c r="C94" s="882" t="s">
        <v>683</v>
      </c>
      <c r="D94" s="818" t="s">
        <v>684</v>
      </c>
      <c r="E94" s="895">
        <v>0.2</v>
      </c>
      <c r="F94" s="882">
        <v>30</v>
      </c>
    </row>
    <row r="95" spans="1:6" s="878" customFormat="1" ht="36">
      <c r="A95" s="882">
        <v>35</v>
      </c>
      <c r="B95" s="3703"/>
      <c r="C95" s="882" t="s">
        <v>685</v>
      </c>
      <c r="D95" s="818" t="s">
        <v>686</v>
      </c>
      <c r="E95" s="895">
        <v>0.2</v>
      </c>
      <c r="F95" s="882">
        <v>30</v>
      </c>
    </row>
    <row r="96" spans="1:6" s="878" customFormat="1" ht="48">
      <c r="A96" s="882">
        <v>36</v>
      </c>
      <c r="B96" s="3703"/>
      <c r="C96" s="818" t="s">
        <v>687</v>
      </c>
      <c r="D96" s="818" t="s">
        <v>688</v>
      </c>
      <c r="E96" s="895">
        <v>0.2</v>
      </c>
      <c r="F96" s="882">
        <v>30</v>
      </c>
    </row>
    <row r="97" spans="1:6" s="878" customFormat="1" ht="36">
      <c r="A97" s="882">
        <v>37</v>
      </c>
      <c r="B97" s="3703"/>
      <c r="C97" s="882" t="s">
        <v>689</v>
      </c>
      <c r="D97" s="818" t="s">
        <v>690</v>
      </c>
      <c r="E97" s="895">
        <v>0.2</v>
      </c>
      <c r="F97" s="882">
        <v>30</v>
      </c>
    </row>
    <row r="98" spans="1:6" s="878" customFormat="1" ht="36">
      <c r="A98" s="882">
        <v>38</v>
      </c>
      <c r="B98" s="3703"/>
      <c r="C98" s="882" t="s">
        <v>691</v>
      </c>
      <c r="D98" s="818" t="s">
        <v>692</v>
      </c>
      <c r="E98" s="895">
        <v>0.2</v>
      </c>
      <c r="F98" s="882">
        <v>30</v>
      </c>
    </row>
    <row r="99" spans="1:6" s="878" customFormat="1" ht="36">
      <c r="A99" s="882">
        <v>39</v>
      </c>
      <c r="B99" s="3703" t="s">
        <v>693</v>
      </c>
      <c r="C99" s="882" t="s">
        <v>694</v>
      </c>
      <c r="D99" s="818" t="s">
        <v>695</v>
      </c>
      <c r="E99" s="895">
        <v>0.3</v>
      </c>
      <c r="F99" s="882">
        <v>50</v>
      </c>
    </row>
    <row r="100" spans="1:6" s="878" customFormat="1" ht="24">
      <c r="A100" s="882">
        <v>40</v>
      </c>
      <c r="B100" s="3703"/>
      <c r="C100" s="882" t="s">
        <v>696</v>
      </c>
      <c r="D100" s="818" t="s">
        <v>697</v>
      </c>
      <c r="E100" s="895">
        <v>0.2</v>
      </c>
      <c r="F100" s="882">
        <v>30</v>
      </c>
    </row>
    <row r="101" spans="1:6" s="878" customFormat="1" ht="36">
      <c r="A101" s="882">
        <v>41</v>
      </c>
      <c r="B101" s="370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03" t="s">
        <v>708</v>
      </c>
      <c r="C105" s="882" t="s">
        <v>709</v>
      </c>
      <c r="D105" s="818" t="s">
        <v>710</v>
      </c>
      <c r="E105" s="895">
        <v>0.2</v>
      </c>
      <c r="F105" s="882">
        <v>30</v>
      </c>
    </row>
    <row r="106" spans="1:6" s="878" customFormat="1" ht="36">
      <c r="A106" s="882">
        <v>46</v>
      </c>
      <c r="B106" s="3703"/>
      <c r="C106" s="882" t="s">
        <v>711</v>
      </c>
      <c r="D106" s="818" t="s">
        <v>712</v>
      </c>
      <c r="E106" s="895">
        <v>0.2</v>
      </c>
      <c r="F106" s="882">
        <v>30</v>
      </c>
    </row>
    <row r="107" spans="1:6" s="878" customFormat="1" ht="36">
      <c r="A107" s="882">
        <v>47</v>
      </c>
      <c r="B107" s="3703" t="s">
        <v>713</v>
      </c>
      <c r="C107" s="882" t="s">
        <v>714</v>
      </c>
      <c r="D107" s="818" t="s">
        <v>715</v>
      </c>
      <c r="E107" s="895">
        <v>0.3</v>
      </c>
      <c r="F107" s="882">
        <v>50</v>
      </c>
    </row>
    <row r="108" spans="1:6" s="878" customFormat="1" ht="36">
      <c r="A108" s="882">
        <v>48</v>
      </c>
      <c r="B108" s="370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03" t="s">
        <v>724</v>
      </c>
      <c r="C111" s="882" t="s">
        <v>725</v>
      </c>
      <c r="D111" s="818" t="s">
        <v>726</v>
      </c>
      <c r="E111" s="895">
        <v>0.2</v>
      </c>
      <c r="F111" s="882">
        <v>30</v>
      </c>
    </row>
    <row r="112" spans="1:6" s="878" customFormat="1" ht="24">
      <c r="A112" s="882">
        <v>52</v>
      </c>
      <c r="B112" s="3703"/>
      <c r="C112" s="882" t="s">
        <v>727</v>
      </c>
      <c r="D112" s="818" t="s">
        <v>728</v>
      </c>
      <c r="E112" s="895">
        <v>0.2</v>
      </c>
      <c r="F112" s="882">
        <v>30</v>
      </c>
    </row>
    <row r="113" spans="1:6" s="878" customFormat="1" ht="24">
      <c r="A113" s="882">
        <v>53</v>
      </c>
      <c r="B113" s="370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03" t="s">
        <v>737</v>
      </c>
      <c r="C116" s="882" t="s">
        <v>738</v>
      </c>
      <c r="D116" s="818" t="s">
        <v>739</v>
      </c>
      <c r="E116" s="895">
        <v>0.2</v>
      </c>
      <c r="F116" s="882">
        <v>30</v>
      </c>
    </row>
    <row r="117" spans="1:6" ht="36">
      <c r="A117" s="882">
        <v>57</v>
      </c>
      <c r="B117" s="370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t="e">
        <f ca="1">SUMIF(B6:B13,"&lt;&gt;#ref!",B6:B13)</f>
        <v>#DIV/0!</v>
      </c>
      <c r="C2" s="2917" t="s">
        <v>3001</v>
      </c>
      <c r="D2" s="2917" t="s">
        <v>3002</v>
      </c>
      <c r="E2" s="2918">
        <f ca="1">SUMIF(E6:E13,"&lt;&gt;#ref!",E6:E13)</f>
        <v>0</v>
      </c>
    </row>
    <row r="3" spans="1:5" ht="15.75">
      <c r="A3" s="2917" t="s">
        <v>3003</v>
      </c>
      <c r="B3" s="2918" t="e">
        <f ca="1">ROUND(B2*10000/E2,0)</f>
        <v>#DIV/0!</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t="e">
        <f ca="1">SUMIF(INDIRECT("'"&amp;A6&amp;"'"&amp;"!A:A"),"总价",INDIRECT("'"&amp;A6&amp;"'"&amp;"!B:B"))</f>
        <v>#DIV/0!</v>
      </c>
      <c r="C6" s="2917" t="s">
        <v>3001</v>
      </c>
      <c r="D6" s="2919"/>
      <c r="E6" s="2582">
        <f ca="1">SUMIF(INDIRECT("'"&amp;A6&amp;"'"&amp;"!C:C"),"建筑面积",INDIRECT("'"&amp;A6&amp;"'"&amp;"!D:D"))</f>
        <v>0</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3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8">
      <c r="A3" s="3360" t="str">
        <f>IF(项目基本情况!B9="房地产市场价值","估价结果一览表（市场价值不需“结果表-1”）","估价结果一览表")</f>
        <v>估价结果一览表</v>
      </c>
      <c r="B3" s="3360"/>
      <c r="C3" s="3360"/>
      <c r="D3" s="3360"/>
      <c r="E3" s="3360"/>
    </row>
    <row r="4" spans="1:5" ht="19.5" thickBot="1">
      <c r="A4" s="1964"/>
      <c r="B4" s="3358" t="s">
        <v>1630</v>
      </c>
      <c r="C4" s="3358"/>
      <c r="D4" s="3358"/>
      <c r="E4" s="1964"/>
    </row>
    <row r="5" spans="1:5" ht="16.5" thickTop="1">
      <c r="A5" s="1962"/>
      <c r="B5" s="3356" t="s">
        <v>1622</v>
      </c>
      <c r="C5" s="1965" t="s">
        <v>1623</v>
      </c>
      <c r="D5" s="1043">
        <f ca="1">结果表!H101</f>
        <v>131273</v>
      </c>
      <c r="E5" s="1962"/>
    </row>
    <row r="6" spans="1:5" ht="15.75">
      <c r="A6" s="1962"/>
      <c r="B6" s="3356"/>
      <c r="C6" s="1965" t="s">
        <v>1624</v>
      </c>
      <c r="D6" s="1043" t="str">
        <f ca="1">NUMBERSTRING(INT(D5*10000),2)&amp;"元整"</f>
        <v>壹拾叁亿壹仟贰佰柒拾叁万元整</v>
      </c>
      <c r="E6" s="1962"/>
    </row>
    <row r="7" spans="1:5" ht="15.75">
      <c r="A7" s="1962"/>
      <c r="B7" s="3361"/>
      <c r="C7" s="1966" t="s">
        <v>1625</v>
      </c>
      <c r="D7" s="1044">
        <f ca="1">结果表!H102</f>
        <v>60063</v>
      </c>
      <c r="E7" s="1962"/>
    </row>
    <row r="8" spans="1:5" ht="15.75">
      <c r="A8" s="1962"/>
      <c r="B8" s="3362" t="str">
        <f>结果表!E103</f>
        <v>2.估价师知悉的法定优先受偿款</v>
      </c>
      <c r="C8" s="1967" t="s">
        <v>1626</v>
      </c>
      <c r="D8" s="1044">
        <f>结果表!H103</f>
        <v>0</v>
      </c>
      <c r="E8" s="1962"/>
    </row>
    <row r="9" spans="1:5" ht="15.75">
      <c r="A9" s="1962"/>
      <c r="B9" s="3364"/>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355" t="str">
        <f>结果表!E107</f>
        <v>3.房地产抵押价值</v>
      </c>
      <c r="C13" s="1970" t="s">
        <v>1623</v>
      </c>
      <c r="D13" s="1046">
        <f ca="1">结果表!H107</f>
        <v>131273</v>
      </c>
      <c r="E13" s="1962"/>
    </row>
    <row r="14" spans="1:5" ht="15.75">
      <c r="A14" s="1962"/>
      <c r="B14" s="3356"/>
      <c r="C14" s="1965" t="s">
        <v>1624</v>
      </c>
      <c r="D14" s="1043" t="str">
        <f ca="1">NUMBERSTRING(INT(D13*10000),2)&amp;"元整"</f>
        <v>壹拾叁亿壹仟贰佰柒拾叁万元整</v>
      </c>
      <c r="E14" s="1962"/>
    </row>
    <row r="15" spans="1:5" ht="15">
      <c r="A15" s="1962"/>
      <c r="B15" s="3361"/>
      <c r="C15" s="1966" t="s">
        <v>1634</v>
      </c>
      <c r="D15" s="1055">
        <f ca="1">结果表!H108</f>
        <v>60063</v>
      </c>
      <c r="E15" s="1962"/>
    </row>
    <row r="16" spans="1:5" ht="15">
      <c r="A16" s="1962"/>
      <c r="B16" s="3362" t="str">
        <f>结果表!E109</f>
        <v>——</v>
      </c>
      <c r="C16" s="1970" t="s">
        <v>1635</v>
      </c>
      <c r="D16" s="1971" t="str">
        <f>结果表!H109</f>
        <v>——</v>
      </c>
      <c r="E16" s="1962"/>
    </row>
    <row r="17" spans="1:5" ht="15.75">
      <c r="A17" s="1962"/>
      <c r="B17" s="3363"/>
      <c r="C17" s="1965" t="s">
        <v>1636</v>
      </c>
      <c r="D17" s="1043" t="e">
        <f>NUMBERSTRING(INT(D16*10000),2)&amp;"元整"</f>
        <v>#VALUE!</v>
      </c>
      <c r="E17" s="1962"/>
    </row>
    <row r="18" spans="1:5" ht="15">
      <c r="A18" s="1962"/>
      <c r="B18" s="3364"/>
      <c r="C18" s="1966" t="s">
        <v>1625</v>
      </c>
      <c r="D18" s="1055" t="str">
        <f>结果表!H110</f>
        <v>——</v>
      </c>
      <c r="E18" s="1962"/>
    </row>
    <row r="19" spans="1:5" ht="15.75">
      <c r="A19" s="1962"/>
      <c r="B19" s="3355" t="str">
        <f>结果表!E111</f>
        <v>——</v>
      </c>
      <c r="C19" s="1970" t="s">
        <v>1623</v>
      </c>
      <c r="D19" s="1044" t="str">
        <f>结果表!H111</f>
        <v>——</v>
      </c>
      <c r="E19" s="1962"/>
    </row>
    <row r="20" spans="1:5" ht="15.75">
      <c r="A20" s="1962"/>
      <c r="B20" s="3356"/>
      <c r="C20" s="1965" t="s">
        <v>1636</v>
      </c>
      <c r="D20" s="1043" t="e">
        <f>NUMBERSTRING(INT(D19*10000),2)&amp;"元整"</f>
        <v>#VALUE!</v>
      </c>
      <c r="E20" s="1962"/>
    </row>
    <row r="21" spans="1:5" ht="15.75" thickBot="1">
      <c r="A21" s="1962"/>
      <c r="B21" s="3357"/>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47" sqref="H4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09" t="s">
        <v>1150</v>
      </c>
      <c r="C1" s="3709"/>
      <c r="D1" s="3709"/>
      <c r="E1" s="3709"/>
      <c r="F1" s="3709"/>
      <c r="G1" s="3708" t="s">
        <v>1151</v>
      </c>
      <c r="H1" s="3708"/>
      <c r="I1" s="3708"/>
      <c r="J1" s="3708"/>
      <c r="K1" s="3708"/>
      <c r="L1" s="3708"/>
      <c r="N1" s="3708" t="s">
        <v>1152</v>
      </c>
      <c r="O1" s="3708"/>
      <c r="P1" s="3708"/>
      <c r="Q1" s="3708"/>
      <c r="R1" s="1449"/>
      <c r="S1" s="3708" t="s">
        <v>1153</v>
      </c>
      <c r="T1" s="3708"/>
      <c r="U1" s="3708"/>
      <c r="V1" s="3708"/>
      <c r="X1" s="3707" t="s">
        <v>1154</v>
      </c>
      <c r="Y1" s="3708"/>
      <c r="Z1" s="3708"/>
      <c r="AA1" s="3708"/>
      <c r="AB1" s="3708"/>
      <c r="AD1" s="3707" t="s">
        <v>1155</v>
      </c>
      <c r="AE1" s="3708"/>
      <c r="AF1" s="3708"/>
      <c r="AG1" s="3708"/>
      <c r="AH1" s="370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71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70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70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70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70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70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70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70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70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70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70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70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71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71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71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71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70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70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70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70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70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70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70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70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70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70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70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70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70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70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70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70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70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70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70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70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70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70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70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70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70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70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70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70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70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70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70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70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70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70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70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70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70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70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70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70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70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70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70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70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H47" sqref="H4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715" t="s">
        <v>3011</v>
      </c>
      <c r="D1" s="3716"/>
      <c r="E1" s="3716"/>
      <c r="F1" s="3716"/>
      <c r="G1" s="3716"/>
      <c r="H1" s="3716"/>
      <c r="I1" s="3716"/>
      <c r="J1" s="3716"/>
      <c r="K1" s="3716"/>
      <c r="L1" s="3716"/>
      <c r="M1" s="3716"/>
      <c r="N1" s="3716"/>
      <c r="O1" s="3716"/>
      <c r="P1" s="3716"/>
      <c r="Q1" s="3716"/>
      <c r="R1" s="3716"/>
      <c r="S1" s="3717"/>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535" t="s">
        <v>33</v>
      </c>
      <c r="D22" s="3536"/>
      <c r="E22" s="3536"/>
      <c r="F22" s="3536"/>
      <c r="G22" s="3536"/>
      <c r="H22" s="3536"/>
      <c r="I22" s="3536"/>
      <c r="J22" s="3536"/>
      <c r="K22" s="3536"/>
      <c r="L22" s="3536"/>
      <c r="M22" s="3536"/>
      <c r="N22" s="3536"/>
      <c r="O22" s="3536"/>
      <c r="P22" s="3536"/>
      <c r="Q22" s="3714"/>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29290</v>
      </c>
      <c r="C2" s="2" t="s">
        <v>133</v>
      </c>
      <c r="D2" s="243"/>
      <c r="E2" s="243"/>
      <c r="F2" s="243"/>
      <c r="G2" s="243"/>
    </row>
    <row r="3" spans="1:7" s="244" customFormat="1" ht="18" customHeight="1" thickBot="1">
      <c r="A3" s="247" t="s">
        <v>85</v>
      </c>
      <c r="B3" s="248">
        <f ca="1">ROUND(B2*10000/'数据-汇总表'!E3,0)</f>
        <v>13401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340</v>
      </c>
      <c r="D9" s="1035">
        <f>'数据-汇总表'!E5</f>
        <v>21264.71</v>
      </c>
      <c r="E9" s="269">
        <f>'数据-取费表'!B27</f>
        <v>160</v>
      </c>
      <c r="F9" s="265"/>
      <c r="G9" s="270"/>
    </row>
    <row r="10" spans="1:7" s="258" customFormat="1" ht="13.5" customHeight="1">
      <c r="A10" s="953" t="s">
        <v>801</v>
      </c>
      <c r="B10" s="268" t="s">
        <v>94</v>
      </c>
      <c r="C10" s="269">
        <f>ROUND(D10*E10/10000,0)</f>
        <v>12</v>
      </c>
      <c r="D10" s="1035">
        <f>'数据-汇总表'!E6</f>
        <v>591.2599999999984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437</v>
      </c>
      <c r="D19" s="1039">
        <f>'数据-汇总表'!E3</f>
        <v>21855.969999999998</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499</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1717</v>
      </c>
      <c r="D27" s="279">
        <f>C29</f>
        <v>8.0000000000000004E-4</v>
      </c>
      <c r="E27" s="280" t="s">
        <v>126</v>
      </c>
      <c r="F27" s="290">
        <f>'数据-取费表'!Q16</f>
        <v>0.24</v>
      </c>
      <c r="G27" s="291" t="s">
        <v>1069</v>
      </c>
    </row>
    <row r="28" spans="1:7" s="258" customFormat="1" ht="13.5" customHeight="1">
      <c r="A28" s="954" t="s">
        <v>794</v>
      </c>
      <c r="B28" s="292" t="s">
        <v>1062</v>
      </c>
      <c r="C28" s="293">
        <f>ROUND((C5+C19+C20)*F27*'数据-取费表'!B21/'数据-取费表'!B20,0)</f>
        <v>1717</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25310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2912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2587</v>
      </c>
      <c r="D34" s="261"/>
      <c r="E34" s="264"/>
      <c r="F34" s="301">
        <f>IF('数据-取费表'!B24=0,1,'数据-取费表'!N16)</f>
        <v>0.3</v>
      </c>
      <c r="G34" s="263" t="s">
        <v>116</v>
      </c>
    </row>
    <row r="35" spans="1:7" ht="13.5" customHeight="1">
      <c r="A35" s="954" t="s">
        <v>796</v>
      </c>
      <c r="B35" s="259" t="s">
        <v>60</v>
      </c>
      <c r="C35" s="264">
        <f>ROUND(C34*F35,0)</f>
        <v>78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77</v>
      </c>
      <c r="D36" s="264"/>
      <c r="E36" s="264"/>
      <c r="F36" s="303">
        <f>'数据-取费表'!B34</f>
        <v>0.03</v>
      </c>
      <c r="G36" s="304" t="s">
        <v>62</v>
      </c>
    </row>
    <row r="37" spans="1:7" s="302" customFormat="1" ht="13.5" customHeight="1">
      <c r="A37" s="954" t="s">
        <v>798</v>
      </c>
      <c r="B37" s="259" t="s">
        <v>118</v>
      </c>
      <c r="C37" s="293">
        <f>ROUND(E37*D37*F34/10000,0)</f>
        <v>131</v>
      </c>
      <c r="D37" s="261">
        <f>'数据-汇总表'!E3</f>
        <v>21855.969999999998</v>
      </c>
      <c r="E37" s="293">
        <f>'数据-取费表'!B35</f>
        <v>200</v>
      </c>
      <c r="F37" s="303"/>
      <c r="G37" s="305" t="s">
        <v>119</v>
      </c>
    </row>
    <row r="38" spans="1:7" ht="13.5" customHeight="1">
      <c r="A38" s="954" t="s">
        <v>799</v>
      </c>
      <c r="B38" s="259" t="s">
        <v>63</v>
      </c>
      <c r="C38" s="264">
        <f>ROUND(C34*F38,0)</f>
        <v>39</v>
      </c>
      <c r="D38" s="264"/>
      <c r="E38" s="264"/>
      <c r="F38" s="303">
        <f>'数据-取费表'!B36</f>
        <v>1.4999999999999999E-2</v>
      </c>
      <c r="G38" s="263" t="s">
        <v>117</v>
      </c>
    </row>
    <row r="39" spans="1:7" s="258" customFormat="1" ht="13.5" customHeight="1">
      <c r="A39" s="951" t="s">
        <v>783</v>
      </c>
      <c r="B39" s="254" t="s">
        <v>104</v>
      </c>
      <c r="C39" s="276">
        <f>ROUND(C33*F20,0)</f>
        <v>58</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35</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540" t="s">
        <v>121</v>
      </c>
    </row>
    <row r="43" spans="1:7" ht="13.5" customHeight="1">
      <c r="A43" s="954" t="s">
        <v>792</v>
      </c>
      <c r="B43" s="259" t="s">
        <v>1064</v>
      </c>
      <c r="C43" s="282">
        <f ca="1">ROUND(IF('数据-取费表'!B22&lt;=1,C39*F22*'数据-取费表'!B21/2,C39*(POWER((1+F22),'数据-取费表'!B21/2)-1)),0)</f>
        <v>1</v>
      </c>
      <c r="D43" s="282"/>
      <c r="E43" s="282"/>
      <c r="F43" s="283"/>
      <c r="G43" s="3541"/>
    </row>
    <row r="44" spans="1:7" ht="13.5" customHeight="1">
      <c r="A44" s="954" t="s">
        <v>793</v>
      </c>
      <c r="B44" s="259" t="s">
        <v>1066</v>
      </c>
      <c r="C44" s="282">
        <f ca="1">ROUND(IF('数据-取费表'!B22&lt;=1,C40*F22*'数据-取费表'!B21/2,C40*(POWER((1+F22),'数据-取费表'!B21/2)-1)),4)</f>
        <v>1E-4</v>
      </c>
      <c r="D44" s="282"/>
      <c r="E44" s="282"/>
      <c r="F44" s="283"/>
      <c r="G44" s="3542"/>
    </row>
    <row r="45" spans="1:7" s="258" customFormat="1" ht="13.5" customHeight="1">
      <c r="A45" s="951" t="s">
        <v>786</v>
      </c>
      <c r="B45" s="288" t="s">
        <v>112</v>
      </c>
      <c r="C45" s="289">
        <f>C46</f>
        <v>713</v>
      </c>
      <c r="D45" s="279">
        <f>C47</f>
        <v>2.3999999999999998E-3</v>
      </c>
      <c r="E45" s="280" t="s">
        <v>129</v>
      </c>
      <c r="F45" s="290"/>
      <c r="G45" s="291" t="s">
        <v>1072</v>
      </c>
    </row>
    <row r="46" spans="1:7" s="258" customFormat="1" ht="13.5" customHeight="1">
      <c r="A46" s="954" t="s">
        <v>794</v>
      </c>
      <c r="B46" s="292" t="s">
        <v>1065</v>
      </c>
      <c r="C46" s="293">
        <f>ROUND((C33+C39)*F27,0)</f>
        <v>713</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3980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3980</v>
      </c>
      <c r="D51" s="276"/>
      <c r="E51" s="276"/>
      <c r="F51" s="308"/>
      <c r="G51" s="278" t="s">
        <v>64</v>
      </c>
    </row>
    <row r="52" spans="1:7" s="252" customFormat="1" ht="16.5" thickBot="1">
      <c r="A52" s="309" t="s">
        <v>65</v>
      </c>
      <c r="B52" s="310"/>
      <c r="C52" s="311">
        <f ca="1">C31+C51</f>
        <v>29290</v>
      </c>
      <c r="D52" s="310"/>
      <c r="E52" s="310"/>
      <c r="F52" s="310"/>
      <c r="G52" s="312"/>
    </row>
    <row r="55" spans="1:7" ht="15">
      <c r="B55" s="314" t="s">
        <v>66</v>
      </c>
      <c r="C55" s="315"/>
    </row>
    <row r="56" spans="1:7">
      <c r="B56" s="317" t="s">
        <v>67</v>
      </c>
      <c r="C56" s="318">
        <f ca="1">ROUND(C51/C52,3)</f>
        <v>0.13600000000000001</v>
      </c>
    </row>
    <row r="57" spans="1:7">
      <c r="B57" s="317" t="s">
        <v>68</v>
      </c>
      <c r="C57" s="319">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18" t="s">
        <v>156</v>
      </c>
      <c r="B1" s="3718"/>
      <c r="C1" s="3718"/>
      <c r="D1" s="3718"/>
      <c r="E1" s="3718"/>
      <c r="F1" s="37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9" t="s">
        <v>169</v>
      </c>
      <c r="B2" s="3719"/>
      <c r="C2" s="3719"/>
      <c r="D2" s="3719"/>
      <c r="E2" s="3719"/>
      <c r="F2" s="37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8" t="s">
        <v>871</v>
      </c>
      <c r="B1" s="371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43373</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1641</v>
      </c>
      <c r="B2" s="3375" t="s">
        <v>1642</v>
      </c>
      <c r="C2" s="3375" t="s">
        <v>1643</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spans="1:9" ht="15">
      <c r="A3" s="3369"/>
      <c r="B3" s="3369"/>
      <c r="C3" s="3369"/>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21855.969999999998</v>
      </c>
      <c r="C4" s="1047">
        <f>项目基本情况!C18</f>
        <v>4098.78</v>
      </c>
      <c r="D4" s="1047" t="e">
        <f ca="1">结果表!D118</f>
        <v>#REF!</v>
      </c>
      <c r="E4" s="1047" t="e">
        <f ca="1">结果表!E118</f>
        <v>#REF!</v>
      </c>
      <c r="F4" s="1047" t="e">
        <f ca="1">结果表!F118</f>
        <v>#REF!</v>
      </c>
      <c r="G4" s="1047" t="e">
        <f ca="1">结果表!G118</f>
        <v>#REF!</v>
      </c>
      <c r="H4" s="1047">
        <f ca="1">结果表!H118</f>
        <v>131273</v>
      </c>
      <c r="I4" s="1047">
        <f ca="1">结果表!I118</f>
        <v>60063</v>
      </c>
    </row>
    <row r="5" spans="1:9" ht="30" customHeight="1">
      <c r="A5" s="3369" t="s">
        <v>1640</v>
      </c>
      <c r="B5" s="3369"/>
      <c r="C5" s="3369"/>
      <c r="D5" s="3370" t="e">
        <f ca="1">结果表!D119</f>
        <v>#REF!</v>
      </c>
      <c r="E5" s="3370"/>
      <c r="F5" s="3370" t="e">
        <f ca="1">结果表!F119</f>
        <v>#REF!</v>
      </c>
      <c r="G5" s="3370"/>
      <c r="H5" s="3370" t="str">
        <f ca="1">结果表!H119</f>
        <v>壹拾叁亿壹仟贰佰柒拾叁万元整</v>
      </c>
      <c r="I5" s="3370"/>
    </row>
    <row r="6" spans="1:9" ht="15.75">
      <c r="A6" s="3368" t="str">
        <f>结果表!A120</f>
        <v>估价师知悉的法定优先受偿款</v>
      </c>
      <c r="B6" s="3368"/>
      <c r="C6" s="3368"/>
      <c r="D6" s="3368">
        <f>结果表!D120</f>
        <v>0</v>
      </c>
      <c r="E6" s="3368"/>
      <c r="F6" s="3368"/>
      <c r="G6" s="3368"/>
      <c r="H6" s="3368"/>
      <c r="I6" s="3368"/>
    </row>
    <row r="7" spans="1:9" ht="15">
      <c r="A7" s="3369" t="s">
        <v>1640</v>
      </c>
      <c r="B7" s="3369"/>
      <c r="C7" s="3369"/>
      <c r="D7" s="3371" t="str">
        <f>结果表!D121</f>
        <v>零元整</v>
      </c>
      <c r="E7" s="3372"/>
      <c r="F7" s="3372"/>
      <c r="G7" s="3372"/>
      <c r="H7" s="3372"/>
      <c r="I7" s="3373"/>
    </row>
    <row r="8" spans="1:9" ht="15.75">
      <c r="A8" s="3368" t="str">
        <f>结果表!A122</f>
        <v>房地产抵押价值</v>
      </c>
      <c r="B8" s="3368"/>
      <c r="C8" s="3368"/>
      <c r="D8" s="3368">
        <f ca="1">结果表!D122</f>
        <v>131273</v>
      </c>
      <c r="E8" s="3368"/>
      <c r="F8" s="3368"/>
      <c r="G8" s="3368"/>
      <c r="H8" s="3368"/>
      <c r="I8" s="3368"/>
    </row>
    <row r="9" spans="1:9" ht="15">
      <c r="A9" s="3369" t="s">
        <v>1640</v>
      </c>
      <c r="B9" s="3369"/>
      <c r="C9" s="3369"/>
      <c r="D9" s="3370" t="str">
        <f ca="1">结果表!D123</f>
        <v>壹拾叁亿壹仟贰佰柒拾叁万元整</v>
      </c>
      <c r="E9" s="3370"/>
      <c r="F9" s="3370"/>
      <c r="G9" s="3370"/>
      <c r="H9" s="3370"/>
      <c r="I9" s="3370"/>
    </row>
    <row r="10" spans="1:9" ht="15.75">
      <c r="A10" s="3368" t="str">
        <f>结果表!A124</f>
        <v/>
      </c>
      <c r="B10" s="3368"/>
      <c r="C10" s="3368"/>
      <c r="D10" s="3368" t="str">
        <f>结果表!D124</f>
        <v>——</v>
      </c>
      <c r="E10" s="3368"/>
      <c r="F10" s="3368"/>
      <c r="G10" s="3368"/>
      <c r="H10" s="3368"/>
      <c r="I10" s="3368"/>
    </row>
    <row r="11" spans="1:9" ht="15">
      <c r="A11" s="3369" t="s">
        <v>1640</v>
      </c>
      <c r="B11" s="3369"/>
      <c r="C11" s="3369"/>
      <c r="D11" s="3370" t="e">
        <f>结果表!D125</f>
        <v>#VALUE!</v>
      </c>
      <c r="E11" s="3370"/>
      <c r="F11" s="3370"/>
      <c r="G11" s="3370"/>
      <c r="H11" s="3370"/>
      <c r="I11" s="3370"/>
    </row>
    <row r="12" spans="1:9" ht="15.75">
      <c r="A12" s="3368" t="str">
        <f>结果表!A126</f>
        <v/>
      </c>
      <c r="B12" s="3368"/>
      <c r="C12" s="3368"/>
      <c r="D12" s="3368" t="str">
        <f>结果表!D126</f>
        <v>——</v>
      </c>
      <c r="E12" s="3368"/>
      <c r="F12" s="3368"/>
      <c r="G12" s="3368"/>
      <c r="H12" s="3368"/>
      <c r="I12" s="3368"/>
    </row>
    <row r="13" spans="1:9" ht="15.75" thickBot="1">
      <c r="A13" s="3365" t="s">
        <v>1640</v>
      </c>
      <c r="B13" s="3365"/>
      <c r="C13" s="3365"/>
      <c r="D13" s="3366" t="e">
        <f>结果表!D127</f>
        <v>#VALUE!</v>
      </c>
      <c r="E13" s="3366"/>
      <c r="F13" s="3366"/>
      <c r="G13" s="3366"/>
      <c r="H13" s="3366"/>
      <c r="I13" s="3366"/>
    </row>
    <row r="14" spans="1:9" ht="15" thickTop="1">
      <c r="A14" s="3367" t="s">
        <v>1645</v>
      </c>
      <c r="B14" s="3367"/>
      <c r="C14" s="3367"/>
      <c r="D14" s="3367"/>
      <c r="E14" s="3367"/>
      <c r="F14" s="3367"/>
      <c r="G14" s="3367"/>
      <c r="H14" s="3367"/>
      <c r="I14" s="336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382" t="s">
        <v>1662</v>
      </c>
      <c r="B1" s="3382"/>
      <c r="C1" s="3382"/>
      <c r="D1" s="3382"/>
    </row>
    <row r="2" spans="1:4" ht="18">
      <c r="A2" s="3383" t="s">
        <v>1646</v>
      </c>
      <c r="B2" s="3383"/>
      <c r="C2" s="3383"/>
      <c r="D2" s="3383"/>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3383" t="s">
        <v>1652</v>
      </c>
      <c r="B6" s="3383"/>
      <c r="C6" s="3383"/>
      <c r="D6" s="338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384" t="s">
        <v>1655</v>
      </c>
      <c r="B11" s="3376"/>
      <c r="C11" s="3376"/>
      <c r="D11" s="3376"/>
    </row>
    <row r="12" spans="1:4" ht="15.75">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1"/>
      <c r="C12" s="3381"/>
      <c r="D12" s="3381"/>
    </row>
    <row r="13" spans="1:4" ht="30" customHeight="1">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1"/>
      <c r="C13" s="3381"/>
      <c r="D13" s="3381"/>
    </row>
    <row r="14" spans="1:4" ht="15.75" customHeight="1">
      <c r="A14" s="3376" t="str">
        <f>IF(项目基本情况!B8="抵押","4.本次评估估价师所知悉的法定优先受偿款情况说明如下：","——")</f>
        <v>4.本次评估估价师所知悉的法定优先受偿款情况说明如下：</v>
      </c>
      <c r="B14" s="3381"/>
      <c r="C14" s="3381"/>
      <c r="D14" s="3381"/>
    </row>
    <row r="15" spans="1:4" ht="42" customHeight="1">
      <c r="A15" s="33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6"/>
      <c r="C15" s="3376"/>
      <c r="D15" s="3376"/>
    </row>
    <row r="16" spans="1:4" ht="30" customHeight="1">
      <c r="A16" s="3378" t="s">
        <v>1656</v>
      </c>
      <c r="B16" s="3378"/>
      <c r="C16" s="3378"/>
      <c r="D16" s="3378"/>
    </row>
    <row r="17" spans="1:4" ht="144" customHeight="1">
      <c r="A17" s="3378" t="s">
        <v>1657</v>
      </c>
      <c r="B17" s="3378"/>
      <c r="C17" s="3378"/>
      <c r="D17" s="3378"/>
    </row>
    <row r="18" spans="1:4" ht="15.75" customHeight="1">
      <c r="A18" s="3376" t="str">
        <f>IF(项目基本情况!B8="抵押",结果表!K120,"——")</f>
        <v>故，本次评估不存在估价师知悉的法定优先受偿款</v>
      </c>
      <c r="B18" s="3376"/>
      <c r="C18" s="3376"/>
      <c r="D18" s="3376"/>
    </row>
    <row r="19" spans="1:4" ht="46.5" customHeight="1">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spans="1:4" ht="18.75" customHeight="1">
      <c r="A22" s="3380" t="s">
        <v>1658</v>
      </c>
      <c r="B22" s="3380"/>
      <c r="C22" s="3380"/>
      <c r="D22" s="338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377">
        <v>42551</v>
      </c>
      <c r="D31" s="33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390" t="s">
        <v>1669</v>
      </c>
      <c r="B15" s="3385" t="s">
        <v>136</v>
      </c>
      <c r="C15" s="3386"/>
    </row>
    <row r="16" spans="1:7" ht="13.5">
      <c r="A16" s="3391"/>
      <c r="B16" s="3385" t="s">
        <v>69</v>
      </c>
      <c r="C16" s="3386"/>
    </row>
    <row r="17" spans="1:3" ht="13.5">
      <c r="A17" s="3391"/>
      <c r="B17" s="3388" t="s">
        <v>1670</v>
      </c>
      <c r="C17" s="2003" t="s">
        <v>1669</v>
      </c>
    </row>
    <row r="18" spans="1:3" ht="13.5">
      <c r="A18" s="3391"/>
      <c r="B18" s="3388"/>
      <c r="C18" s="2003" t="s">
        <v>1671</v>
      </c>
    </row>
    <row r="19" spans="1:3" ht="13.5">
      <c r="A19" s="3391"/>
      <c r="B19" s="3388"/>
      <c r="C19" s="2003" t="s">
        <v>1672</v>
      </c>
    </row>
    <row r="20" spans="1:3" ht="13.5">
      <c r="A20" s="3392"/>
      <c r="B20" s="3387" t="s">
        <v>1673</v>
      </c>
      <c r="C20" s="3386"/>
    </row>
    <row r="21" spans="1:3" ht="13.5">
      <c r="A21" s="2004" t="s">
        <v>1674</v>
      </c>
      <c r="B21" s="2005"/>
      <c r="C21" s="2006"/>
    </row>
    <row r="22" spans="1:3" ht="13.5">
      <c r="A22" s="3389" t="s">
        <v>1675</v>
      </c>
      <c r="B22" s="3387" t="s">
        <v>1676</v>
      </c>
      <c r="C22" s="3386"/>
    </row>
    <row r="23" spans="1:3" ht="13.5">
      <c r="A23" s="3389"/>
      <c r="B23" s="3387" t="s">
        <v>1677</v>
      </c>
      <c r="C23" s="3386"/>
    </row>
    <row r="24" spans="1:3" ht="13.5">
      <c r="A24" s="3389"/>
      <c r="B24" s="3387" t="s">
        <v>1678</v>
      </c>
      <c r="C24" s="3386"/>
    </row>
    <row r="25" spans="1:3" ht="13.5">
      <c r="A25" s="3389"/>
      <c r="B25" s="3388" t="s">
        <v>1679</v>
      </c>
      <c r="C25" s="2003" t="s">
        <v>1680</v>
      </c>
    </row>
    <row r="26" spans="1:3" ht="13.5">
      <c r="A26" s="3389"/>
      <c r="B26" s="3388"/>
      <c r="C26" s="2003" t="s">
        <v>1681</v>
      </c>
    </row>
    <row r="27" spans="1:3" ht="13.5">
      <c r="A27" s="3389"/>
      <c r="B27" s="3388"/>
      <c r="C27" s="2003" t="s">
        <v>1682</v>
      </c>
    </row>
    <row r="28" spans="1:3" ht="13.5">
      <c r="A28" s="3389"/>
      <c r="B28" s="3388"/>
      <c r="C28" s="2003" t="s">
        <v>1683</v>
      </c>
    </row>
    <row r="29" spans="1:3" ht="13.5">
      <c r="A29" s="3389"/>
      <c r="B29" s="3388"/>
      <c r="C29" s="2003" t="s">
        <v>1684</v>
      </c>
    </row>
    <row r="30" spans="1:3" ht="13.5">
      <c r="A30" s="3389"/>
      <c r="B30" s="3388"/>
      <c r="C30" s="2003" t="s">
        <v>1685</v>
      </c>
    </row>
    <row r="31" spans="1:3" ht="13.5">
      <c r="A31" s="3389"/>
      <c r="B31" s="3388"/>
      <c r="C31" s="2003" t="s">
        <v>1686</v>
      </c>
    </row>
    <row r="32" spans="1:3" ht="13.5">
      <c r="A32" s="3389"/>
      <c r="B32" s="3388"/>
      <c r="C32" s="2003" t="s">
        <v>1687</v>
      </c>
    </row>
    <row r="33" spans="1:3" ht="13.5">
      <c r="A33" s="3389"/>
      <c r="B33" s="3388"/>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393" t="s">
        <v>846</v>
      </c>
      <c r="B25" s="3393"/>
      <c r="C25" s="3393"/>
      <c r="D25" s="3393"/>
      <c r="E25" s="3393"/>
      <c r="F25" s="3393"/>
      <c r="G25" s="3393"/>
    </row>
    <row r="26" spans="1:7" s="1028" customFormat="1" ht="24" customHeight="1">
      <c r="A26" s="3394" t="s">
        <v>847</v>
      </c>
      <c r="B26" s="3394"/>
      <c r="C26" s="3395"/>
      <c r="D26" s="3396" t="s">
        <v>848</v>
      </c>
      <c r="E26" s="3394"/>
      <c r="F26" s="3394"/>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不动产比较法-住宅</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2018-11-06T08:16:43Z</dcterms:modified>
</cp:coreProperties>
</file>