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win10\Desktop\安置房成本\"/>
    </mc:Choice>
  </mc:AlternateContent>
  <bookViews>
    <workbookView xWindow="8784" yWindow="456" windowWidth="22764" windowHeight="15024" tabRatio="883"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面积表" sheetId="83" r:id="rId17"/>
    <sheet name="测算表" sheetId="84" r:id="rId18"/>
    <sheet name="成本法" sheetId="68" r:id="rId19"/>
    <sheet name="收益法" sheetId="15" r:id="rId20"/>
    <sheet name="资料整理" sheetId="85" r:id="rId21"/>
    <sheet name="系统读取表" sheetId="74" r:id="rId22"/>
    <sheet name="结果表" sheetId="9" r:id="rId23"/>
    <sheet name="基准地价修正" sheetId="43" r:id="rId24"/>
    <sheet name="Sheet2" sheetId="81" r:id="rId25"/>
    <sheet name="Sheet3" sheetId="88"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工作表3" sheetId="87" r:id="rId42"/>
    <sheet name="Sheet1" sheetId="80"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27">假设开发法!$A$1:$K$32</definedName>
    <definedName name="_xlnm.Print_Area" localSheetId="22">结果表!$A$1:$I$127</definedName>
    <definedName name="_xlnm.Print_Area" localSheetId="19">收益法!$A$1:$F$43,收益法!$H$3:$M$29,收益法!$I$46:$N$65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2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E13" i="84" l="1"/>
  <c r="D14" i="84"/>
  <c r="C12" i="84"/>
  <c r="E6" i="84"/>
  <c r="E4" i="84"/>
  <c r="C6" i="68" l="1"/>
  <c r="E7" i="84" l="1"/>
  <c r="E5" i="84" s="1"/>
  <c r="D5" i="84" s="1"/>
  <c r="E3" i="84"/>
  <c r="D3" i="84" s="1"/>
  <c r="D81" i="83"/>
  <c r="C104" i="83"/>
  <c r="C30" i="83"/>
  <c r="C98" i="83"/>
  <c r="C102" i="83"/>
  <c r="C100" i="83"/>
  <c r="D80" i="83"/>
  <c r="D82" i="83" s="1"/>
  <c r="C82" i="83"/>
  <c r="B82" i="83"/>
  <c r="C80" i="83"/>
  <c r="C81" i="83"/>
  <c r="B81" i="83"/>
  <c r="B95" i="83"/>
  <c r="B80" i="83"/>
  <c r="B93" i="83"/>
  <c r="L14" i="1"/>
  <c r="L8" i="1"/>
  <c r="E8" i="84" l="1"/>
  <c r="E9" i="84" s="1"/>
  <c r="H6" i="84"/>
  <c r="E11" i="84"/>
  <c r="H76" i="83"/>
  <c r="P78" i="83"/>
  <c r="F78" i="83"/>
  <c r="N78" i="83" s="1"/>
  <c r="J78" i="83"/>
  <c r="P77" i="83"/>
  <c r="F77" i="83"/>
  <c r="N77" i="83" s="1"/>
  <c r="J77" i="83"/>
  <c r="O76" i="83"/>
  <c r="O73" i="83" s="1"/>
  <c r="O75" i="83"/>
  <c r="P75" i="83" s="1"/>
  <c r="H75" i="83"/>
  <c r="J75" i="83"/>
  <c r="D75" i="83"/>
  <c r="F75" i="83" s="1"/>
  <c r="P74" i="83"/>
  <c r="F74" i="83"/>
  <c r="J74" i="83"/>
  <c r="B73" i="83"/>
  <c r="D73" i="83"/>
  <c r="I73" i="83"/>
  <c r="K73" i="83"/>
  <c r="M73" i="83"/>
  <c r="J73" i="83"/>
  <c r="D145" i="87"/>
  <c r="E145" i="87"/>
  <c r="C145" i="87"/>
  <c r="F27" i="87"/>
  <c r="D27" i="87"/>
  <c r="F21" i="87"/>
  <c r="D21" i="87"/>
  <c r="D28" i="87" s="1"/>
  <c r="F12" i="87"/>
  <c r="F28" i="87" s="1"/>
  <c r="D12" i="87"/>
  <c r="K18" i="85"/>
  <c r="M9" i="85"/>
  <c r="B59" i="1"/>
  <c r="D3" i="4"/>
  <c r="L13" i="81"/>
  <c r="P1" i="83"/>
  <c r="J25" i="83"/>
  <c r="K25" i="83"/>
  <c r="L25" i="83"/>
  <c r="M25" i="83"/>
  <c r="N25" i="83"/>
  <c r="O25" i="83"/>
  <c r="J12" i="83"/>
  <c r="D33" i="83" s="1"/>
  <c r="K12" i="83"/>
  <c r="D35" i="83" s="1"/>
  <c r="L12" i="83"/>
  <c r="D34" i="83" s="1"/>
  <c r="M13" i="3" s="1"/>
  <c r="G20" i="6" s="1"/>
  <c r="M12" i="83"/>
  <c r="N12" i="83"/>
  <c r="D32" i="83"/>
  <c r="D25" i="83"/>
  <c r="E25" i="83"/>
  <c r="F25" i="83"/>
  <c r="G25" i="83"/>
  <c r="H25" i="83"/>
  <c r="D12" i="83"/>
  <c r="E12" i="83"/>
  <c r="F12" i="83"/>
  <c r="G12" i="83"/>
  <c r="C34" i="83" s="1"/>
  <c r="E34" i="83" s="1"/>
  <c r="G34" i="83" s="1"/>
  <c r="H12" i="83"/>
  <c r="C32" i="83" s="1"/>
  <c r="C17" i="83"/>
  <c r="B17" i="83" s="1"/>
  <c r="I24" i="83"/>
  <c r="C24" i="83"/>
  <c r="I23" i="83"/>
  <c r="C23" i="83"/>
  <c r="I22" i="83"/>
  <c r="C22" i="83"/>
  <c r="I21" i="83"/>
  <c r="C21" i="83"/>
  <c r="I20" i="83"/>
  <c r="C20" i="83"/>
  <c r="I19" i="83"/>
  <c r="C19" i="83"/>
  <c r="B19" i="83" s="1"/>
  <c r="I18" i="83"/>
  <c r="I25" i="83" s="1"/>
  <c r="C18" i="83"/>
  <c r="I17" i="83"/>
  <c r="I5" i="83"/>
  <c r="I6" i="83"/>
  <c r="I7" i="83"/>
  <c r="I8" i="83"/>
  <c r="I9" i="83"/>
  <c r="I10" i="83"/>
  <c r="I11" i="83"/>
  <c r="I4" i="83"/>
  <c r="B23" i="83"/>
  <c r="B21" i="83"/>
  <c r="G20" i="73"/>
  <c r="F20" i="73"/>
  <c r="E20" i="73"/>
  <c r="G19" i="73"/>
  <c r="F19" i="73"/>
  <c r="E19" i="73"/>
  <c r="G18" i="73"/>
  <c r="F18" i="73"/>
  <c r="E18" i="73"/>
  <c r="G16" i="73"/>
  <c r="F16" i="73"/>
  <c r="E16" i="73"/>
  <c r="G15" i="73"/>
  <c r="F15" i="73"/>
  <c r="E15" i="73"/>
  <c r="G14" i="73"/>
  <c r="F14" i="73"/>
  <c r="E14" i="73"/>
  <c r="G13" i="73"/>
  <c r="F13" i="73"/>
  <c r="E13" i="73"/>
  <c r="C1" i="73"/>
  <c r="J1" i="73" s="1"/>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F82" i="71" s="1"/>
  <c r="C83" i="71"/>
  <c r="D83" i="71" s="1"/>
  <c r="B83" i="71"/>
  <c r="B82" i="71" s="1"/>
  <c r="C82" i="71"/>
  <c r="D82" i="71" s="1"/>
  <c r="D81" i="71"/>
  <c r="Q80" i="71"/>
  <c r="P80" i="71"/>
  <c r="O80" i="71"/>
  <c r="N80" i="71"/>
  <c r="F80" i="71"/>
  <c r="V80" i="71" s="1"/>
  <c r="E80" i="71"/>
  <c r="U80" i="71" s="1"/>
  <c r="D80" i="7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U72"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U68" i="71" s="1"/>
  <c r="C68" i="71"/>
  <c r="T68" i="71" s="1"/>
  <c r="B68" i="71"/>
  <c r="S68" i="71" s="1"/>
  <c r="F67" i="71"/>
  <c r="Q67" i="71" s="1"/>
  <c r="C67" i="71"/>
  <c r="O67" i="71" s="1"/>
  <c r="B67" i="71"/>
  <c r="N67"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C38" i="71"/>
  <c r="D38" i="71" s="1"/>
  <c r="B38" i="71"/>
  <c r="B39" i="71" s="1"/>
  <c r="B40" i="71" s="1"/>
  <c r="S40" i="71" s="1"/>
  <c r="AH37" i="71"/>
  <c r="AG37" i="71"/>
  <c r="AE37" i="71"/>
  <c r="AF37" i="71" s="1"/>
  <c r="AD37" i="71"/>
  <c r="Q37" i="71"/>
  <c r="AB37" i="71" s="1"/>
  <c r="P37" i="71"/>
  <c r="O37" i="71"/>
  <c r="Y37" i="71" s="1"/>
  <c r="Z37" i="71" s="1"/>
  <c r="N37" i="71"/>
  <c r="X37" i="71" s="1"/>
  <c r="D37" i="71"/>
  <c r="AH36" i="71"/>
  <c r="AG36" i="71"/>
  <c r="AF36" i="71"/>
  <c r="AE36" i="71"/>
  <c r="AD36" i="71"/>
  <c r="Y36" i="71"/>
  <c r="Z36" i="71" s="1"/>
  <c r="Q36" i="71"/>
  <c r="AB36" i="71" s="1"/>
  <c r="P36" i="71"/>
  <c r="AA36" i="71" s="1"/>
  <c r="O36" i="71"/>
  <c r="N36" i="71"/>
  <c r="X36" i="71" s="1"/>
  <c r="AH35" i="71"/>
  <c r="AG35" i="71"/>
  <c r="AE35" i="71"/>
  <c r="AF35" i="71" s="1"/>
  <c r="AD35" i="71"/>
  <c r="AB35" i="71"/>
  <c r="Z35" i="71"/>
  <c r="Q35" i="71"/>
  <c r="P35" i="71"/>
  <c r="O35" i="71"/>
  <c r="Y35" i="71" s="1"/>
  <c r="N35" i="71"/>
  <c r="X35" i="71" s="1"/>
  <c r="E35" i="71"/>
  <c r="AH34" i="71"/>
  <c r="AG34" i="71"/>
  <c r="AF34" i="71"/>
  <c r="AE34" i="71"/>
  <c r="AD34" i="71"/>
  <c r="AB34" i="71"/>
  <c r="Q34" i="71"/>
  <c r="P34" i="71"/>
  <c r="O34" i="71"/>
  <c r="Y34" i="71" s="1"/>
  <c r="Z34" i="71" s="1"/>
  <c r="N34" i="71"/>
  <c r="X34" i="71" s="1"/>
  <c r="D34" i="71"/>
  <c r="C34" i="71"/>
  <c r="C35" i="71" s="1"/>
  <c r="AH33" i="71"/>
  <c r="AG33" i="71"/>
  <c r="AE33" i="71"/>
  <c r="AF33" i="71" s="1"/>
  <c r="AD33" i="71"/>
  <c r="Q33" i="71"/>
  <c r="P33" i="71"/>
  <c r="E34" i="71" s="1"/>
  <c r="O33" i="71"/>
  <c r="Y33" i="71" s="1"/>
  <c r="Z33" i="71" s="1"/>
  <c r="N33" i="71"/>
  <c r="B34" i="71" s="1"/>
  <c r="B35" i="71" s="1"/>
  <c r="B36" i="71" s="1"/>
  <c r="S36" i="71" s="1"/>
  <c r="D33" i="71"/>
  <c r="AH32" i="71"/>
  <c r="AG32" i="71"/>
  <c r="AE32" i="71"/>
  <c r="AF32" i="71" s="1"/>
  <c r="AD32" i="71"/>
  <c r="Y32" i="71"/>
  <c r="Z32" i="71" s="1"/>
  <c r="Q32" i="71"/>
  <c r="P32" i="71"/>
  <c r="O32" i="71"/>
  <c r="N32" i="71"/>
  <c r="X32" i="71" s="1"/>
  <c r="F32" i="71"/>
  <c r="V32" i="71" s="1"/>
  <c r="AH31" i="71"/>
  <c r="AG31" i="71"/>
  <c r="AE31" i="71"/>
  <c r="AF31" i="71" s="1"/>
  <c r="AD31" i="71"/>
  <c r="Q31" i="71"/>
  <c r="P31" i="71"/>
  <c r="O31" i="71"/>
  <c r="Y31" i="71" s="1"/>
  <c r="Z31" i="71" s="1"/>
  <c r="N31" i="71"/>
  <c r="F31" i="71"/>
  <c r="AH30" i="71"/>
  <c r="AG30" i="71"/>
  <c r="AE30" i="71"/>
  <c r="AF30" i="71" s="1"/>
  <c r="AD30" i="71"/>
  <c r="Q30" i="71"/>
  <c r="P30" i="71"/>
  <c r="AA30" i="71" s="1"/>
  <c r="O30" i="71"/>
  <c r="Y30" i="71" s="1"/>
  <c r="Z30" i="71" s="1"/>
  <c r="N30" i="71"/>
  <c r="F30" i="71"/>
  <c r="B30" i="71"/>
  <c r="B31" i="71" s="1"/>
  <c r="AH29" i="71"/>
  <c r="AG29" i="71"/>
  <c r="AE29" i="71"/>
  <c r="AF29" i="71" s="1"/>
  <c r="AD29" i="71"/>
  <c r="Y29" i="71"/>
  <c r="Z29" i="71" s="1"/>
  <c r="Q29" i="71"/>
  <c r="P29" i="71"/>
  <c r="AA27" i="71" s="1"/>
  <c r="O29" i="71"/>
  <c r="C30" i="71" s="1"/>
  <c r="D30" i="71" s="1"/>
  <c r="N29" i="71"/>
  <c r="D29" i="71"/>
  <c r="AH28" i="71"/>
  <c r="AG28" i="71"/>
  <c r="AE28" i="71"/>
  <c r="AF28" i="71" s="1"/>
  <c r="AD28" i="71"/>
  <c r="V28" i="71"/>
  <c r="Q28" i="71"/>
  <c r="P28" i="71"/>
  <c r="O28" i="71"/>
  <c r="N28" i="71"/>
  <c r="B28" i="71" s="1"/>
  <c r="S28" i="71" s="1"/>
  <c r="F28" i="71"/>
  <c r="E28" i="71"/>
  <c r="AH27" i="71"/>
  <c r="AG27" i="71"/>
  <c r="AF27" i="71"/>
  <c r="AE27" i="71"/>
  <c r="AD27" i="71"/>
  <c r="Q27" i="71"/>
  <c r="P27" i="71"/>
  <c r="O27" i="71"/>
  <c r="Y27" i="71" s="1"/>
  <c r="Z27" i="71" s="1"/>
  <c r="N27" i="71"/>
  <c r="X27" i="71" s="1"/>
  <c r="F27" i="71"/>
  <c r="E27" i="71"/>
  <c r="B27" i="71"/>
  <c r="AH26" i="71"/>
  <c r="AG26" i="71"/>
  <c r="AF26" i="71"/>
  <c r="AE26" i="71"/>
  <c r="AD26" i="71"/>
  <c r="Z26" i="71"/>
  <c r="Q26" i="71"/>
  <c r="P26" i="71"/>
  <c r="O26" i="71"/>
  <c r="Y26" i="71" s="1"/>
  <c r="N26" i="71"/>
  <c r="F26" i="71"/>
  <c r="E26" i="71"/>
  <c r="B26" i="71"/>
  <c r="AH25" i="71"/>
  <c r="AG25" i="71"/>
  <c r="AE25" i="71"/>
  <c r="AF25" i="71" s="1"/>
  <c r="AD25" i="71"/>
  <c r="Q25" i="71"/>
  <c r="P25" i="71"/>
  <c r="O25" i="71"/>
  <c r="N25" i="71"/>
  <c r="D25" i="71"/>
  <c r="AH24" i="71"/>
  <c r="AG24" i="71"/>
  <c r="AF24" i="71"/>
  <c r="AE24" i="71"/>
  <c r="AD24" i="71"/>
  <c r="V24" i="71"/>
  <c r="Q24" i="71"/>
  <c r="P24" i="71"/>
  <c r="O24" i="71"/>
  <c r="N24" i="71"/>
  <c r="F24" i="71"/>
  <c r="F23" i="71" s="1"/>
  <c r="F22" i="71" s="1"/>
  <c r="F21" i="71" s="1"/>
  <c r="F20" i="71" s="1"/>
  <c r="F19" i="71" s="1"/>
  <c r="F18" i="71" s="1"/>
  <c r="F17" i="71" s="1"/>
  <c r="F16" i="71" s="1"/>
  <c r="F15" i="71" s="1"/>
  <c r="F14" i="71" s="1"/>
  <c r="F13" i="71" s="1"/>
  <c r="F12" i="71" s="1"/>
  <c r="F11" i="71" s="1"/>
  <c r="F10" i="71" s="1"/>
  <c r="F9" i="71" s="1"/>
  <c r="F8" i="71" s="1"/>
  <c r="E24" i="71"/>
  <c r="C24" i="71"/>
  <c r="T24" i="71" s="1"/>
  <c r="B24" i="71"/>
  <c r="S24" i="71" s="1"/>
  <c r="AH23" i="71"/>
  <c r="AG23" i="71"/>
  <c r="AE23" i="71"/>
  <c r="AF23" i="71" s="1"/>
  <c r="AD23" i="71"/>
  <c r="Q23" i="71"/>
  <c r="P23" i="71"/>
  <c r="O23" i="71"/>
  <c r="N23" i="71"/>
  <c r="B23" i="71" s="1"/>
  <c r="B22" i="71" s="1"/>
  <c r="B21" i="71" s="1"/>
  <c r="E23" i="71"/>
  <c r="C23" i="71"/>
  <c r="AH22" i="71"/>
  <c r="AG22" i="71"/>
  <c r="AE22" i="71"/>
  <c r="AF22" i="71" s="1"/>
  <c r="AD22" i="71"/>
  <c r="Q22" i="71"/>
  <c r="P22" i="71"/>
  <c r="O22" i="71"/>
  <c r="N22" i="71"/>
  <c r="E22" i="71"/>
  <c r="E21" i="71" s="1"/>
  <c r="E20" i="71" s="1"/>
  <c r="AH21" i="71"/>
  <c r="AG21" i="71"/>
  <c r="AE21" i="71"/>
  <c r="AF21" i="71" s="1"/>
  <c r="AD21" i="71"/>
  <c r="Q21" i="71"/>
  <c r="P21" i="71"/>
  <c r="O21" i="71"/>
  <c r="Y21" i="71" s="1"/>
  <c r="Z21" i="71" s="1"/>
  <c r="N21" i="71"/>
  <c r="X21" i="71" s="1"/>
  <c r="AH20" i="71"/>
  <c r="AG20" i="71"/>
  <c r="AF20" i="71"/>
  <c r="AE20" i="71"/>
  <c r="AD20" i="71"/>
  <c r="Q20" i="71"/>
  <c r="P20" i="71"/>
  <c r="O20" i="71"/>
  <c r="N20" i="71"/>
  <c r="X20" i="71" s="1"/>
  <c r="AH19" i="71"/>
  <c r="AG19" i="71"/>
  <c r="AE19" i="71"/>
  <c r="AF19" i="71" s="1"/>
  <c r="AD19" i="71"/>
  <c r="Q19" i="71"/>
  <c r="P19" i="71"/>
  <c r="O19" i="71"/>
  <c r="N19" i="71"/>
  <c r="X19" i="71" s="1"/>
  <c r="AH18" i="71"/>
  <c r="AG18" i="71"/>
  <c r="AE18" i="71"/>
  <c r="AF18" i="71" s="1"/>
  <c r="AD18" i="71"/>
  <c r="Q18" i="71"/>
  <c r="P18" i="71"/>
  <c r="O18" i="71"/>
  <c r="Y18" i="71" s="1"/>
  <c r="Z18" i="71" s="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AA15" i="71" s="1"/>
  <c r="O15" i="71"/>
  <c r="N15" i="71"/>
  <c r="AH14" i="71"/>
  <c r="AG14" i="71"/>
  <c r="AE14" i="71"/>
  <c r="AF14" i="71" s="1"/>
  <c r="AD14" i="71"/>
  <c r="Q14" i="71"/>
  <c r="P14" i="71"/>
  <c r="O14" i="71"/>
  <c r="N14" i="71"/>
  <c r="AH13" i="71"/>
  <c r="AG13" i="71"/>
  <c r="AE13" i="71"/>
  <c r="AF13" i="71" s="1"/>
  <c r="AD13" i="71"/>
  <c r="Q13" i="71"/>
  <c r="P13" i="71"/>
  <c r="O13" i="71"/>
  <c r="Y13" i="71" s="1"/>
  <c r="Z13" i="71" s="1"/>
  <c r="N13" i="71"/>
  <c r="X13" i="71" s="1"/>
  <c r="AH12" i="71"/>
  <c r="AG12" i="71"/>
  <c r="AF12" i="71"/>
  <c r="AE12" i="71"/>
  <c r="AD12" i="71"/>
  <c r="Q12" i="71"/>
  <c r="P12" i="71"/>
  <c r="O12" i="71"/>
  <c r="N12" i="71"/>
  <c r="AH11" i="71"/>
  <c r="AG11" i="71"/>
  <c r="AE11" i="71"/>
  <c r="AF11" i="71" s="1"/>
  <c r="AD11" i="71"/>
  <c r="Q11" i="71"/>
  <c r="P11" i="71"/>
  <c r="O11" i="71"/>
  <c r="N11" i="71"/>
  <c r="X11" i="71" s="1"/>
  <c r="AH10" i="71"/>
  <c r="AG10" i="71"/>
  <c r="AF10" i="71"/>
  <c r="AE10" i="71"/>
  <c r="AD10" i="71"/>
  <c r="Y10" i="71"/>
  <c r="Z10" i="71" s="1"/>
  <c r="Q10" i="71"/>
  <c r="P10" i="71"/>
  <c r="O10" i="71"/>
  <c r="N10" i="71"/>
  <c r="AH9" i="71"/>
  <c r="AG9" i="71"/>
  <c r="AE9" i="71"/>
  <c r="AF9" i="71" s="1"/>
  <c r="AD9" i="71"/>
  <c r="Y9" i="71"/>
  <c r="Z9" i="71" s="1"/>
  <c r="Q9" i="71"/>
  <c r="P9" i="71"/>
  <c r="O9" i="71"/>
  <c r="N9" i="71"/>
  <c r="AH8" i="71"/>
  <c r="AG8" i="71"/>
  <c r="AF8" i="71"/>
  <c r="AE8" i="71"/>
  <c r="AD8" i="71"/>
  <c r="Q8" i="71"/>
  <c r="P8" i="71"/>
  <c r="O8" i="71"/>
  <c r="N8" i="71"/>
  <c r="AH7" i="71"/>
  <c r="AG7" i="71"/>
  <c r="AF7" i="71"/>
  <c r="AE7" i="71"/>
  <c r="AD7" i="71"/>
  <c r="AB7" i="71"/>
  <c r="AA7" i="71"/>
  <c r="Z7" i="71"/>
  <c r="Y7" i="71"/>
  <c r="X7" i="71"/>
  <c r="Q7" i="71"/>
  <c r="P7" i="71"/>
  <c r="O7" i="71"/>
  <c r="N7" i="71"/>
  <c r="F7" i="71"/>
  <c r="F6" i="71" s="1"/>
  <c r="F5" i="71" s="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E3" i="71"/>
  <c r="AF3" i="71" s="1"/>
  <c r="AB3" i="71"/>
  <c r="L3" i="71"/>
  <c r="AH3" i="71" s="1"/>
  <c r="K3" i="71"/>
  <c r="AG3" i="71" s="1"/>
  <c r="J3" i="71"/>
  <c r="I3" i="71"/>
  <c r="AD3" i="71" s="1"/>
  <c r="AB42" i="79"/>
  <c r="AA42" i="79"/>
  <c r="Z42" i="79"/>
  <c r="W42" i="79"/>
  <c r="P42" i="79"/>
  <c r="N42" i="79"/>
  <c r="M42" i="79"/>
  <c r="L42" i="79"/>
  <c r="I42" i="79"/>
  <c r="AD42" i="79" s="1"/>
  <c r="AB41" i="79"/>
  <c r="AA41" i="79"/>
  <c r="Z41" i="79"/>
  <c r="S41" i="79"/>
  <c r="N41" i="79"/>
  <c r="U41" i="79" s="1"/>
  <c r="M41" i="79"/>
  <c r="L41" i="79"/>
  <c r="I41" i="79"/>
  <c r="AD41" i="79" s="1"/>
  <c r="AB40" i="79"/>
  <c r="AA40" i="79"/>
  <c r="Z40" i="79"/>
  <c r="T40" i="79"/>
  <c r="W40" i="79" s="1"/>
  <c r="N40" i="79"/>
  <c r="U40" i="79" s="1"/>
  <c r="M40" i="79"/>
  <c r="P40" i="79" s="1"/>
  <c r="L40" i="79"/>
  <c r="S40" i="79" s="1"/>
  <c r="I40" i="79"/>
  <c r="AB39" i="79"/>
  <c r="AA39" i="79"/>
  <c r="Z39" i="79"/>
  <c r="T39" i="79"/>
  <c r="W39" i="79" s="1"/>
  <c r="P39" i="79"/>
  <c r="N39" i="79"/>
  <c r="U39" i="79" s="1"/>
  <c r="M39" i="79"/>
  <c r="L39" i="79"/>
  <c r="S39" i="79" s="1"/>
  <c r="I39" i="79"/>
  <c r="AD39" i="79" s="1"/>
  <c r="AB38" i="79"/>
  <c r="AA38" i="79"/>
  <c r="Z38" i="79"/>
  <c r="U38" i="79"/>
  <c r="P38" i="79"/>
  <c r="N38" i="79"/>
  <c r="M38" i="79"/>
  <c r="L38" i="79"/>
  <c r="S38" i="79" s="1"/>
  <c r="I38" i="79"/>
  <c r="AD38" i="79" s="1"/>
  <c r="AB37" i="79"/>
  <c r="AA37" i="79"/>
  <c r="Z37" i="79"/>
  <c r="S37" i="79"/>
  <c r="N37" i="79"/>
  <c r="U37" i="79" s="1"/>
  <c r="M37" i="79"/>
  <c r="L37" i="79"/>
  <c r="I37" i="79"/>
  <c r="AD37" i="79" s="1"/>
  <c r="AB36" i="79"/>
  <c r="AA36" i="79"/>
  <c r="Z36" i="79"/>
  <c r="T36" i="79"/>
  <c r="W36" i="79" s="1"/>
  <c r="N36" i="79"/>
  <c r="M36" i="79"/>
  <c r="P36" i="79" s="1"/>
  <c r="L36" i="79"/>
  <c r="S36" i="79" s="1"/>
  <c r="I36" i="79"/>
  <c r="AB35" i="79"/>
  <c r="AA35" i="79"/>
  <c r="Z35" i="79"/>
  <c r="T35" i="79"/>
  <c r="W35" i="79" s="1"/>
  <c r="P35" i="79"/>
  <c r="N35" i="79"/>
  <c r="U35" i="79" s="1"/>
  <c r="M35" i="79"/>
  <c r="L35" i="79"/>
  <c r="S35" i="79" s="1"/>
  <c r="I35" i="79"/>
  <c r="AD35" i="79" s="1"/>
  <c r="U34" i="79"/>
  <c r="P34" i="79"/>
  <c r="N34" i="79"/>
  <c r="M34" i="79"/>
  <c r="L34" i="79"/>
  <c r="S34" i="79" s="1"/>
  <c r="I34" i="79"/>
  <c r="N33" i="79"/>
  <c r="M33" i="79"/>
  <c r="L33" i="79"/>
  <c r="S33" i="79" s="1"/>
  <c r="I33" i="79"/>
  <c r="N32" i="79"/>
  <c r="M32" i="79"/>
  <c r="P32" i="79" s="1"/>
  <c r="L32" i="79"/>
  <c r="I32" i="79"/>
  <c r="U31" i="79"/>
  <c r="P31" i="79"/>
  <c r="N31" i="79"/>
  <c r="M31" i="79"/>
  <c r="L31" i="79"/>
  <c r="I31" i="79"/>
  <c r="P30" i="79"/>
  <c r="N30" i="79"/>
  <c r="M30" i="79"/>
  <c r="T30" i="79" s="1"/>
  <c r="W30" i="79" s="1"/>
  <c r="L30" i="79"/>
  <c r="S30" i="79" s="1"/>
  <c r="I30" i="79"/>
  <c r="AB29" i="79"/>
  <c r="AA29" i="79"/>
  <c r="Z29" i="79"/>
  <c r="Z26" i="79" s="1"/>
  <c r="N29" i="79"/>
  <c r="M29" i="79"/>
  <c r="L29" i="79"/>
  <c r="I29" i="79"/>
  <c r="AB28" i="79"/>
  <c r="AB26" i="79" s="1"/>
  <c r="AA28" i="79"/>
  <c r="AA26" i="79" s="1"/>
  <c r="AD26" i="79" s="1"/>
  <c r="Z28" i="79"/>
  <c r="N28" i="79"/>
  <c r="M28" i="79"/>
  <c r="L28" i="79"/>
  <c r="I28" i="79"/>
  <c r="AD28" i="79" s="1"/>
  <c r="I26" i="79"/>
  <c r="G26" i="79"/>
  <c r="F26" i="79"/>
  <c r="E26" i="79"/>
  <c r="AC19" i="79"/>
  <c r="AB19" i="79"/>
  <c r="AA19" i="79"/>
  <c r="AD19" i="79" s="1"/>
  <c r="Z19" i="79"/>
  <c r="Y19" i="79"/>
  <c r="W19" i="79"/>
  <c r="P19" i="79"/>
  <c r="O19" i="79"/>
  <c r="N19" i="79"/>
  <c r="M19" i="79"/>
  <c r="L19" i="79"/>
  <c r="K19" i="79"/>
  <c r="I19" i="79"/>
  <c r="AC18" i="79"/>
  <c r="AB18" i="79"/>
  <c r="AA18" i="79"/>
  <c r="AD18" i="79" s="1"/>
  <c r="Z18" i="79"/>
  <c r="Y18" i="79"/>
  <c r="T18" i="79"/>
  <c r="W18" i="79"/>
  <c r="P18" i="79"/>
  <c r="O18" i="79"/>
  <c r="N18" i="79"/>
  <c r="U18" i="79" s="1"/>
  <c r="M18" i="79"/>
  <c r="L18" i="79"/>
  <c r="S18" i="79" s="1"/>
  <c r="K18" i="79"/>
  <c r="I18" i="79"/>
  <c r="AC17" i="79"/>
  <c r="AB17" i="79"/>
  <c r="AB3" i="79" s="1"/>
  <c r="AA17" i="79"/>
  <c r="AD17" i="79" s="1"/>
  <c r="Z17" i="79"/>
  <c r="Y17" i="79"/>
  <c r="V17" i="79"/>
  <c r="S17" i="79"/>
  <c r="O17" i="79"/>
  <c r="N17" i="79"/>
  <c r="M17" i="79"/>
  <c r="T17" i="79" s="1"/>
  <c r="W17" i="79" s="1"/>
  <c r="L17" i="79"/>
  <c r="K17" i="79"/>
  <c r="R17" i="79" s="1"/>
  <c r="I17" i="79"/>
  <c r="AC16" i="79"/>
  <c r="AB16" i="79"/>
  <c r="AA16" i="79"/>
  <c r="AD16" i="79" s="1"/>
  <c r="Z16" i="79"/>
  <c r="Y16" i="79"/>
  <c r="S16" i="79"/>
  <c r="R16" i="79"/>
  <c r="O16" i="79"/>
  <c r="N16" i="79"/>
  <c r="M16" i="79"/>
  <c r="L16" i="79"/>
  <c r="K16" i="79"/>
  <c r="I16" i="79"/>
  <c r="AD15" i="79"/>
  <c r="AC15" i="79"/>
  <c r="AB15" i="79"/>
  <c r="AA15" i="79"/>
  <c r="Z15" i="79"/>
  <c r="Y15" i="79"/>
  <c r="T15" i="79"/>
  <c r="W15" i="79" s="1"/>
  <c r="P15" i="79"/>
  <c r="O15" i="79"/>
  <c r="V15" i="79" s="1"/>
  <c r="N15" i="79"/>
  <c r="M15" i="79"/>
  <c r="L15" i="79"/>
  <c r="K15" i="79"/>
  <c r="I15" i="79"/>
  <c r="AD14" i="79"/>
  <c r="AC14" i="79"/>
  <c r="AC3" i="79" s="1"/>
  <c r="AB14" i="79"/>
  <c r="AA14" i="79"/>
  <c r="Z14" i="79"/>
  <c r="Y14" i="79"/>
  <c r="Y3" i="79" s="1"/>
  <c r="P14" i="79"/>
  <c r="O14" i="79"/>
  <c r="N14" i="79"/>
  <c r="U14" i="79" s="1"/>
  <c r="M14" i="79"/>
  <c r="L14" i="79"/>
  <c r="S14" i="79" s="1"/>
  <c r="K14" i="79"/>
  <c r="R14" i="79" s="1"/>
  <c r="I14" i="79"/>
  <c r="AC13" i="79"/>
  <c r="AB13" i="79"/>
  <c r="AA13" i="79"/>
  <c r="AD13" i="79" s="1"/>
  <c r="Z13" i="79"/>
  <c r="Y13" i="79"/>
  <c r="S13" i="79"/>
  <c r="O13" i="79"/>
  <c r="N13" i="79"/>
  <c r="U13" i="79" s="1"/>
  <c r="M13" i="79"/>
  <c r="L13" i="79"/>
  <c r="K13" i="79"/>
  <c r="I13" i="79"/>
  <c r="AC12" i="79"/>
  <c r="AB12" i="79"/>
  <c r="AA12" i="79"/>
  <c r="AD12" i="79" s="1"/>
  <c r="Z12" i="79"/>
  <c r="Y12" i="79"/>
  <c r="U12" i="79"/>
  <c r="O12" i="79"/>
  <c r="N12" i="79"/>
  <c r="M12" i="79"/>
  <c r="L12" i="79"/>
  <c r="K12" i="79"/>
  <c r="I12" i="79"/>
  <c r="V11" i="79"/>
  <c r="S11" i="79"/>
  <c r="O11" i="79"/>
  <c r="N11" i="79"/>
  <c r="M11" i="79"/>
  <c r="T11" i="79" s="1"/>
  <c r="W11" i="79" s="1"/>
  <c r="L11" i="79"/>
  <c r="K11" i="79"/>
  <c r="I11" i="79"/>
  <c r="T10" i="79"/>
  <c r="W10" i="79" s="1"/>
  <c r="P10" i="79"/>
  <c r="O10" i="79"/>
  <c r="N10" i="79"/>
  <c r="M10" i="79"/>
  <c r="L10" i="79"/>
  <c r="S10" i="79" s="1"/>
  <c r="K10" i="79"/>
  <c r="I10" i="79"/>
  <c r="T9" i="79"/>
  <c r="W9" i="79" s="1"/>
  <c r="P9" i="79"/>
  <c r="O9" i="79"/>
  <c r="N9" i="79"/>
  <c r="M9" i="79"/>
  <c r="L9" i="79"/>
  <c r="K9" i="79"/>
  <c r="I9" i="79"/>
  <c r="U8" i="79"/>
  <c r="O8" i="79"/>
  <c r="N8" i="79"/>
  <c r="M8" i="79"/>
  <c r="L8" i="79"/>
  <c r="K8" i="79"/>
  <c r="I8" i="79"/>
  <c r="V7" i="79"/>
  <c r="S7" i="79"/>
  <c r="O7" i="79"/>
  <c r="N7" i="79"/>
  <c r="M7" i="79"/>
  <c r="T7" i="79" s="1"/>
  <c r="W7" i="79" s="1"/>
  <c r="L7" i="79"/>
  <c r="K7" i="79"/>
  <c r="AD6" i="79"/>
  <c r="AC6" i="79"/>
  <c r="AB6" i="79"/>
  <c r="AA6" i="79"/>
  <c r="AA3" i="79" s="1"/>
  <c r="AD3" i="79" s="1"/>
  <c r="Z6" i="79"/>
  <c r="Y6" i="79"/>
  <c r="P6" i="79"/>
  <c r="O6" i="79"/>
  <c r="N6" i="79"/>
  <c r="M6" i="79"/>
  <c r="L6" i="79"/>
  <c r="S6" i="79" s="1"/>
  <c r="K6" i="79"/>
  <c r="I6" i="79"/>
  <c r="AD5" i="79"/>
  <c r="AC5" i="79"/>
  <c r="AB5" i="79"/>
  <c r="AA5" i="79"/>
  <c r="Z5" i="79"/>
  <c r="Y5" i="79"/>
  <c r="P5" i="79"/>
  <c r="O5" i="79"/>
  <c r="N5" i="79"/>
  <c r="U5" i="79" s="1"/>
  <c r="M5" i="79"/>
  <c r="L5" i="79"/>
  <c r="S5" i="79" s="1"/>
  <c r="K5" i="79"/>
  <c r="I5" i="79"/>
  <c r="N3" i="79"/>
  <c r="I3" i="79"/>
  <c r="H3" i="79"/>
  <c r="G3" i="79"/>
  <c r="F3" i="79"/>
  <c r="E3" i="79"/>
  <c r="D3" i="79"/>
  <c r="F38" i="11"/>
  <c r="E37"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2" i="43"/>
  <c r="J112" i="43"/>
  <c r="F112" i="43"/>
  <c r="N111" i="43"/>
  <c r="M111" i="43"/>
  <c r="M112" i="43" s="1"/>
  <c r="L111" i="43"/>
  <c r="L112" i="43" s="1"/>
  <c r="K111" i="43"/>
  <c r="K112" i="43" s="1"/>
  <c r="J111" i="43"/>
  <c r="I111" i="43"/>
  <c r="I112" i="43" s="1"/>
  <c r="H111" i="43"/>
  <c r="H112" i="43" s="1"/>
  <c r="G111" i="43"/>
  <c r="G112" i="43" s="1"/>
  <c r="F111" i="43"/>
  <c r="E111" i="43"/>
  <c r="E112" i="43" s="1"/>
  <c r="D111" i="43"/>
  <c r="D112" i="43" s="1"/>
  <c r="C111" i="43"/>
  <c r="C112" i="43" s="1"/>
  <c r="N101" i="43"/>
  <c r="M101" i="43"/>
  <c r="K101" i="43"/>
  <c r="J101" i="43"/>
  <c r="H101" i="43"/>
  <c r="D101" i="43"/>
  <c r="M100" i="43"/>
  <c r="N100" i="43" s="1"/>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N95" i="43"/>
  <c r="M95" i="43"/>
  <c r="K95" i="43"/>
  <c r="J95" i="43"/>
  <c r="H95" i="43"/>
  <c r="D95" i="43"/>
  <c r="B95" i="43"/>
  <c r="M94" i="43"/>
  <c r="N94" i="43" s="1"/>
  <c r="K94" i="43"/>
  <c r="J94" i="43" s="1"/>
  <c r="D94" i="43"/>
  <c r="M93" i="43"/>
  <c r="N93" i="43" s="1"/>
  <c r="K93" i="43"/>
  <c r="J93" i="43" s="1"/>
  <c r="F93" i="43"/>
  <c r="H98" i="43" s="1"/>
  <c r="E93" i="43"/>
  <c r="B91" i="43" s="1"/>
  <c r="D93" i="43"/>
  <c r="M90" i="43"/>
  <c r="N90" i="43" s="1"/>
  <c r="K90" i="43"/>
  <c r="J90" i="43" s="1"/>
  <c r="D90" i="43"/>
  <c r="M89" i="43"/>
  <c r="N89" i="43" s="1"/>
  <c r="K89" i="43"/>
  <c r="J89" i="43" s="1"/>
  <c r="D89" i="43"/>
  <c r="N88" i="43"/>
  <c r="M88" i="43"/>
  <c r="K88" i="43"/>
  <c r="J88" i="43"/>
  <c r="H88" i="43"/>
  <c r="D88" i="43"/>
  <c r="M87" i="43"/>
  <c r="N87" i="43" s="1"/>
  <c r="K87" i="43"/>
  <c r="J87" i="43" s="1"/>
  <c r="D87" i="43"/>
  <c r="M86" i="43"/>
  <c r="N86" i="43" s="1"/>
  <c r="K86" i="43"/>
  <c r="J86" i="43" s="1"/>
  <c r="D86" i="43"/>
  <c r="B86" i="43"/>
  <c r="N85" i="43"/>
  <c r="M85" i="43"/>
  <c r="K85" i="43"/>
  <c r="J85" i="43"/>
  <c r="D85" i="43"/>
  <c r="B85" i="43"/>
  <c r="N84" i="43"/>
  <c r="M84" i="43"/>
  <c r="K84" i="43"/>
  <c r="J84" i="43"/>
  <c r="D84" i="43"/>
  <c r="M83" i="43"/>
  <c r="N83" i="43" s="1"/>
  <c r="K83" i="43"/>
  <c r="J83" i="43" s="1"/>
  <c r="F83" i="43"/>
  <c r="D83" i="43"/>
  <c r="N80" i="43"/>
  <c r="M80" i="43"/>
  <c r="K80" i="43"/>
  <c r="J80" i="43"/>
  <c r="D80" i="43"/>
  <c r="M79" i="43"/>
  <c r="N79" i="43" s="1"/>
  <c r="K79" i="43"/>
  <c r="J79" i="43" s="1"/>
  <c r="D79" i="43"/>
  <c r="M78" i="43"/>
  <c r="N78" i="43" s="1"/>
  <c r="K78" i="43"/>
  <c r="J78" i="43" s="1"/>
  <c r="D78" i="43"/>
  <c r="N77" i="43"/>
  <c r="M77" i="43"/>
  <c r="K77" i="43"/>
  <c r="J77" i="43"/>
  <c r="D77" i="43"/>
  <c r="M76" i="43"/>
  <c r="N76" i="43" s="1"/>
  <c r="K76" i="43"/>
  <c r="J76" i="43" s="1"/>
  <c r="D76" i="43"/>
  <c r="M75" i="43"/>
  <c r="N75" i="43" s="1"/>
  <c r="K75" i="43"/>
  <c r="J75" i="43" s="1"/>
  <c r="D75" i="43"/>
  <c r="E72" i="43" s="1"/>
  <c r="B70" i="43" s="1"/>
  <c r="N74" i="43"/>
  <c r="M74" i="43"/>
  <c r="K74" i="43"/>
  <c r="J74" i="43"/>
  <c r="D74" i="43"/>
  <c r="B74" i="43"/>
  <c r="N73" i="43"/>
  <c r="M73" i="43"/>
  <c r="K73" i="43"/>
  <c r="J73" i="43"/>
  <c r="D73" i="43"/>
  <c r="M72" i="43"/>
  <c r="N72" i="43" s="1"/>
  <c r="K72" i="43"/>
  <c r="J72" i="43" s="1"/>
  <c r="F72" i="43"/>
  <c r="D72" i="43"/>
  <c r="N69" i="43"/>
  <c r="M69" i="43"/>
  <c r="K69" i="43"/>
  <c r="J69" i="43"/>
  <c r="D69" i="43"/>
  <c r="N68" i="43"/>
  <c r="M68" i="43"/>
  <c r="K68" i="43"/>
  <c r="J68" i="43"/>
  <c r="D68" i="43"/>
  <c r="M67" i="43"/>
  <c r="N67" i="43" s="1"/>
  <c r="K67" i="43"/>
  <c r="J67" i="43" s="1"/>
  <c r="D67" i="43"/>
  <c r="M66" i="43"/>
  <c r="N66" i="43" s="1"/>
  <c r="K66" i="43"/>
  <c r="J66" i="43" s="1"/>
  <c r="D66" i="43"/>
  <c r="N65" i="43"/>
  <c r="M65" i="43"/>
  <c r="K65" i="43"/>
  <c r="J65" i="43"/>
  <c r="D65" i="43"/>
  <c r="M64" i="43"/>
  <c r="N64" i="43" s="1"/>
  <c r="K64" i="43"/>
  <c r="J64" i="43" s="1"/>
  <c r="H64" i="43"/>
  <c r="D64" i="43"/>
  <c r="N63" i="43"/>
  <c r="M63" i="43"/>
  <c r="K63" i="43"/>
  <c r="J63" i="43" s="1"/>
  <c r="D63" i="43"/>
  <c r="B63" i="43"/>
  <c r="N62" i="43"/>
  <c r="M62" i="43"/>
  <c r="K62" i="43"/>
  <c r="J62" i="43"/>
  <c r="H62" i="43"/>
  <c r="D62" i="43"/>
  <c r="N61" i="43"/>
  <c r="M61" i="43"/>
  <c r="K61" i="43"/>
  <c r="J61" i="43" s="1"/>
  <c r="F61" i="43"/>
  <c r="H65" i="43" s="1"/>
  <c r="D61" i="43"/>
  <c r="N58" i="43"/>
  <c r="M58" i="43"/>
  <c r="K58" i="43"/>
  <c r="J58" i="43" s="1"/>
  <c r="D58" i="43"/>
  <c r="N57" i="43"/>
  <c r="M57" i="43"/>
  <c r="K57" i="43"/>
  <c r="J57" i="43"/>
  <c r="H57" i="43"/>
  <c r="D57" i="43"/>
  <c r="N56" i="43"/>
  <c r="M56" i="43"/>
  <c r="K56" i="43"/>
  <c r="J56" i="43" s="1"/>
  <c r="D56" i="43"/>
  <c r="M55" i="43"/>
  <c r="N55" i="43" s="1"/>
  <c r="K55" i="43"/>
  <c r="J55" i="43" s="1"/>
  <c r="D55" i="43"/>
  <c r="N54" i="43"/>
  <c r="M54" i="43"/>
  <c r="K54" i="43"/>
  <c r="J54" i="43"/>
  <c r="H54" i="43"/>
  <c r="D54" i="43"/>
  <c r="N53" i="43"/>
  <c r="M53" i="43"/>
  <c r="K53" i="43"/>
  <c r="J53" i="43" s="1"/>
  <c r="D53" i="43"/>
  <c r="E50" i="43" s="1"/>
  <c r="N52" i="43"/>
  <c r="M52" i="43"/>
  <c r="K52" i="43"/>
  <c r="J52" i="43"/>
  <c r="D52" i="43"/>
  <c r="B52" i="43"/>
  <c r="N51" i="43"/>
  <c r="M51" i="43"/>
  <c r="K51" i="43"/>
  <c r="J51" i="43"/>
  <c r="D51" i="43"/>
  <c r="M50" i="43"/>
  <c r="N50" i="43" s="1"/>
  <c r="K50" i="43"/>
  <c r="J50" i="43" s="1"/>
  <c r="H50" i="43"/>
  <c r="F50" i="43"/>
  <c r="H53" i="43" s="1"/>
  <c r="D50" i="43"/>
  <c r="B50" i="43"/>
  <c r="B48" i="43"/>
  <c r="H42" i="43"/>
  <c r="H41" i="43"/>
  <c r="H40" i="43"/>
  <c r="H39" i="43"/>
  <c r="F39" i="43"/>
  <c r="H38" i="43"/>
  <c r="H37" i="43"/>
  <c r="O32" i="43"/>
  <c r="N32" i="43"/>
  <c r="C28" i="43"/>
  <c r="J24" i="43"/>
  <c r="I24" i="43"/>
  <c r="G24" i="43"/>
  <c r="E44" i="43" s="1"/>
  <c r="C44" i="43" s="1"/>
  <c r="E24" i="43"/>
  <c r="Q32" i="43" s="1"/>
  <c r="M23" i="43"/>
  <c r="I23" i="43"/>
  <c r="C22" i="43"/>
  <c r="L21" i="43"/>
  <c r="H21" i="43"/>
  <c r="C21" i="43"/>
  <c r="G17" i="43"/>
  <c r="C17" i="43"/>
  <c r="C13" i="43"/>
  <c r="N11" i="43"/>
  <c r="M11" i="43"/>
  <c r="Y10" i="43"/>
  <c r="N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M9" i="43"/>
  <c r="E9" i="43"/>
  <c r="C9" i="43"/>
  <c r="N8" i="43"/>
  <c r="M8" i="43"/>
  <c r="E8" i="43"/>
  <c r="N7" i="43"/>
  <c r="M7" i="43"/>
  <c r="N6" i="43"/>
  <c r="M6" i="43"/>
  <c r="N5" i="43"/>
  <c r="M5" i="43"/>
  <c r="N4" i="43"/>
  <c r="M4" i="43"/>
  <c r="N3" i="43"/>
  <c r="M3" i="43"/>
  <c r="G3" i="43"/>
  <c r="N94" i="46" s="1"/>
  <c r="N2" i="43"/>
  <c r="M2" i="43"/>
  <c r="I2" i="43"/>
  <c r="N12" i="43" s="1"/>
  <c r="G2" i="43"/>
  <c r="F41" i="43" s="1"/>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B116" i="40"/>
  <c r="H115" i="40"/>
  <c r="I115" i="40" s="1"/>
  <c r="J115" i="40" s="1"/>
  <c r="K115" i="40" s="1"/>
  <c r="L115" i="40" s="1"/>
  <c r="M115" i="40" s="1"/>
  <c r="D115" i="40"/>
  <c r="E115" i="40" s="1"/>
  <c r="F115" i="40" s="1"/>
  <c r="G115" i="40" s="1"/>
  <c r="G113" i="40"/>
  <c r="H113" i="40" s="1"/>
  <c r="I113" i="40" s="1"/>
  <c r="J113" i="40" s="1"/>
  <c r="K113" i="40" s="1"/>
  <c r="L113" i="40" s="1"/>
  <c r="M113" i="40" s="1"/>
  <c r="F113" i="40"/>
  <c r="D113" i="40"/>
  <c r="E113" i="40" s="1"/>
  <c r="F111" i="40"/>
  <c r="G111" i="40" s="1"/>
  <c r="H111" i="40" s="1"/>
  <c r="I111" i="40" s="1"/>
  <c r="J111" i="40" s="1"/>
  <c r="K111" i="40" s="1"/>
  <c r="L111" i="40" s="1"/>
  <c r="M111" i="40" s="1"/>
  <c r="E111" i="40"/>
  <c r="D111" i="40"/>
  <c r="M107" i="40"/>
  <c r="L107" i="40"/>
  <c r="K107" i="40"/>
  <c r="J107" i="40"/>
  <c r="I107" i="40"/>
  <c r="H107" i="40"/>
  <c r="G107" i="40"/>
  <c r="F107" i="40"/>
  <c r="E107" i="40"/>
  <c r="D107" i="40"/>
  <c r="C107" i="40"/>
  <c r="B105" i="40"/>
  <c r="J33" i="40" s="1"/>
  <c r="B103" i="40"/>
  <c r="B101" i="40"/>
  <c r="I100" i="40"/>
  <c r="J100" i="40" s="1"/>
  <c r="K100" i="40" s="1"/>
  <c r="L100" i="40" s="1"/>
  <c r="M100" i="40" s="1"/>
  <c r="D100" i="40"/>
  <c r="E100" i="40" s="1"/>
  <c r="F100" i="40" s="1"/>
  <c r="G100" i="40" s="1"/>
  <c r="H100" i="40" s="1"/>
  <c r="D98" i="40"/>
  <c r="E98" i="40" s="1"/>
  <c r="F98" i="40" s="1"/>
  <c r="G98" i="40" s="1"/>
  <c r="H98" i="40" s="1"/>
  <c r="I98" i="40" s="1"/>
  <c r="J98" i="40" s="1"/>
  <c r="K98" i="40" s="1"/>
  <c r="L98" i="40" s="1"/>
  <c r="M98" i="40" s="1"/>
  <c r="M96" i="40"/>
  <c r="H96" i="40"/>
  <c r="I96" i="40" s="1"/>
  <c r="J96" i="40" s="1"/>
  <c r="K96" i="40" s="1"/>
  <c r="L96" i="40" s="1"/>
  <c r="D96" i="40"/>
  <c r="E96" i="40" s="1"/>
  <c r="F96" i="40" s="1"/>
  <c r="G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J14" i="40" s="1"/>
  <c r="B79" i="40"/>
  <c r="H13" i="40" s="1"/>
  <c r="B77" i="40"/>
  <c r="F12" i="40" s="1"/>
  <c r="G76" i="40"/>
  <c r="H76" i="40" s="1"/>
  <c r="I76" i="40" s="1"/>
  <c r="J76" i="40" s="1"/>
  <c r="K76" i="40" s="1"/>
  <c r="L76" i="40" s="1"/>
  <c r="M76" i="40" s="1"/>
  <c r="F76" i="40"/>
  <c r="D76" i="40"/>
  <c r="E76" i="40" s="1"/>
  <c r="M74" i="40"/>
  <c r="L74" i="40"/>
  <c r="K74" i="40"/>
  <c r="J74" i="40"/>
  <c r="I74" i="40"/>
  <c r="H74" i="40"/>
  <c r="G74" i="40"/>
  <c r="F74" i="40"/>
  <c r="E74" i="40"/>
  <c r="D74" i="40"/>
  <c r="C74" i="40"/>
  <c r="H60" i="40"/>
  <c r="I60" i="40" s="1"/>
  <c r="C60" i="40" s="1"/>
  <c r="H59" i="40"/>
  <c r="I59" i="40" s="1"/>
  <c r="C59" i="40" s="1"/>
  <c r="I58" i="40"/>
  <c r="H58" i="40"/>
  <c r="C58" i="40"/>
  <c r="H57" i="40"/>
  <c r="I57" i="40" s="1"/>
  <c r="C57" i="40" s="1"/>
  <c r="I56" i="40"/>
  <c r="C56" i="40" s="1"/>
  <c r="H56" i="40"/>
  <c r="H54" i="40"/>
  <c r="I54" i="40" s="1"/>
  <c r="C54" i="40"/>
  <c r="I53" i="40"/>
  <c r="C53" i="40" s="1"/>
  <c r="H53" i="40"/>
  <c r="I52" i="40"/>
  <c r="C52" i="40" s="1"/>
  <c r="H52" i="40"/>
  <c r="I48" i="40"/>
  <c r="J48" i="40" s="1"/>
  <c r="G48" i="40"/>
  <c r="H48" i="40" s="1"/>
  <c r="E48" i="40"/>
  <c r="F48" i="40" s="1"/>
  <c r="P43" i="40"/>
  <c r="P42" i="40"/>
  <c r="K42" i="40"/>
  <c r="V41" i="40"/>
  <c r="T41" i="40"/>
  <c r="R41" i="40"/>
  <c r="P41" i="40"/>
  <c r="Q40" i="40"/>
  <c r="Z40" i="40" s="1"/>
  <c r="J40" i="40"/>
  <c r="W40" i="40" s="1"/>
  <c r="AB39" i="40"/>
  <c r="U39" i="40"/>
  <c r="Q39" i="40"/>
  <c r="Z39" i="40" s="1"/>
  <c r="J39" i="40"/>
  <c r="W39" i="40" s="1"/>
  <c r="H39" i="40"/>
  <c r="F39" i="40"/>
  <c r="AA39" i="40" s="1"/>
  <c r="AC38" i="40"/>
  <c r="Q38" i="40"/>
  <c r="Z38" i="40" s="1"/>
  <c r="J38" i="40"/>
  <c r="W38" i="40" s="1"/>
  <c r="H38" i="40"/>
  <c r="F38" i="40"/>
  <c r="S38" i="40" s="1"/>
  <c r="AA37" i="40"/>
  <c r="Z37" i="40"/>
  <c r="Q37" i="40"/>
  <c r="J37" i="40"/>
  <c r="AC37" i="40" s="1"/>
  <c r="H37" i="40"/>
  <c r="U37" i="40" s="1"/>
  <c r="F37" i="40"/>
  <c r="S37" i="40" s="1"/>
  <c r="AA36" i="40"/>
  <c r="Q36" i="40"/>
  <c r="Z36" i="40" s="1"/>
  <c r="J36" i="40"/>
  <c r="W36" i="40" s="1"/>
  <c r="H36" i="40"/>
  <c r="AB36" i="40" s="1"/>
  <c r="F36" i="40"/>
  <c r="S36" i="40" s="1"/>
  <c r="AC35" i="40"/>
  <c r="AB35" i="40"/>
  <c r="W35" i="40"/>
  <c r="U35" i="40"/>
  <c r="Q35" i="40"/>
  <c r="Z35" i="40" s="1"/>
  <c r="J35" i="40"/>
  <c r="H35" i="40"/>
  <c r="F35" i="40"/>
  <c r="AA35" i="40" s="1"/>
  <c r="AA34" i="40"/>
  <c r="Q34" i="40"/>
  <c r="Z34" i="40" s="1"/>
  <c r="J34" i="40"/>
  <c r="H34" i="40"/>
  <c r="U34" i="40" s="1"/>
  <c r="F34" i="40"/>
  <c r="S34" i="40" s="1"/>
  <c r="AA33" i="40"/>
  <c r="S33" i="40"/>
  <c r="Q33" i="40"/>
  <c r="Z33" i="40" s="1"/>
  <c r="H33" i="40"/>
  <c r="U33" i="40" s="1"/>
  <c r="F33" i="40"/>
  <c r="AA32" i="40"/>
  <c r="Q32" i="40"/>
  <c r="Z32" i="40" s="1"/>
  <c r="J32" i="40"/>
  <c r="W32" i="40" s="1"/>
  <c r="H32" i="40"/>
  <c r="AB32" i="40" s="1"/>
  <c r="F32" i="40"/>
  <c r="S32" i="40" s="1"/>
  <c r="Q31" i="40"/>
  <c r="Z31" i="40" s="1"/>
  <c r="AC30" i="40"/>
  <c r="Q30" i="40"/>
  <c r="Z30" i="40" s="1"/>
  <c r="J30" i="40"/>
  <c r="W30" i="40" s="1"/>
  <c r="H30" i="40"/>
  <c r="F30" i="40"/>
  <c r="S30" i="40" s="1"/>
  <c r="C30" i="40"/>
  <c r="AC28" i="40"/>
  <c r="AB28" i="40"/>
  <c r="Q28" i="40"/>
  <c r="Z28" i="40" s="1"/>
  <c r="J28" i="40"/>
  <c r="W28" i="40" s="1"/>
  <c r="H28" i="40"/>
  <c r="U28" i="40" s="1"/>
  <c r="F28" i="40"/>
  <c r="AA28" i="40" s="1"/>
  <c r="C28" i="40"/>
  <c r="AB27" i="40"/>
  <c r="AA27" i="40"/>
  <c r="Q27" i="40"/>
  <c r="Z27" i="40" s="1"/>
  <c r="J27" i="40"/>
  <c r="W27" i="40" s="1"/>
  <c r="H27" i="40"/>
  <c r="U27" i="40" s="1"/>
  <c r="F27" i="40"/>
  <c r="S27" i="40" s="1"/>
  <c r="AB25" i="40"/>
  <c r="Q25" i="40"/>
  <c r="Z25" i="40" s="1"/>
  <c r="J25" i="40"/>
  <c r="AC25" i="40" s="1"/>
  <c r="H25" i="40"/>
  <c r="U25" i="40" s="1"/>
  <c r="F25" i="40"/>
  <c r="AA25" i="40" s="1"/>
  <c r="AA23" i="40"/>
  <c r="Z23" i="40"/>
  <c r="Q23" i="40"/>
  <c r="J23" i="40"/>
  <c r="AC23" i="40" s="1"/>
  <c r="H23" i="40"/>
  <c r="U23" i="40" s="1"/>
  <c r="F23" i="40"/>
  <c r="S23" i="40" s="1"/>
  <c r="AB21" i="40"/>
  <c r="Q21" i="40"/>
  <c r="Z21" i="40" s="1"/>
  <c r="J21" i="40"/>
  <c r="AC21" i="40" s="1"/>
  <c r="H21" i="40"/>
  <c r="U21" i="40" s="1"/>
  <c r="F21" i="40"/>
  <c r="AA21" i="40" s="1"/>
  <c r="AA19" i="40"/>
  <c r="Z19" i="40"/>
  <c r="Q19" i="40"/>
  <c r="J19" i="40"/>
  <c r="AC19" i="40" s="1"/>
  <c r="H19" i="40"/>
  <c r="U19" i="40" s="1"/>
  <c r="F19" i="40"/>
  <c r="S19" i="40" s="1"/>
  <c r="C19" i="40"/>
  <c r="AB17" i="40"/>
  <c r="Q17" i="40"/>
  <c r="Z17" i="40" s="1"/>
  <c r="J17" i="40"/>
  <c r="AC17" i="40" s="1"/>
  <c r="H17" i="40"/>
  <c r="U17" i="40" s="1"/>
  <c r="F17" i="40"/>
  <c r="AA17" i="40" s="1"/>
  <c r="AA15" i="40"/>
  <c r="Z15" i="40"/>
  <c r="Q15" i="40"/>
  <c r="J15" i="40"/>
  <c r="AC15" i="40" s="1"/>
  <c r="H15" i="40"/>
  <c r="U15" i="40" s="1"/>
  <c r="F15" i="40"/>
  <c r="S15" i="40" s="1"/>
  <c r="Q14" i="40"/>
  <c r="Z14" i="40" s="1"/>
  <c r="AC13" i="40"/>
  <c r="AA13" i="40"/>
  <c r="W13" i="40"/>
  <c r="S13" i="40"/>
  <c r="Q13" i="40"/>
  <c r="Z13" i="40" s="1"/>
  <c r="J13" i="40"/>
  <c r="F13" i="40"/>
  <c r="AC12" i="40"/>
  <c r="AB12" i="40"/>
  <c r="W12" i="40"/>
  <c r="U12" i="40"/>
  <c r="Q12" i="40"/>
  <c r="Z12" i="40" s="1"/>
  <c r="J12" i="40"/>
  <c r="H12" i="40"/>
  <c r="AC11" i="40"/>
  <c r="U11" i="40"/>
  <c r="Q11" i="40"/>
  <c r="Z11" i="40" s="1"/>
  <c r="J11" i="40"/>
  <c r="W11" i="40" s="1"/>
  <c r="H11" i="40"/>
  <c r="AB11" i="40" s="1"/>
  <c r="F11" i="40"/>
  <c r="S11" i="40" s="1"/>
  <c r="Q10" i="40"/>
  <c r="Z10" i="40" s="1"/>
  <c r="AB9" i="40"/>
  <c r="U9" i="40"/>
  <c r="Q9" i="40"/>
  <c r="Z9" i="40" s="1"/>
  <c r="J9" i="40"/>
  <c r="W9" i="40" s="1"/>
  <c r="H9" i="40"/>
  <c r="F9" i="40"/>
  <c r="AA9" i="40" s="1"/>
  <c r="AC8" i="40"/>
  <c r="AB8" i="40"/>
  <c r="U8" i="40"/>
  <c r="S8" i="40"/>
  <c r="J8" i="40"/>
  <c r="W8" i="40" s="1"/>
  <c r="H8" i="40"/>
  <c r="F8" i="40"/>
  <c r="AA8" i="40" s="1"/>
  <c r="B130" i="39"/>
  <c r="B128" i="39"/>
  <c r="H44" i="39" s="1"/>
  <c r="B126" i="39"/>
  <c r="L125" i="39"/>
  <c r="M125" i="39" s="1"/>
  <c r="G125" i="39"/>
  <c r="H125" i="39" s="1"/>
  <c r="I125" i="39" s="1"/>
  <c r="J125" i="39" s="1"/>
  <c r="K125" i="39" s="1"/>
  <c r="E125" i="39"/>
  <c r="F125" i="39" s="1"/>
  <c r="D125" i="39"/>
  <c r="K123" i="39"/>
  <c r="L123" i="39" s="1"/>
  <c r="M123" i="39" s="1"/>
  <c r="F123" i="39"/>
  <c r="G123" i="39" s="1"/>
  <c r="H123" i="39" s="1"/>
  <c r="I123" i="39" s="1"/>
  <c r="J123" i="39" s="1"/>
  <c r="E123" i="39"/>
  <c r="D123" i="39"/>
  <c r="L121" i="39"/>
  <c r="M121" i="39" s="1"/>
  <c r="G121" i="39"/>
  <c r="H121" i="39" s="1"/>
  <c r="I121" i="39" s="1"/>
  <c r="J121" i="39" s="1"/>
  <c r="K121" i="39" s="1"/>
  <c r="E121" i="39"/>
  <c r="F121" i="39" s="1"/>
  <c r="D121" i="39"/>
  <c r="K119" i="39"/>
  <c r="L119" i="39" s="1"/>
  <c r="M119" i="39" s="1"/>
  <c r="F119" i="39"/>
  <c r="G119" i="39" s="1"/>
  <c r="H119" i="39" s="1"/>
  <c r="I119" i="39" s="1"/>
  <c r="J119" i="39" s="1"/>
  <c r="E119" i="39"/>
  <c r="D119" i="39"/>
  <c r="M115" i="39"/>
  <c r="L115" i="39"/>
  <c r="K115" i="39"/>
  <c r="J115" i="39"/>
  <c r="I115" i="39"/>
  <c r="H115" i="39"/>
  <c r="G115" i="39"/>
  <c r="F115" i="39"/>
  <c r="E115" i="39"/>
  <c r="D115" i="39"/>
  <c r="C115" i="39"/>
  <c r="B113" i="39"/>
  <c r="B111" i="39"/>
  <c r="H36" i="39" s="1"/>
  <c r="B109" i="39"/>
  <c r="I108" i="39"/>
  <c r="J108" i="39" s="1"/>
  <c r="K108" i="39" s="1"/>
  <c r="L108" i="39" s="1"/>
  <c r="M108" i="39" s="1"/>
  <c r="E108" i="39"/>
  <c r="F108" i="39" s="1"/>
  <c r="G108" i="39" s="1"/>
  <c r="H108" i="39" s="1"/>
  <c r="D108" i="39"/>
  <c r="D106" i="39"/>
  <c r="E106" i="39" s="1"/>
  <c r="F106" i="39" s="1"/>
  <c r="G106" i="39" s="1"/>
  <c r="H106" i="39" s="1"/>
  <c r="I106" i="39" s="1"/>
  <c r="J106" i="39" s="1"/>
  <c r="K106" i="39" s="1"/>
  <c r="L106" i="39" s="1"/>
  <c r="M106" i="39" s="1"/>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G98" i="39"/>
  <c r="F98" i="39"/>
  <c r="D98" i="39"/>
  <c r="E98" i="39" s="1"/>
  <c r="F96" i="39"/>
  <c r="G96" i="39" s="1"/>
  <c r="D96" i="39"/>
  <c r="E96" i="39" s="1"/>
  <c r="D94" i="39"/>
  <c r="E94" i="39" s="1"/>
  <c r="F94" i="39" s="1"/>
  <c r="G94" i="39" s="1"/>
  <c r="D92" i="39"/>
  <c r="E92" i="39" s="1"/>
  <c r="F92" i="39" s="1"/>
  <c r="G92" i="39" s="1"/>
  <c r="G90" i="39"/>
  <c r="F90" i="39"/>
  <c r="D90" i="39"/>
  <c r="E90" i="39" s="1"/>
  <c r="F88" i="39"/>
  <c r="G88" i="39" s="1"/>
  <c r="D88" i="39"/>
  <c r="E88" i="39" s="1"/>
  <c r="B85" i="39"/>
  <c r="F14" i="39" s="1"/>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C64" i="39" s="1"/>
  <c r="H64" i="39"/>
  <c r="H63" i="39"/>
  <c r="I63" i="39" s="1"/>
  <c r="C63" i="39"/>
  <c r="H62" i="39"/>
  <c r="I62" i="39" s="1"/>
  <c r="C62" i="39" s="1"/>
  <c r="I61" i="39"/>
  <c r="H61" i="39"/>
  <c r="C61" i="39"/>
  <c r="H60" i="39"/>
  <c r="I60" i="39" s="1"/>
  <c r="C60" i="39" s="1"/>
  <c r="I59" i="39"/>
  <c r="C59" i="39" s="1"/>
  <c r="H59" i="39"/>
  <c r="H58" i="39"/>
  <c r="I58" i="39" s="1"/>
  <c r="C58" i="39"/>
  <c r="I57" i="39"/>
  <c r="C57" i="39" s="1"/>
  <c r="H57" i="39"/>
  <c r="J53" i="39"/>
  <c r="I53" i="39"/>
  <c r="G53" i="39"/>
  <c r="H53" i="39" s="1"/>
  <c r="F53" i="39"/>
  <c r="E53" i="39"/>
  <c r="P48" i="39"/>
  <c r="P47" i="39"/>
  <c r="K47" i="39"/>
  <c r="V46" i="39"/>
  <c r="T46" i="39"/>
  <c r="R46" i="39"/>
  <c r="P46" i="39"/>
  <c r="Z45" i="39"/>
  <c r="Q45" i="39"/>
  <c r="H45" i="39"/>
  <c r="Z44" i="39"/>
  <c r="Q44" i="39"/>
  <c r="J44" i="39"/>
  <c r="F44" i="39"/>
  <c r="S44" i="39" s="1"/>
  <c r="Z43" i="39"/>
  <c r="Q43" i="39"/>
  <c r="J43" i="39"/>
  <c r="H43" i="39"/>
  <c r="U43" i="39" s="1"/>
  <c r="F43" i="39"/>
  <c r="AA43" i="39" s="1"/>
  <c r="AC42" i="39"/>
  <c r="AB42" i="39"/>
  <c r="Q42" i="39"/>
  <c r="Z42" i="39" s="1"/>
  <c r="J42" i="39"/>
  <c r="W42" i="39" s="1"/>
  <c r="H42" i="39"/>
  <c r="U42" i="39" s="1"/>
  <c r="F42" i="39"/>
  <c r="AA42" i="39" s="1"/>
  <c r="Z41" i="39"/>
  <c r="Q41" i="39"/>
  <c r="J41" i="39"/>
  <c r="AC41" i="39" s="1"/>
  <c r="H41" i="39"/>
  <c r="AB41" i="39" s="1"/>
  <c r="F41" i="39"/>
  <c r="S41" i="39" s="1"/>
  <c r="AA40" i="39"/>
  <c r="Z40" i="39"/>
  <c r="Q40" i="39"/>
  <c r="J40" i="39"/>
  <c r="H40" i="39"/>
  <c r="AB40" i="39" s="1"/>
  <c r="F40" i="39"/>
  <c r="S40" i="39" s="1"/>
  <c r="AB39" i="39"/>
  <c r="U39" i="39"/>
  <c r="Q39" i="39"/>
  <c r="Z39" i="39" s="1"/>
  <c r="J39" i="39"/>
  <c r="W39" i="39" s="1"/>
  <c r="H39" i="39"/>
  <c r="F39" i="39"/>
  <c r="AA39" i="39" s="1"/>
  <c r="AC38" i="39"/>
  <c r="Q38" i="39"/>
  <c r="Z38" i="39" s="1"/>
  <c r="J38" i="39"/>
  <c r="W38" i="39" s="1"/>
  <c r="H38" i="39"/>
  <c r="F38" i="39"/>
  <c r="S38" i="39" s="1"/>
  <c r="AA37" i="39"/>
  <c r="Z37" i="39"/>
  <c r="Q37" i="39"/>
  <c r="J37" i="39"/>
  <c r="AC37" i="39" s="1"/>
  <c r="H37" i="39"/>
  <c r="U37" i="39" s="1"/>
  <c r="F37" i="39"/>
  <c r="S37" i="39" s="1"/>
  <c r="Q36" i="39"/>
  <c r="Z36" i="39" s="1"/>
  <c r="J36" i="39"/>
  <c r="W36" i="39" s="1"/>
  <c r="Q35" i="39"/>
  <c r="Z35" i="39" s="1"/>
  <c r="AC34" i="39"/>
  <c r="AB34" i="39"/>
  <c r="Q34" i="39"/>
  <c r="Z34" i="39" s="1"/>
  <c r="J34" i="39"/>
  <c r="W34" i="39" s="1"/>
  <c r="H34" i="39"/>
  <c r="U34" i="39" s="1"/>
  <c r="F34" i="39"/>
  <c r="AA34" i="39" s="1"/>
  <c r="Z32" i="39"/>
  <c r="Q32" i="39"/>
  <c r="J32" i="39"/>
  <c r="AC32" i="39" s="1"/>
  <c r="H32" i="39"/>
  <c r="F32" i="39"/>
  <c r="S32" i="39" s="1"/>
  <c r="Z31" i="39"/>
  <c r="Q31" i="39"/>
  <c r="J31" i="39"/>
  <c r="F31" i="39"/>
  <c r="S31" i="39" s="1"/>
  <c r="Z29" i="39"/>
  <c r="Q29" i="39"/>
  <c r="J29" i="39"/>
  <c r="H29" i="39"/>
  <c r="U29" i="39" s="1"/>
  <c r="F29" i="39"/>
  <c r="AA29" i="39" s="1"/>
  <c r="AC27" i="39"/>
  <c r="AB27" i="39"/>
  <c r="W27" i="39"/>
  <c r="U27" i="39"/>
  <c r="Q27" i="39"/>
  <c r="Z27" i="39" s="1"/>
  <c r="J27" i="39"/>
  <c r="H27" i="39"/>
  <c r="F27" i="39"/>
  <c r="AA27" i="39" s="1"/>
  <c r="Z25" i="39"/>
  <c r="Q25" i="39"/>
  <c r="J25" i="39"/>
  <c r="H25" i="39"/>
  <c r="U25" i="39" s="1"/>
  <c r="F25" i="39"/>
  <c r="AA25" i="39" s="1"/>
  <c r="AC23" i="39"/>
  <c r="AB23" i="39"/>
  <c r="W23" i="39"/>
  <c r="U23" i="39"/>
  <c r="Q23" i="39"/>
  <c r="Z23" i="39" s="1"/>
  <c r="J23" i="39"/>
  <c r="H23" i="39"/>
  <c r="F23" i="39"/>
  <c r="AA23" i="39" s="1"/>
  <c r="C23" i="39"/>
  <c r="Z21" i="39"/>
  <c r="Q21" i="39"/>
  <c r="J21" i="39"/>
  <c r="H21" i="39"/>
  <c r="U21" i="39" s="1"/>
  <c r="F21" i="39"/>
  <c r="AA21" i="39" s="1"/>
  <c r="AC19" i="39"/>
  <c r="AB19" i="39"/>
  <c r="W19" i="39"/>
  <c r="U19" i="39"/>
  <c r="Q19" i="39"/>
  <c r="Z19" i="39" s="1"/>
  <c r="J19" i="39"/>
  <c r="H19" i="39"/>
  <c r="F19" i="39"/>
  <c r="AA19" i="39" s="1"/>
  <c r="Z17" i="39"/>
  <c r="Q17" i="39"/>
  <c r="J17" i="39"/>
  <c r="H17" i="39"/>
  <c r="U17" i="39" s="1"/>
  <c r="F17" i="39"/>
  <c r="AA17" i="39" s="1"/>
  <c r="AC15" i="39"/>
  <c r="AB15" i="39"/>
  <c r="U15" i="39"/>
  <c r="Q15" i="39"/>
  <c r="Z15" i="39" s="1"/>
  <c r="J15" i="39"/>
  <c r="W15" i="39" s="1"/>
  <c r="H15" i="39"/>
  <c r="F15" i="39"/>
  <c r="AA15" i="39" s="1"/>
  <c r="Z14" i="39"/>
  <c r="Q14" i="39"/>
  <c r="J14" i="39"/>
  <c r="H14" i="39"/>
  <c r="U14" i="39" s="1"/>
  <c r="AB13" i="39"/>
  <c r="AA13" i="39"/>
  <c r="Q13" i="39"/>
  <c r="Z13" i="39" s="1"/>
  <c r="J13" i="39"/>
  <c r="W13" i="39" s="1"/>
  <c r="H13" i="39"/>
  <c r="U13" i="39" s="1"/>
  <c r="F13" i="39"/>
  <c r="S13" i="39" s="1"/>
  <c r="AB12" i="39"/>
  <c r="Q12" i="39"/>
  <c r="Z12" i="39" s="1"/>
  <c r="J12" i="39"/>
  <c r="AC12" i="39" s="1"/>
  <c r="H12" i="39"/>
  <c r="U12" i="39" s="1"/>
  <c r="F12" i="39"/>
  <c r="AA12" i="39" s="1"/>
  <c r="U11" i="39"/>
  <c r="Q11" i="39"/>
  <c r="Z11" i="39" s="1"/>
  <c r="J11" i="39"/>
  <c r="AC11" i="39" s="1"/>
  <c r="H11" i="39"/>
  <c r="AB11" i="39" s="1"/>
  <c r="F11" i="39"/>
  <c r="AA11" i="39" s="1"/>
  <c r="Q10" i="39"/>
  <c r="Z10" i="39" s="1"/>
  <c r="Z9" i="39"/>
  <c r="W9" i="39"/>
  <c r="Q9" i="39"/>
  <c r="J9" i="39"/>
  <c r="AC9" i="39" s="1"/>
  <c r="H9" i="39"/>
  <c r="AB9" i="39" s="1"/>
  <c r="F9" i="39"/>
  <c r="AA9" i="39" s="1"/>
  <c r="AC8" i="39"/>
  <c r="AB8" i="39"/>
  <c r="W8" i="39"/>
  <c r="U8" i="39"/>
  <c r="J8" i="39"/>
  <c r="H8" i="39"/>
  <c r="F8" i="39"/>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M83" i="36"/>
  <c r="E83" i="36"/>
  <c r="F83" i="36" s="1"/>
  <c r="G83" i="36" s="1"/>
  <c r="H83" i="36" s="1"/>
  <c r="I83" i="36" s="1"/>
  <c r="J83" i="36" s="1"/>
  <c r="K83" i="36" s="1"/>
  <c r="L83" i="36" s="1"/>
  <c r="D83" i="36"/>
  <c r="H81" i="36"/>
  <c r="I81" i="36" s="1"/>
  <c r="J81" i="36" s="1"/>
  <c r="K81" i="36" s="1"/>
  <c r="L81" i="36" s="1"/>
  <c r="M81" i="36" s="1"/>
  <c r="D81" i="36"/>
  <c r="E81" i="36" s="1"/>
  <c r="F81" i="36" s="1"/>
  <c r="G81" i="36" s="1"/>
  <c r="G79" i="36"/>
  <c r="F79" i="36"/>
  <c r="E79" i="36"/>
  <c r="D79" i="36"/>
  <c r="C79" i="36"/>
  <c r="K78" i="36"/>
  <c r="L78" i="36" s="1"/>
  <c r="M78" i="36" s="1"/>
  <c r="D78" i="36"/>
  <c r="E78" i="36" s="1"/>
  <c r="F78" i="36" s="1"/>
  <c r="G78" i="36" s="1"/>
  <c r="H78" i="36" s="1"/>
  <c r="I78" i="36" s="1"/>
  <c r="J78" i="36" s="1"/>
  <c r="B75" i="36"/>
  <c r="F25" i="36" s="1"/>
  <c r="B73" i="36"/>
  <c r="J24" i="36" s="1"/>
  <c r="B71" i="36"/>
  <c r="D70" i="36"/>
  <c r="F68" i="36"/>
  <c r="G68" i="36" s="1"/>
  <c r="D68" i="36"/>
  <c r="E68" i="36" s="1"/>
  <c r="G66" i="36"/>
  <c r="D66" i="36"/>
  <c r="E66" i="36" s="1"/>
  <c r="F66" i="36" s="1"/>
  <c r="F64" i="36"/>
  <c r="G64" i="36" s="1"/>
  <c r="D64" i="36"/>
  <c r="E64" i="36" s="1"/>
  <c r="D62" i="36"/>
  <c r="E62" i="36" s="1"/>
  <c r="F62" i="36" s="1"/>
  <c r="G62" i="36" s="1"/>
  <c r="B59" i="36"/>
  <c r="F13" i="36" s="1"/>
  <c r="B57" i="36"/>
  <c r="J12" i="36" s="1"/>
  <c r="B55" i="36"/>
  <c r="C51" i="36"/>
  <c r="I42" i="36"/>
  <c r="J42" i="36" s="1"/>
  <c r="G42" i="36"/>
  <c r="H42" i="36" s="1"/>
  <c r="F42" i="36"/>
  <c r="E42" i="36"/>
  <c r="P37" i="36"/>
  <c r="P36" i="36"/>
  <c r="K36" i="36"/>
  <c r="V35" i="36"/>
  <c r="T35" i="36"/>
  <c r="R35" i="36"/>
  <c r="P35" i="36"/>
  <c r="W34" i="36"/>
  <c r="Q34" i="36"/>
  <c r="Z34" i="36" s="1"/>
  <c r="J34" i="36"/>
  <c r="AC34" i="36" s="1"/>
  <c r="AC33" i="36"/>
  <c r="W33" i="36"/>
  <c r="Q33" i="36"/>
  <c r="Z33" i="36" s="1"/>
  <c r="J33" i="36"/>
  <c r="H33" i="36"/>
  <c r="F33" i="36"/>
  <c r="AA33" i="36" s="1"/>
  <c r="AA32" i="36"/>
  <c r="Q32" i="36"/>
  <c r="Z32" i="36" s="1"/>
  <c r="J32" i="36"/>
  <c r="AC32" i="36" s="1"/>
  <c r="H32" i="36"/>
  <c r="AB32" i="36" s="1"/>
  <c r="F32" i="36"/>
  <c r="S32" i="36" s="1"/>
  <c r="Z31" i="36"/>
  <c r="Q31" i="36"/>
  <c r="J31" i="36"/>
  <c r="AC31" i="36" s="1"/>
  <c r="H31" i="36"/>
  <c r="AB31" i="36" s="1"/>
  <c r="F31" i="36"/>
  <c r="AA31" i="36" s="1"/>
  <c r="W30" i="36"/>
  <c r="Q30" i="36"/>
  <c r="Z30" i="36" s="1"/>
  <c r="J30" i="36"/>
  <c r="AC30" i="36" s="1"/>
  <c r="H30" i="36"/>
  <c r="AB30" i="36" s="1"/>
  <c r="F30" i="36"/>
  <c r="AA30" i="36" s="1"/>
  <c r="AC29" i="36"/>
  <c r="W29" i="36"/>
  <c r="Q29" i="36"/>
  <c r="Z29" i="36" s="1"/>
  <c r="J29" i="36"/>
  <c r="H29" i="36"/>
  <c r="AB29" i="36" s="1"/>
  <c r="F29" i="36"/>
  <c r="AA29" i="36" s="1"/>
  <c r="AB28" i="36"/>
  <c r="Q28" i="36"/>
  <c r="Z28" i="36" s="1"/>
  <c r="J28" i="36"/>
  <c r="AC28" i="36" s="1"/>
  <c r="H28" i="36"/>
  <c r="U28" i="36" s="1"/>
  <c r="F28" i="36"/>
  <c r="AA28" i="36" s="1"/>
  <c r="AA27" i="36"/>
  <c r="Q27" i="36"/>
  <c r="Z27" i="36" s="1"/>
  <c r="J27" i="36"/>
  <c r="AC27" i="36" s="1"/>
  <c r="H27" i="36"/>
  <c r="AB27" i="36" s="1"/>
  <c r="F27" i="36"/>
  <c r="S27" i="36" s="1"/>
  <c r="Z26" i="36"/>
  <c r="Q26" i="36"/>
  <c r="J26" i="36"/>
  <c r="W26" i="36" s="1"/>
  <c r="H26" i="36"/>
  <c r="AB26" i="36" s="1"/>
  <c r="F26" i="36"/>
  <c r="AA26" i="36" s="1"/>
  <c r="AC25" i="36"/>
  <c r="W25" i="36"/>
  <c r="Q25" i="36"/>
  <c r="Z25" i="36" s="1"/>
  <c r="J25" i="36"/>
  <c r="H25" i="36"/>
  <c r="Q24" i="36"/>
  <c r="Z24" i="36" s="1"/>
  <c r="H24" i="36"/>
  <c r="AB24" i="36" s="1"/>
  <c r="AA23" i="36"/>
  <c r="Q23" i="36"/>
  <c r="Z23" i="36" s="1"/>
  <c r="J23" i="36"/>
  <c r="AC23" i="36" s="1"/>
  <c r="H23" i="36"/>
  <c r="AB23" i="36" s="1"/>
  <c r="F23" i="36"/>
  <c r="S23" i="36" s="1"/>
  <c r="Z22" i="36"/>
  <c r="Q22" i="36"/>
  <c r="J22" i="36"/>
  <c r="W22" i="36" s="1"/>
  <c r="H22" i="36"/>
  <c r="AB22" i="36" s="1"/>
  <c r="F22" i="36"/>
  <c r="AA22" i="36" s="1"/>
  <c r="AC20" i="36"/>
  <c r="W20" i="36"/>
  <c r="Q20" i="36"/>
  <c r="Z20" i="36" s="1"/>
  <c r="J20" i="36"/>
  <c r="H20" i="36"/>
  <c r="F20" i="36"/>
  <c r="AA20" i="36" s="1"/>
  <c r="C20" i="36"/>
  <c r="AB18" i="36"/>
  <c r="U18" i="36"/>
  <c r="Q18" i="36"/>
  <c r="Z18" i="36" s="1"/>
  <c r="J18" i="36"/>
  <c r="H18" i="36"/>
  <c r="F18" i="36"/>
  <c r="AA18" i="36" s="1"/>
  <c r="C18" i="36"/>
  <c r="AC16" i="36"/>
  <c r="W16" i="36"/>
  <c r="Q16" i="36"/>
  <c r="Z16" i="36" s="1"/>
  <c r="J16" i="36"/>
  <c r="H16" i="36"/>
  <c r="AB16" i="36" s="1"/>
  <c r="F16" i="36"/>
  <c r="AA16" i="36" s="1"/>
  <c r="C16" i="36"/>
  <c r="AB14" i="36"/>
  <c r="U14" i="36"/>
  <c r="Q14" i="36"/>
  <c r="Z14" i="36" s="1"/>
  <c r="J14" i="36"/>
  <c r="AC14" i="36" s="1"/>
  <c r="H14" i="36"/>
  <c r="F14" i="36"/>
  <c r="AA14" i="36" s="1"/>
  <c r="C14" i="36"/>
  <c r="AC13" i="36"/>
  <c r="W13" i="36"/>
  <c r="Q13" i="36"/>
  <c r="Z13" i="36" s="1"/>
  <c r="J13" i="36"/>
  <c r="H13" i="36"/>
  <c r="Q12" i="36"/>
  <c r="Z12" i="36" s="1"/>
  <c r="H12" i="36"/>
  <c r="AB12" i="36" s="1"/>
  <c r="AA11" i="36"/>
  <c r="Q11" i="36"/>
  <c r="Z11" i="36" s="1"/>
  <c r="J11" i="36"/>
  <c r="AC11" i="36" s="1"/>
  <c r="H11" i="36"/>
  <c r="AB11" i="36" s="1"/>
  <c r="F11" i="36"/>
  <c r="S11" i="36" s="1"/>
  <c r="Z10" i="36"/>
  <c r="Q10" i="36"/>
  <c r="J10" i="36"/>
  <c r="W10" i="36" s="1"/>
  <c r="H10" i="36"/>
  <c r="AB10" i="36" s="1"/>
  <c r="F10" i="36"/>
  <c r="AA10" i="36" s="1"/>
  <c r="AC9" i="36"/>
  <c r="W9" i="36"/>
  <c r="Q9" i="36"/>
  <c r="Z9" i="36" s="1"/>
  <c r="J9" i="36"/>
  <c r="H9" i="36"/>
  <c r="F9" i="36"/>
  <c r="AA9" i="36" s="1"/>
  <c r="AB8" i="36"/>
  <c r="AA8" i="36"/>
  <c r="S8" i="36"/>
  <c r="J8" i="36"/>
  <c r="H8" i="36"/>
  <c r="U8" i="36" s="1"/>
  <c r="F8" i="36"/>
  <c r="D3" i="36"/>
  <c r="B2" i="36"/>
  <c r="B101" i="35"/>
  <c r="F36" i="35" s="1"/>
  <c r="B99" i="35"/>
  <c r="B97" i="35"/>
  <c r="D96" i="35"/>
  <c r="E96" i="35" s="1"/>
  <c r="F96" i="35" s="1"/>
  <c r="G96" i="35" s="1"/>
  <c r="J94" i="35"/>
  <c r="K94" i="35" s="1"/>
  <c r="L94" i="35" s="1"/>
  <c r="M94" i="35" s="1"/>
  <c r="F94" i="35"/>
  <c r="G94" i="35" s="1"/>
  <c r="H94" i="35" s="1"/>
  <c r="I94" i="35" s="1"/>
  <c r="E94" i="35"/>
  <c r="D94" i="35"/>
  <c r="M90" i="35"/>
  <c r="L90" i="35"/>
  <c r="K90" i="35"/>
  <c r="J90" i="35"/>
  <c r="I90" i="35"/>
  <c r="H90" i="35"/>
  <c r="G90" i="35"/>
  <c r="F90" i="35"/>
  <c r="E90" i="35"/>
  <c r="D90" i="35"/>
  <c r="C90" i="35"/>
  <c r="K89" i="35"/>
  <c r="L89" i="35" s="1"/>
  <c r="M89" i="35" s="1"/>
  <c r="G89" i="35"/>
  <c r="H89" i="35" s="1"/>
  <c r="I89" i="35" s="1"/>
  <c r="J89" i="35" s="1"/>
  <c r="F89" i="35"/>
  <c r="E89" i="35"/>
  <c r="D89" i="35"/>
  <c r="I87" i="35"/>
  <c r="J87" i="35" s="1"/>
  <c r="K87" i="35" s="1"/>
  <c r="L87" i="35" s="1"/>
  <c r="M87" i="35" s="1"/>
  <c r="E87" i="35"/>
  <c r="F87" i="35" s="1"/>
  <c r="G87" i="35" s="1"/>
  <c r="H87" i="35" s="1"/>
  <c r="D87" i="35"/>
  <c r="G85" i="35"/>
  <c r="F85" i="35"/>
  <c r="E85" i="35"/>
  <c r="D85" i="35"/>
  <c r="C85" i="35"/>
  <c r="G84" i="35"/>
  <c r="H84" i="35" s="1"/>
  <c r="I84" i="35" s="1"/>
  <c r="J84" i="35" s="1"/>
  <c r="K84" i="35" s="1"/>
  <c r="L84" i="35" s="1"/>
  <c r="M84" i="35" s="1"/>
  <c r="D84" i="35"/>
  <c r="E84" i="35" s="1"/>
  <c r="F84" i="35" s="1"/>
  <c r="E80" i="35"/>
  <c r="F80" i="35" s="1"/>
  <c r="G80" i="35" s="1"/>
  <c r="H80" i="35" s="1"/>
  <c r="I80" i="35" s="1"/>
  <c r="J80" i="35" s="1"/>
  <c r="K80" i="35" s="1"/>
  <c r="L80" i="35" s="1"/>
  <c r="M80" i="35" s="1"/>
  <c r="D80" i="35"/>
  <c r="B77" i="35"/>
  <c r="B75" i="35"/>
  <c r="B73" i="35"/>
  <c r="F23" i="35" s="1"/>
  <c r="E72" i="35"/>
  <c r="F72" i="35" s="1"/>
  <c r="G72" i="35" s="1"/>
  <c r="D72" i="35"/>
  <c r="F70" i="35"/>
  <c r="G70" i="35" s="1"/>
  <c r="E70" i="35"/>
  <c r="D70" i="35"/>
  <c r="E68" i="35"/>
  <c r="F68" i="35" s="1"/>
  <c r="G68" i="35" s="1"/>
  <c r="D68" i="35"/>
  <c r="F66" i="35"/>
  <c r="G66" i="35" s="1"/>
  <c r="E66" i="35"/>
  <c r="D66" i="35"/>
  <c r="E64" i="35"/>
  <c r="F64" i="35" s="1"/>
  <c r="G64" i="35" s="1"/>
  <c r="D64" i="35"/>
  <c r="B61" i="35"/>
  <c r="B59" i="35"/>
  <c r="B57" i="35"/>
  <c r="C53" i="35"/>
  <c r="I44" i="35"/>
  <c r="J44" i="35" s="1"/>
  <c r="H44" i="35"/>
  <c r="G44" i="35"/>
  <c r="E44" i="35"/>
  <c r="F44" i="35" s="1"/>
  <c r="P39" i="35"/>
  <c r="P38" i="35"/>
  <c r="K38" i="35"/>
  <c r="B38" i="35"/>
  <c r="V37" i="35"/>
  <c r="T37" i="35"/>
  <c r="R37" i="35"/>
  <c r="P37" i="35"/>
  <c r="Z36" i="35"/>
  <c r="W36" i="35"/>
  <c r="Q36" i="35"/>
  <c r="J36" i="35"/>
  <c r="AC36" i="35" s="1"/>
  <c r="H36" i="35"/>
  <c r="AB36" i="35" s="1"/>
  <c r="AC35" i="35"/>
  <c r="W35" i="35"/>
  <c r="Q35" i="35"/>
  <c r="Z35" i="35" s="1"/>
  <c r="J35" i="35"/>
  <c r="H35" i="35"/>
  <c r="AB35" i="35" s="1"/>
  <c r="F35" i="35"/>
  <c r="AA35" i="35" s="1"/>
  <c r="Q34" i="35"/>
  <c r="Z34" i="35" s="1"/>
  <c r="AA33" i="35"/>
  <c r="Z33" i="35"/>
  <c r="Q33" i="35"/>
  <c r="J33" i="35"/>
  <c r="AC33" i="35" s="1"/>
  <c r="H33" i="35"/>
  <c r="AB33" i="35" s="1"/>
  <c r="F33" i="35"/>
  <c r="S33" i="35" s="1"/>
  <c r="Z32" i="35"/>
  <c r="W32" i="35"/>
  <c r="Q32" i="35"/>
  <c r="J32" i="35"/>
  <c r="AC32" i="35" s="1"/>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Q28" i="35"/>
  <c r="Z28" i="35" s="1"/>
  <c r="J28" i="35"/>
  <c r="W28" i="35" s="1"/>
  <c r="H28" i="35"/>
  <c r="AB28" i="35" s="1"/>
  <c r="F28" i="35"/>
  <c r="AA28" i="35" s="1"/>
  <c r="AB27" i="35"/>
  <c r="U27" i="35"/>
  <c r="Q27" i="35"/>
  <c r="Z27" i="35" s="1"/>
  <c r="J27" i="35"/>
  <c r="H27" i="35"/>
  <c r="F27" i="35"/>
  <c r="AA27" i="35" s="1"/>
  <c r="AA26" i="35"/>
  <c r="Q26" i="35"/>
  <c r="Z26" i="35" s="1"/>
  <c r="H26" i="35"/>
  <c r="C26" i="35"/>
  <c r="C79" i="35" s="1"/>
  <c r="F26" i="35" s="1"/>
  <c r="S26" i="35" s="1"/>
  <c r="Q25" i="35"/>
  <c r="Z25" i="35" s="1"/>
  <c r="H25" i="35"/>
  <c r="Z24" i="35"/>
  <c r="S24" i="35"/>
  <c r="Q24" i="35"/>
  <c r="F24" i="35"/>
  <c r="AA24" i="35" s="1"/>
  <c r="Z23" i="35"/>
  <c r="Q23" i="35"/>
  <c r="J23" i="35"/>
  <c r="W23" i="35" s="1"/>
  <c r="H23" i="35"/>
  <c r="AB23" i="35" s="1"/>
  <c r="AB22" i="35"/>
  <c r="U22" i="35"/>
  <c r="Q22" i="35"/>
  <c r="Z22" i="35" s="1"/>
  <c r="J22" i="35"/>
  <c r="AC22" i="35" s="1"/>
  <c r="H22" i="35"/>
  <c r="F22" i="35"/>
  <c r="AA22" i="35" s="1"/>
  <c r="Q20" i="35"/>
  <c r="Z20" i="35" s="1"/>
  <c r="J20" i="35"/>
  <c r="AC20" i="35" s="1"/>
  <c r="H20" i="35"/>
  <c r="AB20" i="35" s="1"/>
  <c r="F20" i="35"/>
  <c r="AA20" i="35" s="1"/>
  <c r="C20" i="35"/>
  <c r="AA18" i="35"/>
  <c r="U18" i="35"/>
  <c r="Q18" i="35"/>
  <c r="Z18" i="35" s="1"/>
  <c r="J18" i="35"/>
  <c r="AC18" i="35" s="1"/>
  <c r="H18" i="35"/>
  <c r="AB18" i="35" s="1"/>
  <c r="F18" i="35"/>
  <c r="S18" i="35" s="1"/>
  <c r="C18" i="35"/>
  <c r="AB16" i="35"/>
  <c r="AA16" i="35"/>
  <c r="Q16" i="35"/>
  <c r="Z16" i="35" s="1"/>
  <c r="J16" i="35"/>
  <c r="AC16" i="35" s="1"/>
  <c r="H16" i="35"/>
  <c r="U16" i="35" s="1"/>
  <c r="F16" i="35"/>
  <c r="S16" i="35" s="1"/>
  <c r="C16" i="35"/>
  <c r="AB14" i="35"/>
  <c r="Q14" i="35"/>
  <c r="Z14" i="35" s="1"/>
  <c r="J14" i="35"/>
  <c r="AC14" i="35" s="1"/>
  <c r="H14" i="35"/>
  <c r="U14" i="35" s="1"/>
  <c r="F14" i="35"/>
  <c r="AA14" i="35" s="1"/>
  <c r="C14" i="35"/>
  <c r="Q13" i="35"/>
  <c r="Z13" i="35" s="1"/>
  <c r="J13" i="35"/>
  <c r="AC13" i="35" s="1"/>
  <c r="H13" i="35"/>
  <c r="AB13" i="35" s="1"/>
  <c r="F13" i="35"/>
  <c r="AA13" i="35" s="1"/>
  <c r="S12" i="35"/>
  <c r="Q12" i="35"/>
  <c r="Z12" i="35" s="1"/>
  <c r="F12" i="35"/>
  <c r="AA12" i="35" s="1"/>
  <c r="Z11" i="35"/>
  <c r="Q11" i="35"/>
  <c r="AB10" i="35"/>
  <c r="U10" i="35"/>
  <c r="Q10" i="35"/>
  <c r="Z10" i="35" s="1"/>
  <c r="J10" i="35"/>
  <c r="H10" i="35"/>
  <c r="F10" i="35"/>
  <c r="AA10" i="35" s="1"/>
  <c r="AB9" i="35"/>
  <c r="AA9" i="35"/>
  <c r="Q9" i="35"/>
  <c r="Z9" i="35" s="1"/>
  <c r="J9" i="35"/>
  <c r="AC9" i="35" s="1"/>
  <c r="H9" i="35"/>
  <c r="U9" i="35" s="1"/>
  <c r="F9" i="35"/>
  <c r="S9" i="35" s="1"/>
  <c r="AA8" i="35"/>
  <c r="W8" i="35"/>
  <c r="J8" i="35"/>
  <c r="AC8" i="35" s="1"/>
  <c r="H8" i="35"/>
  <c r="F8" i="35"/>
  <c r="S8" i="35" s="1"/>
  <c r="D3" i="35"/>
  <c r="B2" i="35"/>
  <c r="B112" i="37"/>
  <c r="F40" i="37" s="1"/>
  <c r="B110" i="37"/>
  <c r="J39" i="37" s="1"/>
  <c r="B108" i="37"/>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E103" i="37"/>
  <c r="D103" i="37"/>
  <c r="D101" i="37"/>
  <c r="E101" i="37" s="1"/>
  <c r="F101" i="37" s="1"/>
  <c r="G101" i="37" s="1"/>
  <c r="H101" i="37" s="1"/>
  <c r="I101" i="37" s="1"/>
  <c r="J101" i="37" s="1"/>
  <c r="K101" i="37" s="1"/>
  <c r="L101" i="37" s="1"/>
  <c r="M101" i="37" s="1"/>
  <c r="F99" i="37"/>
  <c r="G99" i="37" s="1"/>
  <c r="H99" i="37" s="1"/>
  <c r="I99" i="37" s="1"/>
  <c r="J99" i="37" s="1"/>
  <c r="K99" i="37" s="1"/>
  <c r="L99" i="37" s="1"/>
  <c r="M99" i="37" s="1"/>
  <c r="E99" i="37"/>
  <c r="D99" i="37"/>
  <c r="G97" i="37"/>
  <c r="F97" i="37"/>
  <c r="E97" i="37"/>
  <c r="D97" i="37"/>
  <c r="C97" i="37"/>
  <c r="M96" i="37"/>
  <c r="E96" i="37"/>
  <c r="F96" i="37" s="1"/>
  <c r="G96" i="37" s="1"/>
  <c r="H96" i="37" s="1"/>
  <c r="I96" i="37" s="1"/>
  <c r="J96" i="37" s="1"/>
  <c r="K96" i="37" s="1"/>
  <c r="L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H26" i="37" s="1"/>
  <c r="B80" i="37"/>
  <c r="F25" i="37" s="1"/>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H12" i="37" s="1"/>
  <c r="F63" i="37"/>
  <c r="G63" i="37" s="1"/>
  <c r="H63" i="37" s="1"/>
  <c r="I63" i="37" s="1"/>
  <c r="J63" i="37" s="1"/>
  <c r="K63" i="37" s="1"/>
  <c r="L63" i="37" s="1"/>
  <c r="M63" i="37" s="1"/>
  <c r="E63" i="37"/>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H40" i="37"/>
  <c r="AA39" i="37"/>
  <c r="S39" i="37"/>
  <c r="Q39" i="37"/>
  <c r="Z39" i="37" s="1"/>
  <c r="H39" i="37"/>
  <c r="AB39" i="37" s="1"/>
  <c r="F39" i="37"/>
  <c r="AA38" i="37"/>
  <c r="Q38" i="37"/>
  <c r="Z38" i="37" s="1"/>
  <c r="J38" i="37"/>
  <c r="AC38" i="37" s="1"/>
  <c r="H38" i="37"/>
  <c r="AB38" i="37" s="1"/>
  <c r="F38" i="37"/>
  <c r="S38" i="37" s="1"/>
  <c r="Z37" i="37"/>
  <c r="Q37" i="37"/>
  <c r="J37" i="37"/>
  <c r="W37" i="37" s="1"/>
  <c r="H37" i="37"/>
  <c r="AB37" i="37" s="1"/>
  <c r="F37" i="37"/>
  <c r="AA37" i="37" s="1"/>
  <c r="AC36" i="37"/>
  <c r="AA36" i="37"/>
  <c r="Q36" i="37"/>
  <c r="Z36" i="37" s="1"/>
  <c r="J36" i="37"/>
  <c r="W36" i="37" s="1"/>
  <c r="H36" i="37"/>
  <c r="U36" i="37" s="1"/>
  <c r="F36" i="37"/>
  <c r="S36" i="37" s="1"/>
  <c r="AB35" i="37"/>
  <c r="Z35" i="37"/>
  <c r="Q35" i="37"/>
  <c r="J35" i="37"/>
  <c r="AC35" i="37" s="1"/>
  <c r="H35" i="37"/>
  <c r="U35" i="37" s="1"/>
  <c r="F35" i="37"/>
  <c r="AA35" i="37" s="1"/>
  <c r="AA34" i="37"/>
  <c r="W34" i="37"/>
  <c r="Q34" i="37"/>
  <c r="Z34" i="37" s="1"/>
  <c r="J34" i="37"/>
  <c r="AC34" i="37" s="1"/>
  <c r="H34" i="37"/>
  <c r="AB34" i="37" s="1"/>
  <c r="F34" i="37"/>
  <c r="S34" i="37" s="1"/>
  <c r="AB33" i="37"/>
  <c r="Z33" i="37"/>
  <c r="U33" i="37"/>
  <c r="Q33" i="37"/>
  <c r="J33" i="37"/>
  <c r="H33" i="37"/>
  <c r="F33" i="37"/>
  <c r="AA33" i="37" s="1"/>
  <c r="AB32" i="37"/>
  <c r="W32" i="37"/>
  <c r="Q32" i="37"/>
  <c r="Z32" i="37" s="1"/>
  <c r="J32" i="37"/>
  <c r="AC32" i="37" s="1"/>
  <c r="H32" i="37"/>
  <c r="U32" i="37" s="1"/>
  <c r="F32" i="37"/>
  <c r="AA32" i="37" s="1"/>
  <c r="AA31" i="37"/>
  <c r="U31" i="37"/>
  <c r="Q31" i="37"/>
  <c r="Z31" i="37" s="1"/>
  <c r="J31" i="37"/>
  <c r="AC31" i="37" s="1"/>
  <c r="H31" i="37"/>
  <c r="AB31" i="37" s="1"/>
  <c r="F31" i="37"/>
  <c r="S31" i="37" s="1"/>
  <c r="Z30" i="37"/>
  <c r="Q30" i="37"/>
  <c r="J30" i="37"/>
  <c r="W30" i="37" s="1"/>
  <c r="H30" i="37"/>
  <c r="AB30" i="37" s="1"/>
  <c r="F30" i="37"/>
  <c r="AA30" i="37" s="1"/>
  <c r="AC29" i="37"/>
  <c r="W29" i="37"/>
  <c r="Q29" i="37"/>
  <c r="Z29" i="37" s="1"/>
  <c r="J29" i="37"/>
  <c r="H29" i="37"/>
  <c r="U29" i="37" s="1"/>
  <c r="F29" i="37"/>
  <c r="AA29" i="37" s="1"/>
  <c r="AC28" i="37"/>
  <c r="AA28" i="37"/>
  <c r="U28" i="37"/>
  <c r="Q28" i="37"/>
  <c r="Z28" i="37" s="1"/>
  <c r="J28" i="37"/>
  <c r="W28" i="37" s="1"/>
  <c r="H28" i="37"/>
  <c r="AB28" i="37" s="1"/>
  <c r="F28" i="37"/>
  <c r="S28" i="37" s="1"/>
  <c r="AB27" i="37"/>
  <c r="Z27" i="37"/>
  <c r="Q27" i="37"/>
  <c r="J27" i="37"/>
  <c r="AC27" i="37" s="1"/>
  <c r="H27" i="37"/>
  <c r="U27" i="37" s="1"/>
  <c r="F27" i="37"/>
  <c r="AA27" i="37" s="1"/>
  <c r="AA26" i="37"/>
  <c r="Q26" i="37"/>
  <c r="Z26" i="37" s="1"/>
  <c r="F26" i="37"/>
  <c r="S26" i="37" s="1"/>
  <c r="AB25" i="37"/>
  <c r="Q25" i="37"/>
  <c r="Z25" i="37" s="1"/>
  <c r="H25" i="37"/>
  <c r="U25" i="37" s="1"/>
  <c r="AB23" i="37"/>
  <c r="Q23" i="37"/>
  <c r="Z23" i="37" s="1"/>
  <c r="J23" i="37"/>
  <c r="H23" i="37"/>
  <c r="U23" i="37" s="1"/>
  <c r="F23" i="37"/>
  <c r="AA23" i="37" s="1"/>
  <c r="C23" i="37"/>
  <c r="AC21" i="37"/>
  <c r="AA21" i="37"/>
  <c r="Q21" i="37"/>
  <c r="Z21" i="37" s="1"/>
  <c r="J21" i="37"/>
  <c r="W21" i="37" s="1"/>
  <c r="H21" i="37"/>
  <c r="AB21" i="37" s="1"/>
  <c r="F21" i="37"/>
  <c r="S21" i="37" s="1"/>
  <c r="C21" i="37"/>
  <c r="AB19" i="37"/>
  <c r="Q19" i="37"/>
  <c r="Z19" i="37" s="1"/>
  <c r="J19" i="37"/>
  <c r="H19" i="37"/>
  <c r="U19" i="37" s="1"/>
  <c r="F19" i="37"/>
  <c r="AA19" i="37" s="1"/>
  <c r="C19" i="37"/>
  <c r="AC17" i="37"/>
  <c r="AA17" i="37"/>
  <c r="Q17" i="37"/>
  <c r="Z17" i="37" s="1"/>
  <c r="J17" i="37"/>
  <c r="W17" i="37" s="1"/>
  <c r="H17" i="37"/>
  <c r="AB17" i="37" s="1"/>
  <c r="F17" i="37"/>
  <c r="S17" i="37" s="1"/>
  <c r="C17" i="37"/>
  <c r="AB15" i="37"/>
  <c r="Q15" i="37"/>
  <c r="Z15" i="37" s="1"/>
  <c r="J15" i="37"/>
  <c r="H15" i="37"/>
  <c r="U15" i="37" s="1"/>
  <c r="F15" i="37"/>
  <c r="AA15" i="37" s="1"/>
  <c r="C15" i="37"/>
  <c r="AC14" i="37"/>
  <c r="AB14" i="37"/>
  <c r="Q14" i="37"/>
  <c r="Z14" i="37" s="1"/>
  <c r="J14" i="37"/>
  <c r="W14" i="37" s="1"/>
  <c r="H14" i="37"/>
  <c r="U14" i="37" s="1"/>
  <c r="F14" i="37"/>
  <c r="AA14" i="37" s="1"/>
  <c r="AB13" i="37"/>
  <c r="Z13" i="37"/>
  <c r="Q13" i="37"/>
  <c r="J13" i="37"/>
  <c r="AC13" i="37" s="1"/>
  <c r="H13" i="37"/>
  <c r="U13" i="37" s="1"/>
  <c r="F13" i="37"/>
  <c r="AA13" i="37" s="1"/>
  <c r="AA12" i="37"/>
  <c r="Q12" i="37"/>
  <c r="Z12" i="37" s="1"/>
  <c r="J12" i="37"/>
  <c r="AC12" i="37" s="1"/>
  <c r="F12" i="37"/>
  <c r="S12" i="37" s="1"/>
  <c r="Z11" i="37"/>
  <c r="W11" i="37"/>
  <c r="Q11" i="37"/>
  <c r="J11" i="37"/>
  <c r="AC11" i="37" s="1"/>
  <c r="H11" i="37"/>
  <c r="F11" i="37"/>
  <c r="AA11" i="37" s="1"/>
  <c r="AC10" i="37"/>
  <c r="AA10" i="37"/>
  <c r="Q10" i="37"/>
  <c r="Z10" i="37" s="1"/>
  <c r="J10" i="37"/>
  <c r="W10" i="37" s="1"/>
  <c r="H10" i="37"/>
  <c r="U10" i="37" s="1"/>
  <c r="F10" i="37"/>
  <c r="S10" i="37" s="1"/>
  <c r="Z9" i="37"/>
  <c r="Q9" i="37"/>
  <c r="J9" i="37"/>
  <c r="AC9" i="37" s="1"/>
  <c r="H9" i="37"/>
  <c r="U9" i="37" s="1"/>
  <c r="F9" i="37"/>
  <c r="AA9" i="37" s="1"/>
  <c r="W8" i="37"/>
  <c r="U8" i="37"/>
  <c r="J8" i="37"/>
  <c r="AC8" i="37" s="1"/>
  <c r="H8" i="37"/>
  <c r="AB8" i="37" s="1"/>
  <c r="F8" i="37"/>
  <c r="B2" i="37"/>
  <c r="B131" i="34"/>
  <c r="F47" i="34" s="1"/>
  <c r="B129" i="34"/>
  <c r="B127" i="34"/>
  <c r="F126" i="34"/>
  <c r="G126" i="34" s="1"/>
  <c r="D126" i="34"/>
  <c r="E126" i="34" s="1"/>
  <c r="K124" i="34"/>
  <c r="L124" i="34" s="1"/>
  <c r="M124" i="34" s="1"/>
  <c r="H124" i="34"/>
  <c r="I124" i="34" s="1"/>
  <c r="J124" i="34" s="1"/>
  <c r="G124" i="34"/>
  <c r="F124" i="34"/>
  <c r="D124" i="34"/>
  <c r="E124" i="34" s="1"/>
  <c r="H120" i="34"/>
  <c r="I120" i="34" s="1"/>
  <c r="J120" i="34" s="1"/>
  <c r="K120" i="34" s="1"/>
  <c r="L120" i="34" s="1"/>
  <c r="M120" i="34" s="1"/>
  <c r="F120" i="34"/>
  <c r="G120" i="34" s="1"/>
  <c r="E120" i="34"/>
  <c r="D120" i="34"/>
  <c r="F118" i="34"/>
  <c r="G118" i="34" s="1"/>
  <c r="E118" i="34"/>
  <c r="D118" i="34"/>
  <c r="J116" i="34"/>
  <c r="K116" i="34" s="1"/>
  <c r="L116" i="34" s="1"/>
  <c r="M116" i="34" s="1"/>
  <c r="H116" i="34"/>
  <c r="I116" i="34" s="1"/>
  <c r="F116" i="34"/>
  <c r="G116" i="34" s="1"/>
  <c r="D116" i="34"/>
  <c r="E116" i="34" s="1"/>
  <c r="E114" i="34"/>
  <c r="F114" i="34" s="1"/>
  <c r="G114" i="34" s="1"/>
  <c r="H114" i="34" s="1"/>
  <c r="I114" i="34" s="1"/>
  <c r="J114" i="34" s="1"/>
  <c r="K114" i="34" s="1"/>
  <c r="L114" i="34" s="1"/>
  <c r="M114" i="34" s="1"/>
  <c r="D114" i="34"/>
  <c r="H112" i="34"/>
  <c r="I112" i="34" s="1"/>
  <c r="J112" i="34" s="1"/>
  <c r="K112" i="34" s="1"/>
  <c r="L112" i="34" s="1"/>
  <c r="M112" i="34" s="1"/>
  <c r="G112" i="34"/>
  <c r="D112" i="34"/>
  <c r="E112" i="34" s="1"/>
  <c r="F112" i="34" s="1"/>
  <c r="G110" i="34"/>
  <c r="F110" i="34"/>
  <c r="E110" i="34"/>
  <c r="D110" i="34"/>
  <c r="C110" i="34"/>
  <c r="E109" i="34"/>
  <c r="F109" i="34" s="1"/>
  <c r="G109" i="34" s="1"/>
  <c r="H109" i="34" s="1"/>
  <c r="I109" i="34" s="1"/>
  <c r="J109" i="34" s="1"/>
  <c r="K109" i="34" s="1"/>
  <c r="L109" i="34" s="1"/>
  <c r="M109" i="34" s="1"/>
  <c r="D109" i="34"/>
  <c r="I107" i="34"/>
  <c r="J107" i="34" s="1"/>
  <c r="K107" i="34" s="1"/>
  <c r="L107" i="34" s="1"/>
  <c r="M107" i="34" s="1"/>
  <c r="H107" i="34"/>
  <c r="E107" i="34"/>
  <c r="F107" i="34" s="1"/>
  <c r="G107" i="34" s="1"/>
  <c r="D107" i="34"/>
  <c r="M103" i="34"/>
  <c r="L103" i="34"/>
  <c r="K103" i="34"/>
  <c r="J103" i="34"/>
  <c r="I103" i="34"/>
  <c r="H103" i="34"/>
  <c r="G103" i="34"/>
  <c r="F103" i="34"/>
  <c r="E103" i="34"/>
  <c r="D103" i="34"/>
  <c r="C103" i="34"/>
  <c r="L102" i="34"/>
  <c r="M102" i="34" s="1"/>
  <c r="D102" i="34"/>
  <c r="E102" i="34" s="1"/>
  <c r="F102" i="34" s="1"/>
  <c r="G102" i="34" s="1"/>
  <c r="H102" i="34" s="1"/>
  <c r="I102" i="34" s="1"/>
  <c r="J102" i="34" s="1"/>
  <c r="K102" i="34" s="1"/>
  <c r="B99" i="34"/>
  <c r="B97" i="34"/>
  <c r="J31" i="34" s="1"/>
  <c r="B95" i="34"/>
  <c r="B93" i="34"/>
  <c r="G92" i="34"/>
  <c r="H92" i="34" s="1"/>
  <c r="I92" i="34" s="1"/>
  <c r="J92" i="34" s="1"/>
  <c r="K92" i="34" s="1"/>
  <c r="L92" i="34" s="1"/>
  <c r="M92" i="34" s="1"/>
  <c r="F92" i="34"/>
  <c r="D92" i="34"/>
  <c r="E92" i="34" s="1"/>
  <c r="B91" i="34"/>
  <c r="F90" i="34"/>
  <c r="G90" i="34" s="1"/>
  <c r="H90" i="34" s="1"/>
  <c r="I90" i="34" s="1"/>
  <c r="J90" i="34" s="1"/>
  <c r="K90" i="34" s="1"/>
  <c r="L90" i="34" s="1"/>
  <c r="M90" i="34" s="1"/>
  <c r="E90" i="34"/>
  <c r="D90" i="34"/>
  <c r="B89" i="34"/>
  <c r="E88" i="34"/>
  <c r="F88" i="34" s="1"/>
  <c r="G88" i="34" s="1"/>
  <c r="H88" i="34" s="1"/>
  <c r="I88" i="34" s="1"/>
  <c r="J88" i="34" s="1"/>
  <c r="K88" i="34" s="1"/>
  <c r="L88" i="34" s="1"/>
  <c r="M88" i="34" s="1"/>
  <c r="D88" i="34"/>
  <c r="F86" i="34"/>
  <c r="G86" i="34" s="1"/>
  <c r="D86" i="34"/>
  <c r="E86" i="34" s="1"/>
  <c r="F84" i="34"/>
  <c r="G84" i="34" s="1"/>
  <c r="E84" i="34"/>
  <c r="D84" i="34"/>
  <c r="E82" i="34"/>
  <c r="F82" i="34" s="1"/>
  <c r="G82" i="34" s="1"/>
  <c r="D82" i="34"/>
  <c r="E80" i="34"/>
  <c r="F80" i="34" s="1"/>
  <c r="G80" i="34" s="1"/>
  <c r="D80" i="34"/>
  <c r="F78" i="34"/>
  <c r="G78" i="34" s="1"/>
  <c r="D78" i="34"/>
  <c r="E78" i="34" s="1"/>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W47" i="34"/>
  <c r="U47" i="34"/>
  <c r="Q47" i="34"/>
  <c r="Z47" i="34" s="1"/>
  <c r="J47" i="34"/>
  <c r="H47" i="34"/>
  <c r="AC46" i="34"/>
  <c r="AB46" i="34"/>
  <c r="Q46" i="34"/>
  <c r="Z46" i="34" s="1"/>
  <c r="J46" i="34"/>
  <c r="W46" i="34" s="1"/>
  <c r="H46" i="34"/>
  <c r="U46" i="34" s="1"/>
  <c r="F46" i="34"/>
  <c r="AA46" i="34" s="1"/>
  <c r="Q45" i="34"/>
  <c r="Z45" i="34" s="1"/>
  <c r="AA44" i="34"/>
  <c r="Z44" i="34"/>
  <c r="W44" i="34"/>
  <c r="Q44" i="34"/>
  <c r="J44" i="34"/>
  <c r="AC44" i="34" s="1"/>
  <c r="H44" i="34"/>
  <c r="AB44" i="34" s="1"/>
  <c r="F44" i="34"/>
  <c r="S44" i="34" s="1"/>
  <c r="AC43" i="34"/>
  <c r="AB43" i="34"/>
  <c r="Z43" i="34"/>
  <c r="U43" i="34"/>
  <c r="Q43" i="34"/>
  <c r="J43" i="34"/>
  <c r="W43" i="34" s="1"/>
  <c r="H43" i="34"/>
  <c r="F43" i="34"/>
  <c r="AA43" i="34" s="1"/>
  <c r="W42" i="34"/>
  <c r="Q42" i="34"/>
  <c r="Z42" i="34" s="1"/>
  <c r="J42" i="34"/>
  <c r="AC42" i="34" s="1"/>
  <c r="H42" i="34"/>
  <c r="U42" i="34" s="1"/>
  <c r="F42" i="34"/>
  <c r="AA42" i="34" s="1"/>
  <c r="AA41" i="34"/>
  <c r="Z41" i="34"/>
  <c r="Q41" i="34"/>
  <c r="J41" i="34"/>
  <c r="AC41" i="34" s="1"/>
  <c r="H41" i="34"/>
  <c r="F41" i="34"/>
  <c r="S41" i="34" s="1"/>
  <c r="AC40" i="34"/>
  <c r="Z40" i="34"/>
  <c r="Q40" i="34"/>
  <c r="J40" i="34"/>
  <c r="W40" i="34" s="1"/>
  <c r="H40" i="34"/>
  <c r="AB40" i="34" s="1"/>
  <c r="F40" i="34"/>
  <c r="S40" i="34" s="1"/>
  <c r="AC39" i="34"/>
  <c r="W39" i="34"/>
  <c r="Q39" i="34"/>
  <c r="Z39" i="34" s="1"/>
  <c r="J39" i="34"/>
  <c r="H39" i="34"/>
  <c r="F39" i="34"/>
  <c r="Z38" i="34"/>
  <c r="Q38" i="34"/>
  <c r="J38" i="34"/>
  <c r="H38" i="34"/>
  <c r="AB38" i="34" s="1"/>
  <c r="F38" i="34"/>
  <c r="S38" i="34" s="1"/>
  <c r="AB37" i="34"/>
  <c r="Q37" i="34"/>
  <c r="Z37" i="34" s="1"/>
  <c r="J37" i="34"/>
  <c r="W37" i="34" s="1"/>
  <c r="H37" i="34"/>
  <c r="U37" i="34" s="1"/>
  <c r="F37" i="34"/>
  <c r="AA37" i="34" s="1"/>
  <c r="AC36" i="34"/>
  <c r="Q36" i="34"/>
  <c r="Z36" i="34" s="1"/>
  <c r="J36" i="34"/>
  <c r="W36" i="34" s="1"/>
  <c r="H36" i="34"/>
  <c r="AB36" i="34" s="1"/>
  <c r="F36" i="34"/>
  <c r="S36" i="34" s="1"/>
  <c r="Z35" i="34"/>
  <c r="Q35" i="34"/>
  <c r="J35" i="34"/>
  <c r="AC35" i="34" s="1"/>
  <c r="H35" i="34"/>
  <c r="U35" i="34" s="1"/>
  <c r="F35" i="34"/>
  <c r="S35" i="34" s="1"/>
  <c r="AA34" i="34"/>
  <c r="Q34" i="34"/>
  <c r="Z34" i="34" s="1"/>
  <c r="J34" i="34"/>
  <c r="W34" i="34" s="1"/>
  <c r="H34" i="34"/>
  <c r="AB34" i="34" s="1"/>
  <c r="F34" i="34"/>
  <c r="S34" i="34" s="1"/>
  <c r="AC33" i="34"/>
  <c r="AB33" i="34"/>
  <c r="U33" i="34"/>
  <c r="Q33" i="34"/>
  <c r="Z33" i="34" s="1"/>
  <c r="J33" i="34"/>
  <c r="W33" i="34" s="1"/>
  <c r="H33" i="34"/>
  <c r="F33" i="34"/>
  <c r="AA33" i="34" s="1"/>
  <c r="W32" i="34"/>
  <c r="Q32" i="34"/>
  <c r="Z32" i="34" s="1"/>
  <c r="J32" i="34"/>
  <c r="AC32" i="34" s="1"/>
  <c r="H32" i="34"/>
  <c r="U32" i="34" s="1"/>
  <c r="F32" i="34"/>
  <c r="S32" i="34" s="1"/>
  <c r="AA31" i="34"/>
  <c r="Q31" i="34"/>
  <c r="Z31" i="34" s="1"/>
  <c r="H31" i="34"/>
  <c r="U31" i="34" s="1"/>
  <c r="F31" i="34"/>
  <c r="S31" i="34" s="1"/>
  <c r="Q30" i="34"/>
  <c r="Z30" i="34" s="1"/>
  <c r="J30" i="34"/>
  <c r="AC30" i="34" s="1"/>
  <c r="H30" i="34"/>
  <c r="U30" i="34" s="1"/>
  <c r="F30" i="34"/>
  <c r="AA30" i="34" s="1"/>
  <c r="AA29" i="34"/>
  <c r="S29" i="34"/>
  <c r="Q29" i="34"/>
  <c r="Z29" i="34" s="1"/>
  <c r="F29" i="34"/>
  <c r="Q28" i="34"/>
  <c r="Z28" i="34" s="1"/>
  <c r="J28" i="34"/>
  <c r="AC28" i="34" s="1"/>
  <c r="H28" i="34"/>
  <c r="AB28" i="34" s="1"/>
  <c r="F28" i="34"/>
  <c r="AA28" i="34" s="1"/>
  <c r="AC27" i="34"/>
  <c r="W27" i="34"/>
  <c r="Q27" i="34"/>
  <c r="Z27" i="34" s="1"/>
  <c r="J27" i="34"/>
  <c r="H27" i="34"/>
  <c r="AB27" i="34" s="1"/>
  <c r="F27" i="34"/>
  <c r="AA27" i="34" s="1"/>
  <c r="U25" i="34"/>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AA17" i="34"/>
  <c r="Q17" i="34"/>
  <c r="Z17" i="34" s="1"/>
  <c r="J17" i="34"/>
  <c r="AC17" i="34" s="1"/>
  <c r="H17" i="34"/>
  <c r="AB17" i="34" s="1"/>
  <c r="F17" i="34"/>
  <c r="S17" i="34" s="1"/>
  <c r="C17" i="34"/>
  <c r="Q15" i="34"/>
  <c r="Z15" i="34" s="1"/>
  <c r="J15" i="34"/>
  <c r="AC15" i="34" s="1"/>
  <c r="H15" i="34"/>
  <c r="AB15" i="34" s="1"/>
  <c r="F15" i="34"/>
  <c r="AA15" i="34" s="1"/>
  <c r="C15" i="34"/>
  <c r="Q14" i="34"/>
  <c r="Z14" i="34" s="1"/>
  <c r="J14" i="34"/>
  <c r="AC14" i="34" s="1"/>
  <c r="H14" i="34"/>
  <c r="AB14" i="34" s="1"/>
  <c r="F14" i="34"/>
  <c r="AA14" i="34" s="1"/>
  <c r="Z13" i="34"/>
  <c r="Q13" i="34"/>
  <c r="J13" i="34"/>
  <c r="AC13" i="34" s="1"/>
  <c r="H13" i="34"/>
  <c r="AB13" i="34" s="1"/>
  <c r="F13" i="34"/>
  <c r="AA13" i="34" s="1"/>
  <c r="Q12" i="34"/>
  <c r="Z12" i="34" s="1"/>
  <c r="J12" i="34"/>
  <c r="AC12" i="34" s="1"/>
  <c r="H12" i="34"/>
  <c r="AB12" i="34" s="1"/>
  <c r="F12" i="34"/>
  <c r="AA12" i="34" s="1"/>
  <c r="U11" i="34"/>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B2" i="34"/>
  <c r="B130" i="33"/>
  <c r="J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I108" i="33"/>
  <c r="J108" i="33" s="1"/>
  <c r="K108" i="33" s="1"/>
  <c r="L108" i="33" s="1"/>
  <c r="M108" i="33" s="1"/>
  <c r="E108" i="33"/>
  <c r="F108" i="33" s="1"/>
  <c r="G108" i="33" s="1"/>
  <c r="H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H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H46" i="33"/>
  <c r="AB46" i="33" s="1"/>
  <c r="AC45" i="33"/>
  <c r="W45" i="33"/>
  <c r="Q45" i="33"/>
  <c r="Z45" i="33" s="1"/>
  <c r="J45" i="33"/>
  <c r="F45" i="33"/>
  <c r="AA45" i="33" s="1"/>
  <c r="Q44" i="33"/>
  <c r="Z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Q40" i="33"/>
  <c r="Z40" i="33" s="1"/>
  <c r="J40" i="33"/>
  <c r="AC40" i="33" s="1"/>
  <c r="H40" i="33"/>
  <c r="U40" i="33" s="1"/>
  <c r="F40" i="33"/>
  <c r="AA40" i="33" s="1"/>
  <c r="Q39" i="33"/>
  <c r="Z39" i="33" s="1"/>
  <c r="J39" i="33"/>
  <c r="AC39" i="33" s="1"/>
  <c r="H39" i="33"/>
  <c r="AB39" i="33" s="1"/>
  <c r="F39" i="33"/>
  <c r="AA39" i="33" s="1"/>
  <c r="Z38" i="33"/>
  <c r="Q38" i="33"/>
  <c r="J38" i="33"/>
  <c r="AC38" i="33" s="1"/>
  <c r="H38" i="33"/>
  <c r="AB38" i="33" s="1"/>
  <c r="F38" i="33"/>
  <c r="AA38" i="33" s="1"/>
  <c r="Q37" i="33"/>
  <c r="Z37" i="33" s="1"/>
  <c r="J37" i="33"/>
  <c r="AC37" i="33" s="1"/>
  <c r="H37" i="33"/>
  <c r="AB37" i="33" s="1"/>
  <c r="F37" i="33"/>
  <c r="AA37" i="33" s="1"/>
  <c r="U36" i="33"/>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AC33" i="33"/>
  <c r="Q33" i="33"/>
  <c r="Z33" i="33" s="1"/>
  <c r="J33" i="33"/>
  <c r="W33" i="33" s="1"/>
  <c r="H33" i="33"/>
  <c r="AB33" i="33" s="1"/>
  <c r="F33" i="33"/>
  <c r="AA33" i="33" s="1"/>
  <c r="U32" i="33"/>
  <c r="Q32" i="33"/>
  <c r="Z32" i="33" s="1"/>
  <c r="J32" i="33"/>
  <c r="AC32" i="33" s="1"/>
  <c r="H32" i="33"/>
  <c r="AB32" i="33" s="1"/>
  <c r="F32" i="33"/>
  <c r="AA32" i="33" s="1"/>
  <c r="AA31" i="33"/>
  <c r="Q31" i="33"/>
  <c r="Z31" i="33" s="1"/>
  <c r="J31" i="33"/>
  <c r="AC31" i="33" s="1"/>
  <c r="H31" i="33"/>
  <c r="AB31" i="33" s="1"/>
  <c r="F31" i="33"/>
  <c r="S31" i="33" s="1"/>
  <c r="Q30" i="33"/>
  <c r="Z30" i="33" s="1"/>
  <c r="H30" i="33"/>
  <c r="AB30" i="33" s="1"/>
  <c r="Q29" i="33"/>
  <c r="Z29" i="33" s="1"/>
  <c r="J29" i="33"/>
  <c r="AC29" i="33" s="1"/>
  <c r="F29" i="33"/>
  <c r="AA29" i="33" s="1"/>
  <c r="Q28" i="33"/>
  <c r="Z28" i="33" s="1"/>
  <c r="Q27" i="33"/>
  <c r="Z27" i="33" s="1"/>
  <c r="J27" i="33"/>
  <c r="AC27" i="33" s="1"/>
  <c r="H27" i="33"/>
  <c r="AB27" i="33" s="1"/>
  <c r="F27" i="33"/>
  <c r="AA27" i="33" s="1"/>
  <c r="Z26" i="33"/>
  <c r="Q26" i="33"/>
  <c r="AC25" i="33"/>
  <c r="W25" i="33"/>
  <c r="Q25" i="33"/>
  <c r="Z25" i="33" s="1"/>
  <c r="J25" i="33"/>
  <c r="H25" i="33"/>
  <c r="AB25" i="33" s="1"/>
  <c r="F25" i="33"/>
  <c r="AA25" i="33" s="1"/>
  <c r="Q23" i="33"/>
  <c r="Z23" i="33" s="1"/>
  <c r="J23" i="33"/>
  <c r="AC23" i="33" s="1"/>
  <c r="H23" i="33"/>
  <c r="U23" i="33" s="1"/>
  <c r="F23" i="33"/>
  <c r="AA23" i="33" s="1"/>
  <c r="C23" i="33"/>
  <c r="U21" i="33"/>
  <c r="Q21" i="33"/>
  <c r="Z21" i="33" s="1"/>
  <c r="J21" i="33"/>
  <c r="AC21" i="33" s="1"/>
  <c r="H21" i="33"/>
  <c r="AB21" i="33" s="1"/>
  <c r="F21" i="33"/>
  <c r="AA21" i="33" s="1"/>
  <c r="C21" i="33"/>
  <c r="U19" i="33"/>
  <c r="Q19" i="33"/>
  <c r="Z19" i="33" s="1"/>
  <c r="J19" i="33"/>
  <c r="AC19" i="33" s="1"/>
  <c r="H19" i="33"/>
  <c r="AB19" i="33" s="1"/>
  <c r="F19" i="33"/>
  <c r="AA19" i="33" s="1"/>
  <c r="C19" i="33"/>
  <c r="U17" i="33"/>
  <c r="Q17" i="33"/>
  <c r="Z17" i="33" s="1"/>
  <c r="J17" i="33"/>
  <c r="AC17" i="33" s="1"/>
  <c r="H17" i="33"/>
  <c r="AB17" i="33" s="1"/>
  <c r="F17" i="33"/>
  <c r="AA17" i="33" s="1"/>
  <c r="C17" i="33"/>
  <c r="Q15" i="33"/>
  <c r="Z15" i="33" s="1"/>
  <c r="J15" i="33"/>
  <c r="AC15" i="33" s="1"/>
  <c r="H15" i="33"/>
  <c r="U15" i="33" s="1"/>
  <c r="F15" i="33"/>
  <c r="AA15" i="33" s="1"/>
  <c r="C15" i="33"/>
  <c r="U14" i="33"/>
  <c r="Q14" i="33"/>
  <c r="Z14" i="33" s="1"/>
  <c r="J14" i="33"/>
  <c r="AC14" i="33" s="1"/>
  <c r="H14" i="33"/>
  <c r="AB14" i="33" s="1"/>
  <c r="F14" i="33"/>
  <c r="AA14" i="33" s="1"/>
  <c r="Q13" i="33"/>
  <c r="Z13" i="33" s="1"/>
  <c r="F13" i="33"/>
  <c r="AA13" i="33" s="1"/>
  <c r="Q12" i="33"/>
  <c r="Z12" i="33" s="1"/>
  <c r="J12" i="33"/>
  <c r="AC12" i="33" s="1"/>
  <c r="H12" i="33"/>
  <c r="AB12" i="33" s="1"/>
  <c r="F12" i="33"/>
  <c r="AA12" i="33" s="1"/>
  <c r="AC11" i="33"/>
  <c r="W11" i="33"/>
  <c r="Q11" i="33"/>
  <c r="Z11" i="33" s="1"/>
  <c r="J11" i="33"/>
  <c r="H11" i="33"/>
  <c r="AB11" i="33" s="1"/>
  <c r="F11" i="33"/>
  <c r="AA11" i="33" s="1"/>
  <c r="Q10" i="33"/>
  <c r="Z10" i="33" s="1"/>
  <c r="J10" i="33"/>
  <c r="AC10" i="33" s="1"/>
  <c r="H10" i="33"/>
  <c r="U10" i="33" s="1"/>
  <c r="F10" i="33"/>
  <c r="AA10" i="33" s="1"/>
  <c r="Q9" i="33"/>
  <c r="Z9" i="33" s="1"/>
  <c r="J9" i="33"/>
  <c r="AC9" i="33" s="1"/>
  <c r="H9" i="33"/>
  <c r="AB9" i="33" s="1"/>
  <c r="F9" i="33"/>
  <c r="AA9" i="33" s="1"/>
  <c r="AA8" i="33"/>
  <c r="W8" i="33"/>
  <c r="S8" i="33"/>
  <c r="J8" i="33"/>
  <c r="AC8" i="33" s="1"/>
  <c r="H8" i="33"/>
  <c r="F8" i="33"/>
  <c r="B2" i="33"/>
  <c r="C145" i="21"/>
  <c r="K139" i="21" s="1"/>
  <c r="J142" i="21"/>
  <c r="J140" i="21"/>
  <c r="B130" i="21"/>
  <c r="J46" i="21" s="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J30" i="21" s="1"/>
  <c r="B94" i="21"/>
  <c r="B92" i="21"/>
  <c r="B90" i="21"/>
  <c r="H89" i="21"/>
  <c r="I89" i="21" s="1"/>
  <c r="J89" i="21" s="1"/>
  <c r="K89" i="21" s="1"/>
  <c r="L89" i="21" s="1"/>
  <c r="M89" i="21" s="1"/>
  <c r="D89" i="21"/>
  <c r="E89" i="21" s="1"/>
  <c r="F89" i="21" s="1"/>
  <c r="G89" i="21" s="1"/>
  <c r="M87" i="21"/>
  <c r="L87" i="21"/>
  <c r="K87" i="21"/>
  <c r="J87" i="21"/>
  <c r="I87" i="21"/>
  <c r="H87" i="21"/>
  <c r="G87" i="21"/>
  <c r="F87" i="21"/>
  <c r="E87" i="21"/>
  <c r="D87" i="21"/>
  <c r="F85" i="21"/>
  <c r="G85" i="21" s="1"/>
  <c r="D85" i="21"/>
  <c r="E85" i="21" s="1"/>
  <c r="D83" i="21"/>
  <c r="E83" i="21" s="1"/>
  <c r="F83" i="21" s="1"/>
  <c r="G83" i="21" s="1"/>
  <c r="F81" i="21"/>
  <c r="G81" i="21" s="1"/>
  <c r="D81" i="21"/>
  <c r="E81" i="21" s="1"/>
  <c r="D79" i="21"/>
  <c r="E79" i="21" s="1"/>
  <c r="F79" i="21" s="1"/>
  <c r="G79" i="21" s="1"/>
  <c r="F77" i="21"/>
  <c r="G7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H46" i="21"/>
  <c r="AB46" i="21" s="1"/>
  <c r="F46" i="21"/>
  <c r="AA46" i="21" s="1"/>
  <c r="Q45" i="21"/>
  <c r="Z45" i="21" s="1"/>
  <c r="U44" i="21"/>
  <c r="Q44" i="21"/>
  <c r="Z44" i="21" s="1"/>
  <c r="J44" i="21"/>
  <c r="AC44" i="21" s="1"/>
  <c r="H44" i="21"/>
  <c r="AB44" i="21" s="1"/>
  <c r="F44" i="21"/>
  <c r="AA44" i="21" s="1"/>
  <c r="AA43" i="21"/>
  <c r="Q43" i="21"/>
  <c r="Z43" i="21" s="1"/>
  <c r="J43" i="21"/>
  <c r="AC43" i="21" s="1"/>
  <c r="H43" i="21"/>
  <c r="AB43" i="21" s="1"/>
  <c r="F43" i="21"/>
  <c r="S43" i="21" s="1"/>
  <c r="Q42" i="21"/>
  <c r="Z42" i="21" s="1"/>
  <c r="J42" i="21"/>
  <c r="AC42" i="21" s="1"/>
  <c r="H42" i="21"/>
  <c r="AB42" i="21" s="1"/>
  <c r="F42" i="21"/>
  <c r="AA42" i="21" s="1"/>
  <c r="AC41" i="21"/>
  <c r="W41" i="21"/>
  <c r="Q41" i="21"/>
  <c r="Z41" i="21" s="1"/>
  <c r="J41" i="21"/>
  <c r="H41" i="21"/>
  <c r="AB41" i="21" s="1"/>
  <c r="F41" i="21"/>
  <c r="AA41" i="21" s="1"/>
  <c r="Q40" i="21"/>
  <c r="Z40" i="21" s="1"/>
  <c r="J40" i="21"/>
  <c r="AC40" i="21" s="1"/>
  <c r="H40" i="21"/>
  <c r="AB40" i="21" s="1"/>
  <c r="F40" i="21"/>
  <c r="AA40" i="21" s="1"/>
  <c r="Q39" i="21"/>
  <c r="Z39" i="21" s="1"/>
  <c r="J39" i="21"/>
  <c r="AC39" i="21" s="1"/>
  <c r="H39" i="21"/>
  <c r="AB39" i="21" s="1"/>
  <c r="F39" i="21"/>
  <c r="AA39" i="21" s="1"/>
  <c r="Z38" i="21"/>
  <c r="Q38" i="21"/>
  <c r="J38" i="21"/>
  <c r="AC38" i="21" s="1"/>
  <c r="H38" i="21"/>
  <c r="AB38" i="21" s="1"/>
  <c r="F38" i="21"/>
  <c r="AA38" i="21" s="1"/>
  <c r="W37" i="21"/>
  <c r="Q37" i="21"/>
  <c r="Z37" i="21" s="1"/>
  <c r="J37" i="21"/>
  <c r="AC37" i="21" s="1"/>
  <c r="H37" i="21"/>
  <c r="AB37" i="21" s="1"/>
  <c r="F37" i="21"/>
  <c r="AA37" i="21" s="1"/>
  <c r="Q36" i="21"/>
  <c r="Z36" i="21" s="1"/>
  <c r="J36" i="21"/>
  <c r="AC36" i="21" s="1"/>
  <c r="H36" i="21"/>
  <c r="U36" i="21" s="1"/>
  <c r="F36" i="21"/>
  <c r="AA36" i="21" s="1"/>
  <c r="Q35" i="21"/>
  <c r="Z35" i="21" s="1"/>
  <c r="J35" i="21"/>
  <c r="AC35" i="21" s="1"/>
  <c r="H35" i="21"/>
  <c r="AB35" i="21" s="1"/>
  <c r="F35" i="21"/>
  <c r="AA35" i="21" s="1"/>
  <c r="Z34" i="21"/>
  <c r="Q34" i="21"/>
  <c r="J34" i="21"/>
  <c r="AC34" i="21" s="1"/>
  <c r="H34" i="21"/>
  <c r="AB34" i="21" s="1"/>
  <c r="F34" i="21"/>
  <c r="AA34" i="21" s="1"/>
  <c r="Q33" i="21"/>
  <c r="Z33" i="21" s="1"/>
  <c r="J33" i="21"/>
  <c r="AC33" i="21" s="1"/>
  <c r="H33" i="21"/>
  <c r="AB33" i="21" s="1"/>
  <c r="F33" i="21"/>
  <c r="AA33" i="21" s="1"/>
  <c r="U32" i="21"/>
  <c r="Q32" i="21"/>
  <c r="Z32" i="21" s="1"/>
  <c r="J32" i="21"/>
  <c r="AC32" i="21" s="1"/>
  <c r="H32" i="21"/>
  <c r="AB32" i="21" s="1"/>
  <c r="F32" i="21"/>
  <c r="AA32" i="21" s="1"/>
  <c r="AA31" i="21"/>
  <c r="Q31" i="21"/>
  <c r="Z31" i="21" s="1"/>
  <c r="J31" i="21"/>
  <c r="AC31" i="21" s="1"/>
  <c r="H31" i="21"/>
  <c r="AB31" i="21" s="1"/>
  <c r="F31" i="21"/>
  <c r="S31" i="21" s="1"/>
  <c r="Q30" i="21"/>
  <c r="Z30" i="21" s="1"/>
  <c r="H30" i="21"/>
  <c r="AB30" i="21" s="1"/>
  <c r="F30" i="21"/>
  <c r="AA30" i="21" s="1"/>
  <c r="Q29" i="21"/>
  <c r="Z29" i="21" s="1"/>
  <c r="U28" i="21"/>
  <c r="Q28" i="21"/>
  <c r="Z28" i="21" s="1"/>
  <c r="J28" i="21"/>
  <c r="AC28" i="21" s="1"/>
  <c r="H28" i="21"/>
  <c r="AB28" i="21" s="1"/>
  <c r="F28" i="21"/>
  <c r="AA28" i="21" s="1"/>
  <c r="AA27" i="21"/>
  <c r="Q27" i="21"/>
  <c r="Z27" i="21" s="1"/>
  <c r="J27" i="21"/>
  <c r="AC27" i="21" s="1"/>
  <c r="H27" i="21"/>
  <c r="AB27" i="21" s="1"/>
  <c r="F27" i="21"/>
  <c r="S27" i="21" s="1"/>
  <c r="Q26" i="21"/>
  <c r="Z26" i="21" s="1"/>
  <c r="J26" i="21"/>
  <c r="AC26" i="21" s="1"/>
  <c r="H26" i="21"/>
  <c r="AB26" i="21" s="1"/>
  <c r="F26" i="21"/>
  <c r="AA26" i="21" s="1"/>
  <c r="AC25" i="21"/>
  <c r="Q25" i="21"/>
  <c r="Z25" i="21" s="1"/>
  <c r="J25" i="21"/>
  <c r="W25" i="21" s="1"/>
  <c r="H25" i="21"/>
  <c r="AB25" i="21" s="1"/>
  <c r="F25" i="21"/>
  <c r="AA25" i="21" s="1"/>
  <c r="U23" i="2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U19" i="21" s="1"/>
  <c r="F19" i="21"/>
  <c r="AA19" i="21" s="1"/>
  <c r="C19" i="21"/>
  <c r="U17" i="21"/>
  <c r="Q17" i="21"/>
  <c r="Z17" i="21" s="1"/>
  <c r="J17" i="21"/>
  <c r="AC17" i="21" s="1"/>
  <c r="H17" i="21"/>
  <c r="AB17" i="21" s="1"/>
  <c r="F17" i="21"/>
  <c r="AA17" i="21" s="1"/>
  <c r="C17" i="21"/>
  <c r="U15" i="21"/>
  <c r="Q15" i="21"/>
  <c r="Z15" i="21" s="1"/>
  <c r="J15" i="21"/>
  <c r="AC15" i="21" s="1"/>
  <c r="H15" i="21"/>
  <c r="AB15" i="21" s="1"/>
  <c r="F15" i="21"/>
  <c r="AA15" i="21" s="1"/>
  <c r="C15" i="21"/>
  <c r="U14" i="21"/>
  <c r="Q14" i="21"/>
  <c r="Z14" i="21" s="1"/>
  <c r="J14" i="21"/>
  <c r="AC14" i="21" s="1"/>
  <c r="H14" i="21"/>
  <c r="AB14" i="21" s="1"/>
  <c r="F14" i="21"/>
  <c r="AA14" i="21" s="1"/>
  <c r="Q13" i="21"/>
  <c r="Z13" i="21" s="1"/>
  <c r="Q12" i="21"/>
  <c r="Z12" i="21" s="1"/>
  <c r="J12" i="21"/>
  <c r="AC12" i="21" s="1"/>
  <c r="H12" i="21"/>
  <c r="AB12" i="21" s="1"/>
  <c r="F12" i="21"/>
  <c r="AA12" i="21" s="1"/>
  <c r="AC11" i="21"/>
  <c r="Q11" i="21"/>
  <c r="Z11" i="21" s="1"/>
  <c r="J11" i="21"/>
  <c r="W11" i="21" s="1"/>
  <c r="H11" i="21"/>
  <c r="AB11" i="21" s="1"/>
  <c r="F11" i="21"/>
  <c r="AA11" i="21" s="1"/>
  <c r="U10" i="21"/>
  <c r="Q10" i="21"/>
  <c r="Z10" i="21" s="1"/>
  <c r="J10" i="21"/>
  <c r="AC10" i="21" s="1"/>
  <c r="H10" i="21"/>
  <c r="AB10" i="21" s="1"/>
  <c r="F10" i="21"/>
  <c r="AA10" i="21" s="1"/>
  <c r="AA9" i="21"/>
  <c r="Q9" i="21"/>
  <c r="Z9" i="21" s="1"/>
  <c r="J9" i="21"/>
  <c r="AC9" i="21" s="1"/>
  <c r="H9" i="21"/>
  <c r="AB9" i="21" s="1"/>
  <c r="F9" i="21"/>
  <c r="S9" i="21" s="1"/>
  <c r="AA8" i="21"/>
  <c r="W8" i="21"/>
  <c r="S8" i="21"/>
  <c r="J8" i="21"/>
  <c r="AC8" i="21" s="1"/>
  <c r="H8" i="21"/>
  <c r="F8" i="21"/>
  <c r="B2" i="21"/>
  <c r="A13" i="70"/>
  <c r="E13" i="70" s="1"/>
  <c r="A12" i="70"/>
  <c r="E12" i="70"/>
  <c r="A11" i="70"/>
  <c r="E11" i="70" s="1"/>
  <c r="A10" i="70"/>
  <c r="E10" i="70" s="1"/>
  <c r="A9" i="70"/>
  <c r="E9" i="70" s="1"/>
  <c r="A8" i="70"/>
  <c r="A7" i="70"/>
  <c r="A6" i="70"/>
  <c r="R43" i="77"/>
  <c r="R41" i="77"/>
  <c r="R35" i="77" s="1"/>
  <c r="U34" i="77" s="1"/>
  <c r="R40" i="77"/>
  <c r="F36" i="77"/>
  <c r="R34" i="77"/>
  <c r="R33" i="77"/>
  <c r="C30" i="77"/>
  <c r="C29" i="77"/>
  <c r="R27" i="77"/>
  <c r="R24" i="77"/>
  <c r="M24" i="77"/>
  <c r="R23" i="77"/>
  <c r="C23" i="77"/>
  <c r="D23" i="77" s="1"/>
  <c r="R22" i="77"/>
  <c r="R21" i="77"/>
  <c r="N19" i="77"/>
  <c r="R18" i="77"/>
  <c r="D18" i="77"/>
  <c r="R17" i="77"/>
  <c r="R19" i="77" s="1"/>
  <c r="D17" i="77"/>
  <c r="R16" i="77"/>
  <c r="D16" i="77"/>
  <c r="D15" i="77"/>
  <c r="R14" i="77"/>
  <c r="M14" i="77"/>
  <c r="N14" i="77" s="1"/>
  <c r="D14" i="77"/>
  <c r="R13" i="77"/>
  <c r="R12" i="77"/>
  <c r="D12" i="77"/>
  <c r="D11" i="77" s="1"/>
  <c r="R11" i="77"/>
  <c r="E11" i="77"/>
  <c r="E7" i="77" s="1"/>
  <c r="C27" i="77" s="1"/>
  <c r="R10" i="77"/>
  <c r="D10" i="77"/>
  <c r="R9" i="77"/>
  <c r="D9" i="77"/>
  <c r="R8" i="77"/>
  <c r="R7" i="77"/>
  <c r="R4" i="77"/>
  <c r="R3" i="77"/>
  <c r="Q72" i="67"/>
  <c r="Q59" i="67"/>
  <c r="K59" i="67"/>
  <c r="P61" i="67" s="1"/>
  <c r="Q58" i="67"/>
  <c r="Q51" i="67"/>
  <c r="J50" i="67"/>
  <c r="J51" i="67" s="1"/>
  <c r="M47" i="67"/>
  <c r="D46" i="67"/>
  <c r="F33" i="67"/>
  <c r="F61" i="67"/>
  <c r="F23" i="67"/>
  <c r="D24" i="67" s="1"/>
  <c r="D22" i="67"/>
  <c r="F21" i="67"/>
  <c r="F20" i="67"/>
  <c r="M19" i="67"/>
  <c r="F18" i="67"/>
  <c r="F17" i="67"/>
  <c r="F15" i="67"/>
  <c r="Q72" i="15"/>
  <c r="Q59" i="15"/>
  <c r="K59" i="15"/>
  <c r="Q58" i="15"/>
  <c r="Q51" i="15"/>
  <c r="J50" i="15"/>
  <c r="J51" i="15" s="1"/>
  <c r="M47" i="15"/>
  <c r="D46" i="15"/>
  <c r="F33" i="15"/>
  <c r="F61" i="15" s="1"/>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C7" i="69"/>
  <c r="H1" i="69"/>
  <c r="F38" i="68"/>
  <c r="E37" i="68"/>
  <c r="F36" i="68"/>
  <c r="F35" i="68"/>
  <c r="F21" i="68"/>
  <c r="F40" i="68" s="1"/>
  <c r="F20" i="68"/>
  <c r="F39" i="68" s="1"/>
  <c r="E10" i="68"/>
  <c r="E9" i="68"/>
  <c r="F7" i="68"/>
  <c r="A126" i="9"/>
  <c r="A124" i="9"/>
  <c r="A122" i="9"/>
  <c r="A120" i="9"/>
  <c r="E111" i="9"/>
  <c r="H112" i="9" s="1"/>
  <c r="H110" i="9"/>
  <c r="E109" i="9"/>
  <c r="H109" i="9" s="1"/>
  <c r="D124" i="9" s="1"/>
  <c r="D125" i="9" s="1"/>
  <c r="E107" i="9"/>
  <c r="H106" i="9"/>
  <c r="H105" i="9"/>
  <c r="H104" i="9"/>
  <c r="H103" i="9"/>
  <c r="D120" i="9" s="1"/>
  <c r="D121" i="9" s="1"/>
  <c r="D101" i="9"/>
  <c r="C101" i="9"/>
  <c r="C91" i="9"/>
  <c r="E90" i="9"/>
  <c r="D89" i="9"/>
  <c r="C89" i="9"/>
  <c r="C87" i="9" s="1"/>
  <c r="H77" i="9"/>
  <c r="D77" i="9"/>
  <c r="C76" i="9"/>
  <c r="F59" i="9"/>
  <c r="E59" i="9"/>
  <c r="F56" i="9"/>
  <c r="O54" i="9" s="1"/>
  <c r="O55" i="9"/>
  <c r="N55" i="9"/>
  <c r="K55" i="9"/>
  <c r="J55" i="9"/>
  <c r="I55" i="9"/>
  <c r="F55" i="9"/>
  <c r="N54" i="9"/>
  <c r="O53" i="9"/>
  <c r="N53" i="9"/>
  <c r="M49" i="9"/>
  <c r="K49" i="9"/>
  <c r="E48" i="9"/>
  <c r="N52" i="9" s="1"/>
  <c r="D48" i="9"/>
  <c r="M52" i="9" s="1"/>
  <c r="F33" i="9"/>
  <c r="D27" i="9"/>
  <c r="C25" i="9"/>
  <c r="C24" i="9"/>
  <c r="D18" i="9"/>
  <c r="D17" i="9"/>
  <c r="C17" i="9"/>
  <c r="C18" i="9" s="1"/>
  <c r="L4" i="9"/>
  <c r="K4" i="9"/>
  <c r="H1" i="9"/>
  <c r="F23" i="74"/>
  <c r="E23" i="74"/>
  <c r="F22" i="74"/>
  <c r="E22" i="74"/>
  <c r="F21" i="74"/>
  <c r="E21" i="74"/>
  <c r="F20" i="74"/>
  <c r="E20" i="74"/>
  <c r="F19" i="74"/>
  <c r="E19" i="74"/>
  <c r="F18" i="74"/>
  <c r="E18" i="74"/>
  <c r="F17" i="74"/>
  <c r="E17" i="74"/>
  <c r="F16" i="74"/>
  <c r="E16" i="74"/>
  <c r="F15" i="74"/>
  <c r="E15" i="74"/>
  <c r="F14" i="74"/>
  <c r="E14" i="74"/>
  <c r="B10" i="74"/>
  <c r="D8" i="74"/>
  <c r="B8" i="74"/>
  <c r="C8" i="74" s="1"/>
  <c r="B7" i="74"/>
  <c r="B6" i="74"/>
  <c r="D6" i="74" s="1"/>
  <c r="B5" i="74"/>
  <c r="D5" i="74" s="1"/>
  <c r="B3" i="74"/>
  <c r="B2" i="74"/>
  <c r="B1" i="74"/>
  <c r="C11" i="83"/>
  <c r="B11" i="83" s="1"/>
  <c r="C10" i="83"/>
  <c r="C9" i="83"/>
  <c r="B9" i="83" s="1"/>
  <c r="C8" i="83"/>
  <c r="B8" i="83"/>
  <c r="C7" i="83"/>
  <c r="B7" i="83" s="1"/>
  <c r="C6" i="83"/>
  <c r="B6" i="83" s="1"/>
  <c r="C5" i="83"/>
  <c r="B5" i="83" s="1"/>
  <c r="C4" i="83"/>
  <c r="C24" i="20"/>
  <c r="C22" i="20"/>
  <c r="C21" i="20"/>
  <c r="G20" i="20"/>
  <c r="C20" i="20"/>
  <c r="G19" i="20"/>
  <c r="G18" i="20"/>
  <c r="C18" i="20"/>
  <c r="C17" i="20"/>
  <c r="G16" i="20"/>
  <c r="C16" i="20"/>
  <c r="C17" i="39" s="1"/>
  <c r="G15" i="20"/>
  <c r="C15" i="20"/>
  <c r="B52" i="1"/>
  <c r="M20" i="15" s="1"/>
  <c r="B43" i="1"/>
  <c r="D93" i="9"/>
  <c r="B31" i="1"/>
  <c r="E19" i="68" s="1"/>
  <c r="B24" i="1"/>
  <c r="F34" i="11" s="1"/>
  <c r="B23" i="1"/>
  <c r="B22" i="1"/>
  <c r="G41" i="11" s="1"/>
  <c r="AP13" i="1"/>
  <c r="AG13" i="1"/>
  <c r="AE13" i="1"/>
  <c r="R13" i="1"/>
  <c r="O13" i="1"/>
  <c r="P13" i="1"/>
  <c r="F13" i="1"/>
  <c r="D13" i="1"/>
  <c r="G13" i="1" s="1"/>
  <c r="A13" i="1"/>
  <c r="K13" i="1" s="1"/>
  <c r="M13" i="1" s="1"/>
  <c r="AP12" i="1"/>
  <c r="AG12" i="1"/>
  <c r="AE12" i="1"/>
  <c r="F12" i="1"/>
  <c r="G12" i="1"/>
  <c r="D12" i="1"/>
  <c r="A12" i="1"/>
  <c r="AP11" i="1"/>
  <c r="AG11" i="1"/>
  <c r="AE11" i="1"/>
  <c r="S11" i="1"/>
  <c r="AR11" i="1" s="1"/>
  <c r="K11" i="1"/>
  <c r="M11" i="1" s="1"/>
  <c r="F11" i="1"/>
  <c r="E11" i="1"/>
  <c r="D11" i="1"/>
  <c r="G11" i="1" s="1"/>
  <c r="A11" i="1"/>
  <c r="B11" i="1" s="1"/>
  <c r="AP10" i="1"/>
  <c r="AG10" i="1"/>
  <c r="AE10" i="1"/>
  <c r="F10" i="1"/>
  <c r="G10" i="1" s="1"/>
  <c r="D10" i="1"/>
  <c r="A10" i="1"/>
  <c r="AP9" i="1"/>
  <c r="AG9" i="1"/>
  <c r="AE9" i="1"/>
  <c r="S9" i="1"/>
  <c r="AQ9" i="1" s="1"/>
  <c r="O9" i="1"/>
  <c r="P9" i="1"/>
  <c r="F9" i="1"/>
  <c r="G9" i="1"/>
  <c r="D9" i="1"/>
  <c r="B9" i="1"/>
  <c r="E9" i="1" s="1"/>
  <c r="A9" i="1"/>
  <c r="R9" i="1" s="1"/>
  <c r="AP8" i="1"/>
  <c r="AG8" i="1"/>
  <c r="F8" i="1"/>
  <c r="D8" i="1"/>
  <c r="A8" i="1"/>
  <c r="AP7" i="1"/>
  <c r="AG7" i="1"/>
  <c r="F7" i="1"/>
  <c r="G7" i="1"/>
  <c r="D7" i="1"/>
  <c r="A7" i="1"/>
  <c r="B7" i="1" s="1"/>
  <c r="E7" i="1" s="1"/>
  <c r="AG6" i="1"/>
  <c r="D6" i="1"/>
  <c r="A6" i="1"/>
  <c r="T4" i="1"/>
  <c r="B2" i="1"/>
  <c r="E32" i="6"/>
  <c r="O27" i="6"/>
  <c r="N27" i="6"/>
  <c r="P26" i="6"/>
  <c r="L26" i="6"/>
  <c r="E26" i="6"/>
  <c r="P25" i="6"/>
  <c r="L25" i="6"/>
  <c r="E25" i="6"/>
  <c r="P24" i="6"/>
  <c r="L24" i="6"/>
  <c r="E24" i="6"/>
  <c r="P23" i="6"/>
  <c r="L23" i="6"/>
  <c r="E23" i="6"/>
  <c r="P22" i="6"/>
  <c r="L22" i="6"/>
  <c r="E22" i="6"/>
  <c r="P21" i="6"/>
  <c r="L21" i="6"/>
  <c r="P20" i="6"/>
  <c r="L20" i="6"/>
  <c r="E20" i="6"/>
  <c r="P19" i="6"/>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L582" i="3" s="1"/>
  <c r="BN582" i="3"/>
  <c r="BM582" i="3"/>
  <c r="BK582" i="3"/>
  <c r="BJ582" i="3"/>
  <c r="BI582" i="3"/>
  <c r="BH582" i="3"/>
  <c r="BG582" i="3"/>
  <c r="BF582" i="3"/>
  <c r="BE582" i="3"/>
  <c r="BD582" i="3"/>
  <c r="BC582" i="3"/>
  <c r="BB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L578" i="3" s="1"/>
  <c r="BN578" i="3"/>
  <c r="BM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L574" i="3" s="1"/>
  <c r="BN574" i="3"/>
  <c r="BM574" i="3"/>
  <c r="BK574" i="3"/>
  <c r="BJ574" i="3"/>
  <c r="BI574" i="3"/>
  <c r="BH574" i="3"/>
  <c r="BG574" i="3"/>
  <c r="BF574" i="3"/>
  <c r="BE574" i="3"/>
  <c r="BD574" i="3"/>
  <c r="BC574" i="3"/>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L570" i="3" s="1"/>
  <c r="BN570" i="3"/>
  <c r="BM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L566" i="3" s="1"/>
  <c r="BN566" i="3"/>
  <c r="BM566" i="3"/>
  <c r="BK566" i="3"/>
  <c r="BJ566" i="3"/>
  <c r="BI566" i="3"/>
  <c r="BH566" i="3"/>
  <c r="BG566" i="3"/>
  <c r="BF566" i="3"/>
  <c r="BE566" i="3"/>
  <c r="BD566" i="3"/>
  <c r="BC566" i="3"/>
  <c r="BB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L562" i="3" s="1"/>
  <c r="BN562" i="3"/>
  <c r="BM562" i="3"/>
  <c r="BK562" i="3"/>
  <c r="BJ562" i="3"/>
  <c r="BI562" i="3"/>
  <c r="BH562" i="3"/>
  <c r="BG562" i="3"/>
  <c r="BF562" i="3"/>
  <c r="BE562" i="3"/>
  <c r="BD562" i="3"/>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L558" i="3" s="1"/>
  <c r="BN558" i="3"/>
  <c r="BM558" i="3"/>
  <c r="BK558" i="3"/>
  <c r="BJ558" i="3"/>
  <c r="BI558" i="3"/>
  <c r="BH558" i="3"/>
  <c r="BG558" i="3"/>
  <c r="BF558" i="3"/>
  <c r="BE558" i="3"/>
  <c r="BD558" i="3"/>
  <c r="BC558" i="3"/>
  <c r="BB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L554" i="3" s="1"/>
  <c r="BN554" i="3"/>
  <c r="BM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L550" i="3" s="1"/>
  <c r="BN550" i="3"/>
  <c r="BM550" i="3"/>
  <c r="BK550" i="3"/>
  <c r="BJ550" i="3"/>
  <c r="BI550" i="3"/>
  <c r="BH550" i="3"/>
  <c r="BG550" i="3"/>
  <c r="BF550" i="3"/>
  <c r="BE550" i="3"/>
  <c r="BD550" i="3"/>
  <c r="BC550" i="3"/>
  <c r="BB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L546" i="3" s="1"/>
  <c r="BN546" i="3"/>
  <c r="BM546" i="3"/>
  <c r="BK546" i="3"/>
  <c r="BJ546" i="3"/>
  <c r="BI546" i="3"/>
  <c r="BH546" i="3"/>
  <c r="BG546" i="3"/>
  <c r="BF546" i="3"/>
  <c r="BE546" i="3"/>
  <c r="BD546" i="3"/>
  <c r="BC546" i="3"/>
  <c r="BB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L542" i="3" s="1"/>
  <c r="BN542" i="3"/>
  <c r="BM542" i="3"/>
  <c r="BK542" i="3"/>
  <c r="BJ542" i="3"/>
  <c r="BI542" i="3"/>
  <c r="BH542" i="3"/>
  <c r="BG542" i="3"/>
  <c r="BF542" i="3"/>
  <c r="BE542" i="3"/>
  <c r="BD542" i="3"/>
  <c r="BC542" i="3"/>
  <c r="BA542" i="3" s="1"/>
  <c r="AZ542" i="3" s="1"/>
  <c r="BB542" i="3"/>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s="1"/>
  <c r="BC539" i="3"/>
  <c r="BB539" i="3"/>
  <c r="AZ539" i="3"/>
  <c r="AX539" i="3"/>
  <c r="AW539" i="3"/>
  <c r="AV539" i="3"/>
  <c r="AC539" i="3"/>
  <c r="G539" i="3" s="1"/>
  <c r="H539" i="3"/>
  <c r="BT538" i="3"/>
  <c r="BS538" i="3"/>
  <c r="BR538" i="3"/>
  <c r="BQ538" i="3"/>
  <c r="BP538" i="3"/>
  <c r="BO538" i="3"/>
  <c r="BL538" i="3" s="1"/>
  <c r="BN538" i="3"/>
  <c r="BM538" i="3"/>
  <c r="BK538" i="3"/>
  <c r="BJ538" i="3"/>
  <c r="BI538" i="3"/>
  <c r="BH538" i="3"/>
  <c r="BG538" i="3"/>
  <c r="BF538" i="3"/>
  <c r="BE538" i="3"/>
  <c r="BD538" i="3"/>
  <c r="BC538" i="3"/>
  <c r="BA538" i="3" s="1"/>
  <c r="BB538" i="3"/>
  <c r="AX538" i="3"/>
  <c r="AW538" i="3"/>
  <c r="AV538" i="3"/>
  <c r="AC538" i="3"/>
  <c r="H538" i="3"/>
  <c r="G538" i="3" s="1"/>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s="1"/>
  <c r="BC535" i="3"/>
  <c r="BB535" i="3"/>
  <c r="AZ535" i="3"/>
  <c r="AX535" i="3"/>
  <c r="AW535" i="3"/>
  <c r="AV535" i="3"/>
  <c r="AC535" i="3"/>
  <c r="G535" i="3" s="1"/>
  <c r="H535" i="3"/>
  <c r="BT534" i="3"/>
  <c r="BS534" i="3"/>
  <c r="BR534" i="3"/>
  <c r="BQ534" i="3"/>
  <c r="BP534" i="3"/>
  <c r="BO534" i="3"/>
  <c r="BL534" i="3" s="1"/>
  <c r="BN534" i="3"/>
  <c r="BM534" i="3"/>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BA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G531" i="3" s="1"/>
  <c r="H531" i="3"/>
  <c r="BT530" i="3"/>
  <c r="BS530" i="3"/>
  <c r="BR530" i="3"/>
  <c r="BQ530" i="3"/>
  <c r="BP530" i="3"/>
  <c r="BO530" i="3"/>
  <c r="BL530" i="3" s="1"/>
  <c r="BN530" i="3"/>
  <c r="BM530" i="3"/>
  <c r="BK530" i="3"/>
  <c r="BJ530" i="3"/>
  <c r="BI530" i="3"/>
  <c r="BH530" i="3"/>
  <c r="BG530" i="3"/>
  <c r="BF530" i="3"/>
  <c r="BE530" i="3"/>
  <c r="BD530" i="3"/>
  <c r="BC530" i="3"/>
  <c r="BA530" i="3" s="1"/>
  <c r="AZ530" i="3" s="1"/>
  <c r="BB530" i="3"/>
  <c r="AX530" i="3"/>
  <c r="AW530" i="3"/>
  <c r="AV530" i="3"/>
  <c r="AC530" i="3"/>
  <c r="H530" i="3"/>
  <c r="G530" i="3" s="1"/>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G527" i="3" s="1"/>
  <c r="H527" i="3"/>
  <c r="BT526" i="3"/>
  <c r="BS526" i="3"/>
  <c r="BR526" i="3"/>
  <c r="BQ526" i="3"/>
  <c r="BP526" i="3"/>
  <c r="BO526" i="3"/>
  <c r="BL526" i="3" s="1"/>
  <c r="BN526" i="3"/>
  <c r="BM526" i="3"/>
  <c r="BK526" i="3"/>
  <c r="BJ526" i="3"/>
  <c r="BI526" i="3"/>
  <c r="BH526" i="3"/>
  <c r="BG526" i="3"/>
  <c r="BF526" i="3"/>
  <c r="BE526" i="3"/>
  <c r="BD526" i="3"/>
  <c r="BC526" i="3"/>
  <c r="BA526" i="3" s="1"/>
  <c r="AZ526" i="3" s="1"/>
  <c r="BB526" i="3"/>
  <c r="AX526" i="3"/>
  <c r="AW526" i="3"/>
  <c r="AV526" i="3"/>
  <c r="AC526" i="3"/>
  <c r="H526" i="3"/>
  <c r="G526" i="3" s="1"/>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s="1"/>
  <c r="BC523" i="3"/>
  <c r="BB523" i="3"/>
  <c r="AZ523" i="3"/>
  <c r="AX523" i="3"/>
  <c r="AW523" i="3"/>
  <c r="AV523" i="3"/>
  <c r="AC523" i="3"/>
  <c r="G523" i="3" s="1"/>
  <c r="H523" i="3"/>
  <c r="BT522" i="3"/>
  <c r="BS522" i="3"/>
  <c r="BR522" i="3"/>
  <c r="BQ522" i="3"/>
  <c r="BP522" i="3"/>
  <c r="BO522" i="3"/>
  <c r="BL522" i="3" s="1"/>
  <c r="BN522" i="3"/>
  <c r="BM522" i="3"/>
  <c r="BK522" i="3"/>
  <c r="BJ522" i="3"/>
  <c r="BI522" i="3"/>
  <c r="BH522" i="3"/>
  <c r="BG522" i="3"/>
  <c r="BF522" i="3"/>
  <c r="BE522" i="3"/>
  <c r="BD522" i="3"/>
  <c r="BC522" i="3"/>
  <c r="BA522" i="3" s="1"/>
  <c r="BB522" i="3"/>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BA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s="1"/>
  <c r="BC519" i="3"/>
  <c r="BB519" i="3"/>
  <c r="AZ519" i="3"/>
  <c r="AX519" i="3"/>
  <c r="AW519" i="3"/>
  <c r="AV519" i="3"/>
  <c r="AC519" i="3"/>
  <c r="G519" i="3" s="1"/>
  <c r="H519" i="3"/>
  <c r="BT518" i="3"/>
  <c r="BS518" i="3"/>
  <c r="BR518" i="3"/>
  <c r="BQ518" i="3"/>
  <c r="BP518" i="3"/>
  <c r="BO518" i="3"/>
  <c r="BL518" i="3" s="1"/>
  <c r="BN518" i="3"/>
  <c r="BM518" i="3"/>
  <c r="BK518" i="3"/>
  <c r="BJ518" i="3"/>
  <c r="BI518" i="3"/>
  <c r="BH518" i="3"/>
  <c r="BG518" i="3"/>
  <c r="BF518" i="3"/>
  <c r="BE518" i="3"/>
  <c r="BD518" i="3"/>
  <c r="BC518" i="3"/>
  <c r="BA518" i="3" s="1"/>
  <c r="BB518" i="3"/>
  <c r="AX518" i="3"/>
  <c r="AW518" i="3"/>
  <c r="AV518" i="3"/>
  <c r="AC518" i="3"/>
  <c r="H518" i="3"/>
  <c r="G518" i="3" s="1"/>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s="1"/>
  <c r="AZ515" i="3" s="1"/>
  <c r="BC515" i="3"/>
  <c r="BB515" i="3"/>
  <c r="AX515" i="3"/>
  <c r="AW515" i="3"/>
  <c r="AV515" i="3"/>
  <c r="AC515" i="3"/>
  <c r="G515" i="3" s="1"/>
  <c r="H515" i="3"/>
  <c r="BT514" i="3"/>
  <c r="BS514" i="3"/>
  <c r="BR514" i="3"/>
  <c r="BQ514" i="3"/>
  <c r="BP514" i="3"/>
  <c r="BO514" i="3"/>
  <c r="BL514" i="3" s="1"/>
  <c r="BN514" i="3"/>
  <c r="BM514" i="3"/>
  <c r="BK514" i="3"/>
  <c r="BJ514" i="3"/>
  <c r="BI514" i="3"/>
  <c r="BH514" i="3"/>
  <c r="BG514" i="3"/>
  <c r="BF514" i="3"/>
  <c r="BE514" i="3"/>
  <c r="BD514" i="3"/>
  <c r="BC514" i="3"/>
  <c r="BA514" i="3" s="1"/>
  <c r="AZ514" i="3" s="1"/>
  <c r="BB514" i="3"/>
  <c r="AX514" i="3"/>
  <c r="AW514" i="3"/>
  <c r="AV514" i="3"/>
  <c r="AC514" i="3"/>
  <c r="H514" i="3"/>
  <c r="G514" i="3" s="1"/>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G511" i="3" s="1"/>
  <c r="H511" i="3"/>
  <c r="BT510" i="3"/>
  <c r="BS510" i="3"/>
  <c r="BR510" i="3"/>
  <c r="BQ510" i="3"/>
  <c r="BP510" i="3"/>
  <c r="BO510" i="3"/>
  <c r="BL510" i="3" s="1"/>
  <c r="BN510" i="3"/>
  <c r="BM510" i="3"/>
  <c r="BK510" i="3"/>
  <c r="BJ510" i="3"/>
  <c r="BI510" i="3"/>
  <c r="BH510" i="3"/>
  <c r="BG510" i="3"/>
  <c r="BF510" i="3"/>
  <c r="BE510" i="3"/>
  <c r="BD510" i="3"/>
  <c r="BC510" i="3"/>
  <c r="BA510" i="3" s="1"/>
  <c r="BB510" i="3"/>
  <c r="AX510" i="3"/>
  <c r="AW510" i="3"/>
  <c r="AV510" i="3"/>
  <c r="AC510" i="3"/>
  <c r="H510" i="3"/>
  <c r="G510" i="3" s="1"/>
  <c r="BT509" i="3"/>
  <c r="BS509" i="3"/>
  <c r="BR509" i="3"/>
  <c r="BQ509" i="3"/>
  <c r="BP509" i="3"/>
  <c r="BO509" i="3"/>
  <c r="BN509" i="3"/>
  <c r="BL509" i="3" s="1"/>
  <c r="BM509" i="3"/>
  <c r="BK509" i="3"/>
  <c r="BJ509" i="3"/>
  <c r="BI509" i="3"/>
  <c r="BH509" i="3"/>
  <c r="BG509" i="3"/>
  <c r="BF509" i="3"/>
  <c r="BE509" i="3"/>
  <c r="BD509" i="3"/>
  <c r="BC509" i="3"/>
  <c r="BB509" i="3"/>
  <c r="BA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A507" i="3" s="1"/>
  <c r="BC507" i="3"/>
  <c r="BB507" i="3"/>
  <c r="AZ507" i="3"/>
  <c r="AX507" i="3"/>
  <c r="AW507" i="3"/>
  <c r="AV507" i="3"/>
  <c r="AC507" i="3"/>
  <c r="G507" i="3" s="1"/>
  <c r="H507" i="3"/>
  <c r="BT506" i="3"/>
  <c r="BS506" i="3"/>
  <c r="BR506" i="3"/>
  <c r="BQ506" i="3"/>
  <c r="BP506" i="3"/>
  <c r="BO506" i="3"/>
  <c r="BL506" i="3" s="1"/>
  <c r="BN506" i="3"/>
  <c r="BM506" i="3"/>
  <c r="BK506" i="3"/>
  <c r="BJ506" i="3"/>
  <c r="BI506" i="3"/>
  <c r="BH506" i="3"/>
  <c r="BG506" i="3"/>
  <c r="BF506" i="3"/>
  <c r="BE506" i="3"/>
  <c r="BD506" i="3"/>
  <c r="BC506" i="3"/>
  <c r="BA506" i="3" s="1"/>
  <c r="BB506" i="3"/>
  <c r="AX506" i="3"/>
  <c r="AW506" i="3"/>
  <c r="AV506" i="3"/>
  <c r="AC506" i="3"/>
  <c r="H506" i="3"/>
  <c r="G506" i="3" s="1"/>
  <c r="BT505" i="3"/>
  <c r="BS505" i="3"/>
  <c r="BR505" i="3"/>
  <c r="BQ505" i="3"/>
  <c r="BP505" i="3"/>
  <c r="BO505" i="3"/>
  <c r="BN505" i="3"/>
  <c r="BL505" i="3" s="1"/>
  <c r="BM505" i="3"/>
  <c r="BK505" i="3"/>
  <c r="BJ505" i="3"/>
  <c r="BI505" i="3"/>
  <c r="BH505" i="3"/>
  <c r="BG505" i="3"/>
  <c r="BF505" i="3"/>
  <c r="BE505" i="3"/>
  <c r="BD505" i="3"/>
  <c r="BC505" i="3"/>
  <c r="BB505" i="3"/>
  <c r="BA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G503" i="3" s="1"/>
  <c r="H503" i="3"/>
  <c r="BT502" i="3"/>
  <c r="BS502" i="3"/>
  <c r="BR502" i="3"/>
  <c r="BQ502" i="3"/>
  <c r="BP502" i="3"/>
  <c r="BO502" i="3"/>
  <c r="BL502" i="3" s="1"/>
  <c r="BN502" i="3"/>
  <c r="BM502" i="3"/>
  <c r="BK502" i="3"/>
  <c r="BJ502" i="3"/>
  <c r="BI502" i="3"/>
  <c r="BH502" i="3"/>
  <c r="BG502" i="3"/>
  <c r="BF502" i="3"/>
  <c r="BE502" i="3"/>
  <c r="BD502" i="3"/>
  <c r="BC502" i="3"/>
  <c r="BA502" i="3" s="1"/>
  <c r="BB502" i="3"/>
  <c r="AX502" i="3"/>
  <c r="AW502" i="3"/>
  <c r="AV502" i="3"/>
  <c r="AC502" i="3"/>
  <c r="H502" i="3"/>
  <c r="G502" i="3" s="1"/>
  <c r="BT501" i="3"/>
  <c r="BS501" i="3"/>
  <c r="BR501" i="3"/>
  <c r="BQ501" i="3"/>
  <c r="BP501" i="3"/>
  <c r="BO501" i="3"/>
  <c r="BN501" i="3"/>
  <c r="BL501" i="3" s="1"/>
  <c r="BM501" i="3"/>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A499" i="3" s="1"/>
  <c r="AZ499" i="3" s="1"/>
  <c r="BC499" i="3"/>
  <c r="BB499" i="3"/>
  <c r="AX499" i="3"/>
  <c r="AW499" i="3"/>
  <c r="AV499" i="3"/>
  <c r="AC499" i="3"/>
  <c r="G499" i="3" s="1"/>
  <c r="H499" i="3"/>
  <c r="BT498" i="3"/>
  <c r="BS498" i="3"/>
  <c r="BR498" i="3"/>
  <c r="BQ498" i="3"/>
  <c r="BP498" i="3"/>
  <c r="BO498" i="3"/>
  <c r="BL498" i="3" s="1"/>
  <c r="BN498" i="3"/>
  <c r="BM498" i="3"/>
  <c r="BK498" i="3"/>
  <c r="BJ498" i="3"/>
  <c r="BI498" i="3"/>
  <c r="BH498" i="3"/>
  <c r="BG498" i="3"/>
  <c r="BF498" i="3"/>
  <c r="BE498" i="3"/>
  <c r="BD498" i="3"/>
  <c r="BC498" i="3"/>
  <c r="BA498" i="3" s="1"/>
  <c r="AZ498" i="3" s="1"/>
  <c r="BB498" i="3"/>
  <c r="AX498" i="3"/>
  <c r="AW498" i="3"/>
  <c r="AV498" i="3"/>
  <c r="AC498" i="3"/>
  <c r="H498" i="3"/>
  <c r="G498" i="3" s="1"/>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G495" i="3" s="1"/>
  <c r="H495" i="3"/>
  <c r="BT494" i="3"/>
  <c r="BS494" i="3"/>
  <c r="BR494" i="3"/>
  <c r="BQ494" i="3"/>
  <c r="BP494" i="3"/>
  <c r="BO494" i="3"/>
  <c r="BL494" i="3" s="1"/>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L493" i="3" s="1"/>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Z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BC475" i="3"/>
  <c r="BB475" i="3"/>
  <c r="AZ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A459" i="3" s="1"/>
  <c r="BC459" i="3"/>
  <c r="BB459" i="3"/>
  <c r="AZ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Z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BC443" i="3"/>
  <c r="BB443" i="3"/>
  <c r="AZ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BC439" i="3"/>
  <c r="BB439" i="3"/>
  <c r="AZ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C434" i="3"/>
  <c r="BA434" i="3" s="1"/>
  <c r="AZ434" i="3" s="1"/>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BC427" i="3"/>
  <c r="BB427" i="3"/>
  <c r="AZ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BC411" i="3"/>
  <c r="BB411" i="3"/>
  <c r="AZ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G395" i="3" s="1"/>
  <c r="H395" i="3"/>
  <c r="BT394" i="3"/>
  <c r="BS394" i="3"/>
  <c r="BR394" i="3"/>
  <c r="BQ394" i="3"/>
  <c r="BP394" i="3"/>
  <c r="BO394" i="3"/>
  <c r="BL394" i="3" s="1"/>
  <c r="BN394" i="3"/>
  <c r="BM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G383" i="3" s="1"/>
  <c r="H383" i="3"/>
  <c r="BT382" i="3"/>
  <c r="BS382" i="3"/>
  <c r="BR382" i="3"/>
  <c r="BQ382" i="3"/>
  <c r="BP382" i="3"/>
  <c r="BO382" i="3"/>
  <c r="BL382" i="3" s="1"/>
  <c r="BN382" i="3"/>
  <c r="BM382" i="3"/>
  <c r="BK382" i="3"/>
  <c r="BJ382" i="3"/>
  <c r="BI382" i="3"/>
  <c r="BH382" i="3"/>
  <c r="BG382" i="3"/>
  <c r="BF382" i="3"/>
  <c r="BE382" i="3"/>
  <c r="BD382" i="3"/>
  <c r="BC382" i="3"/>
  <c r="BA382" i="3" s="1"/>
  <c r="AZ382" i="3" s="1"/>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BC379" i="3"/>
  <c r="BB379" i="3"/>
  <c r="AZ379" i="3"/>
  <c r="AX379" i="3"/>
  <c r="AW379" i="3"/>
  <c r="AV379" i="3"/>
  <c r="AC379" i="3"/>
  <c r="G379" i="3" s="1"/>
  <c r="H379" i="3"/>
  <c r="BT378" i="3"/>
  <c r="BS378" i="3"/>
  <c r="BR378" i="3"/>
  <c r="BQ378" i="3"/>
  <c r="BP378" i="3"/>
  <c r="BO378" i="3"/>
  <c r="BL378" i="3" s="1"/>
  <c r="BN378" i="3"/>
  <c r="BM378" i="3"/>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BC375" i="3"/>
  <c r="BB375" i="3"/>
  <c r="AZ375" i="3"/>
  <c r="AX375" i="3"/>
  <c r="AW375" i="3"/>
  <c r="AV375" i="3"/>
  <c r="AC375" i="3"/>
  <c r="G375" i="3" s="1"/>
  <c r="H375" i="3"/>
  <c r="BT374" i="3"/>
  <c r="BS374" i="3"/>
  <c r="BR374" i="3"/>
  <c r="BQ374" i="3"/>
  <c r="BP374" i="3"/>
  <c r="BO374" i="3"/>
  <c r="BL374" i="3" s="1"/>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G371" i="3" s="1"/>
  <c r="H371" i="3"/>
  <c r="BT370" i="3"/>
  <c r="BS370" i="3"/>
  <c r="BR370" i="3"/>
  <c r="BQ370" i="3"/>
  <c r="BP370" i="3"/>
  <c r="BO370" i="3"/>
  <c r="BL370" i="3" s="1"/>
  <c r="BN370" i="3"/>
  <c r="BM370" i="3"/>
  <c r="BK370" i="3"/>
  <c r="BJ370" i="3"/>
  <c r="BI370" i="3"/>
  <c r="BH370" i="3"/>
  <c r="BG370" i="3"/>
  <c r="BF370" i="3"/>
  <c r="BE370" i="3"/>
  <c r="BD370" i="3"/>
  <c r="BC370" i="3"/>
  <c r="BA370" i="3" s="1"/>
  <c r="AZ370" i="3" s="1"/>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Z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G367" i="3" s="1"/>
  <c r="H367" i="3"/>
  <c r="BT366" i="3"/>
  <c r="BS366" i="3"/>
  <c r="BR366" i="3"/>
  <c r="BQ366" i="3"/>
  <c r="BP366" i="3"/>
  <c r="BO366" i="3"/>
  <c r="BL366" i="3" s="1"/>
  <c r="BN366" i="3"/>
  <c r="BM366" i="3"/>
  <c r="BK366" i="3"/>
  <c r="BJ366" i="3"/>
  <c r="BI366" i="3"/>
  <c r="BH366" i="3"/>
  <c r="BG366" i="3"/>
  <c r="BF366" i="3"/>
  <c r="BE366" i="3"/>
  <c r="BD366" i="3"/>
  <c r="BC366" i="3"/>
  <c r="BA366" i="3" s="1"/>
  <c r="AZ366" i="3" s="1"/>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BC363" i="3"/>
  <c r="BB363" i="3"/>
  <c r="AZ363" i="3"/>
  <c r="AX363" i="3"/>
  <c r="AW363" i="3"/>
  <c r="AV363" i="3"/>
  <c r="AC363" i="3"/>
  <c r="G363" i="3" s="1"/>
  <c r="H363" i="3"/>
  <c r="BT362" i="3"/>
  <c r="BS362" i="3"/>
  <c r="BR362" i="3"/>
  <c r="BQ362" i="3"/>
  <c r="BP362" i="3"/>
  <c r="BO362" i="3"/>
  <c r="BL362" i="3" s="1"/>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G359" i="3" s="1"/>
  <c r="H359" i="3"/>
  <c r="BT358" i="3"/>
  <c r="BS358" i="3"/>
  <c r="BR358" i="3"/>
  <c r="BQ358" i="3"/>
  <c r="BP358" i="3"/>
  <c r="BO358" i="3"/>
  <c r="BL358" i="3" s="1"/>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G355" i="3" s="1"/>
  <c r="H355" i="3"/>
  <c r="BT354" i="3"/>
  <c r="BS354" i="3"/>
  <c r="BR354" i="3"/>
  <c r="BQ354" i="3"/>
  <c r="BP354" i="3"/>
  <c r="BO354" i="3"/>
  <c r="BL354" i="3" s="1"/>
  <c r="BN354" i="3"/>
  <c r="BM354" i="3"/>
  <c r="BK354" i="3"/>
  <c r="BJ354" i="3"/>
  <c r="BI354" i="3"/>
  <c r="BH354" i="3"/>
  <c r="BG354" i="3"/>
  <c r="BF354" i="3"/>
  <c r="BE354" i="3"/>
  <c r="BD354" i="3"/>
  <c r="BC354" i="3"/>
  <c r="BA354" i="3" s="1"/>
  <c r="AZ354" i="3" s="1"/>
  <c r="BB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AZ350" i="3" s="1"/>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BC347" i="3"/>
  <c r="BB347" i="3"/>
  <c r="AZ347" i="3"/>
  <c r="AX347" i="3"/>
  <c r="AW347" i="3"/>
  <c r="AV347" i="3"/>
  <c r="AC347" i="3"/>
  <c r="G347" i="3" s="1"/>
  <c r="H347" i="3"/>
  <c r="BT346" i="3"/>
  <c r="BS346" i="3"/>
  <c r="BR346" i="3"/>
  <c r="BQ346" i="3"/>
  <c r="BP346" i="3"/>
  <c r="BO346" i="3"/>
  <c r="BL346" i="3" s="1"/>
  <c r="BN346" i="3"/>
  <c r="BM346" i="3"/>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BC343" i="3"/>
  <c r="BB343" i="3"/>
  <c r="AZ343" i="3"/>
  <c r="AX343" i="3"/>
  <c r="AW343" i="3"/>
  <c r="AV343" i="3"/>
  <c r="AC343" i="3"/>
  <c r="G343" i="3" s="1"/>
  <c r="H343" i="3"/>
  <c r="BT342" i="3"/>
  <c r="BS342" i="3"/>
  <c r="BR342" i="3"/>
  <c r="BQ342" i="3"/>
  <c r="BP342" i="3"/>
  <c r="BO342" i="3"/>
  <c r="BL342" i="3" s="1"/>
  <c r="BN342" i="3"/>
  <c r="BM342" i="3"/>
  <c r="BK342" i="3"/>
  <c r="BJ342" i="3"/>
  <c r="BI342" i="3"/>
  <c r="BH342" i="3"/>
  <c r="BG342" i="3"/>
  <c r="BF342" i="3"/>
  <c r="BE342" i="3"/>
  <c r="BD342" i="3"/>
  <c r="BC342" i="3"/>
  <c r="BA342" i="3" s="1"/>
  <c r="BB342" i="3"/>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G339" i="3" s="1"/>
  <c r="H339" i="3"/>
  <c r="BT338" i="3"/>
  <c r="BS338" i="3"/>
  <c r="BR338" i="3"/>
  <c r="BQ338" i="3"/>
  <c r="BP338" i="3"/>
  <c r="BO338" i="3"/>
  <c r="BL338" i="3" s="1"/>
  <c r="BN338" i="3"/>
  <c r="BM338" i="3"/>
  <c r="BK338" i="3"/>
  <c r="BJ338" i="3"/>
  <c r="BI338" i="3"/>
  <c r="BH338" i="3"/>
  <c r="BG338" i="3"/>
  <c r="BF338" i="3"/>
  <c r="BE338" i="3"/>
  <c r="BD338" i="3"/>
  <c r="BC338" i="3"/>
  <c r="BA338" i="3" s="1"/>
  <c r="AZ338" i="3" s="1"/>
  <c r="BB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AZ335" i="3" s="1"/>
  <c r="BC335" i="3"/>
  <c r="BB335" i="3"/>
  <c r="AX335" i="3"/>
  <c r="AW335" i="3"/>
  <c r="AV335" i="3"/>
  <c r="AC335" i="3"/>
  <c r="G335" i="3" s="1"/>
  <c r="H335" i="3"/>
  <c r="BT334" i="3"/>
  <c r="BS334" i="3"/>
  <c r="BR334" i="3"/>
  <c r="BQ334" i="3"/>
  <c r="BP334" i="3"/>
  <c r="BO334" i="3"/>
  <c r="BL334" i="3" s="1"/>
  <c r="BN334" i="3"/>
  <c r="BM334" i="3"/>
  <c r="BK334" i="3"/>
  <c r="BJ334" i="3"/>
  <c r="BI334" i="3"/>
  <c r="BH334" i="3"/>
  <c r="BG334" i="3"/>
  <c r="BF334" i="3"/>
  <c r="BE334" i="3"/>
  <c r="BD334" i="3"/>
  <c r="BC334" i="3"/>
  <c r="BA334" i="3" s="1"/>
  <c r="AZ334" i="3" s="1"/>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A331" i="3" s="1"/>
  <c r="BC331" i="3"/>
  <c r="BB331" i="3"/>
  <c r="AZ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A330" i="3" s="1"/>
  <c r="BB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A319" i="3" s="1"/>
  <c r="AZ319" i="3" s="1"/>
  <c r="BC319" i="3"/>
  <c r="BB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A307" i="3" s="1"/>
  <c r="AZ307" i="3" s="1"/>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Z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A303" i="3" s="1"/>
  <c r="BC303" i="3"/>
  <c r="BB303" i="3"/>
  <c r="AZ303" i="3"/>
  <c r="AX303" i="3"/>
  <c r="AW303" i="3"/>
  <c r="AV303" i="3"/>
  <c r="AC303" i="3"/>
  <c r="G303" i="3" s="1"/>
  <c r="H303" i="3"/>
  <c r="BT302" i="3"/>
  <c r="BS302" i="3"/>
  <c r="BR302" i="3"/>
  <c r="BQ302" i="3"/>
  <c r="BP302" i="3"/>
  <c r="BO302" i="3"/>
  <c r="BL302" i="3" s="1"/>
  <c r="BN302" i="3"/>
  <c r="BM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Z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Z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Z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Z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Z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Z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Z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BC267" i="3"/>
  <c r="BB267" i="3"/>
  <c r="AZ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AZ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Z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Z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AZ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Z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Z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Z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A203" i="3" s="1"/>
  <c r="BC203" i="3"/>
  <c r="BB203" i="3"/>
  <c r="AZ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A195" i="3" s="1"/>
  <c r="BC195" i="3"/>
  <c r="BB195" i="3"/>
  <c r="AZ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A187" i="3" s="1"/>
  <c r="BC187" i="3"/>
  <c r="BB187" i="3"/>
  <c r="AZ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A179" i="3" s="1"/>
  <c r="BC179" i="3"/>
  <c r="BB179" i="3"/>
  <c r="AZ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A171" i="3" s="1"/>
  <c r="BC171" i="3"/>
  <c r="BB171" i="3"/>
  <c r="AZ171" i="3"/>
  <c r="AX171" i="3"/>
  <c r="AW171" i="3"/>
  <c r="AV171" i="3"/>
  <c r="AC171" i="3"/>
  <c r="H171" i="3"/>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A163" i="3" s="1"/>
  <c r="BC163" i="3"/>
  <c r="BB163" i="3"/>
  <c r="AZ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A155" i="3" s="1"/>
  <c r="BC155" i="3"/>
  <c r="BB155" i="3"/>
  <c r="AZ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L70" i="3" s="1"/>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s="1"/>
  <c r="BT14" i="3"/>
  <c r="BS14" i="3"/>
  <c r="BR14" i="3"/>
  <c r="BQ14" i="3"/>
  <c r="BP14" i="3"/>
  <c r="BO14" i="3"/>
  <c r="BL14" i="3" s="1"/>
  <c r="BN14" i="3"/>
  <c r="BM14" i="3"/>
  <c r="BK14" i="3"/>
  <c r="BJ14" i="3"/>
  <c r="BI14" i="3"/>
  <c r="BH14" i="3"/>
  <c r="BG14" i="3"/>
  <c r="BF14" i="3"/>
  <c r="BE14" i="3"/>
  <c r="BD14" i="3"/>
  <c r="BC14" i="3"/>
  <c r="BB14" i="3"/>
  <c r="AX14" i="3"/>
  <c r="AW14" i="3"/>
  <c r="AV14" i="3"/>
  <c r="AC14" i="3"/>
  <c r="H14" i="3"/>
  <c r="BT13" i="3"/>
  <c r="BS13" i="3"/>
  <c r="BS5" i="3" s="1"/>
  <c r="BP13" i="3"/>
  <c r="BO13" i="3"/>
  <c r="BN13" i="3"/>
  <c r="BM13" i="3"/>
  <c r="BK13" i="3"/>
  <c r="BK5" i="3" s="1"/>
  <c r="BJ13" i="3"/>
  <c r="BI13" i="3"/>
  <c r="BH13" i="3"/>
  <c r="BH5" i="3" s="1"/>
  <c r="BG13" i="3"/>
  <c r="BF13" i="3"/>
  <c r="BF5" i="3" s="1"/>
  <c r="BD13" i="3"/>
  <c r="BD5" i="3" s="1"/>
  <c r="BC13" i="3"/>
  <c r="AX13" i="3"/>
  <c r="AW13" i="3"/>
  <c r="AV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S5" i="3"/>
  <c r="AR5" i="3"/>
  <c r="AQ5" i="3"/>
  <c r="AP5" i="3"/>
  <c r="AO5" i="3"/>
  <c r="AM5" i="3"/>
  <c r="AK5" i="3"/>
  <c r="AJ5" i="3"/>
  <c r="AI5" i="3"/>
  <c r="AH5" i="3"/>
  <c r="AG5" i="3"/>
  <c r="AF5" i="3"/>
  <c r="AE5" i="3"/>
  <c r="AD5" i="3"/>
  <c r="AB5" i="3"/>
  <c r="AA5" i="3"/>
  <c r="Z5" i="3"/>
  <c r="Y5" i="3"/>
  <c r="X5" i="3"/>
  <c r="W5" i="3"/>
  <c r="V5" i="3"/>
  <c r="U5" i="3"/>
  <c r="T5" i="3"/>
  <c r="S5" i="3"/>
  <c r="R5" i="3"/>
  <c r="Q5" i="3"/>
  <c r="P5" i="3"/>
  <c r="N5" i="3"/>
  <c r="M5" i="3"/>
  <c r="L5" i="3"/>
  <c r="K5" i="3"/>
  <c r="J5" i="3"/>
  <c r="F5" i="3"/>
  <c r="R35" i="4"/>
  <c r="Q35" i="4"/>
  <c r="P35" i="4"/>
  <c r="O35" i="4"/>
  <c r="N35" i="4"/>
  <c r="M35" i="4"/>
  <c r="L35" i="4"/>
  <c r="F35" i="4"/>
  <c r="T34" i="4"/>
  <c r="K34" i="4"/>
  <c r="C33" i="4"/>
  <c r="C32" i="4"/>
  <c r="C31" i="4"/>
  <c r="L22" i="4"/>
  <c r="L21" i="4"/>
  <c r="L20" i="4"/>
  <c r="F19" i="4"/>
  <c r="I15" i="4"/>
  <c r="H15" i="4"/>
  <c r="G15" i="4"/>
  <c r="F15" i="4"/>
  <c r="E15" i="4"/>
  <c r="D15" i="4"/>
  <c r="C15" i="4"/>
  <c r="F6" i="1" s="1"/>
  <c r="G6" i="1" s="1"/>
  <c r="K6" i="4"/>
  <c r="I4" i="4"/>
  <c r="G4" i="4"/>
  <c r="K5" i="4" s="1"/>
  <c r="B47" i="48" s="1"/>
  <c r="E4" i="4"/>
  <c r="B5" i="62" s="1"/>
  <c r="C4" i="4"/>
  <c r="K4" i="4" s="1"/>
  <c r="S2" i="4"/>
  <c r="A4" i="52"/>
  <c r="B41" i="72" s="1"/>
  <c r="S1" i="4"/>
  <c r="A4" i="51"/>
  <c r="B6" i="72" s="1"/>
  <c r="B1" i="4"/>
  <c r="Y8" i="71" s="1"/>
  <c r="Z8" i="71" s="1"/>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B18" i="78"/>
  <c r="C15" i="78"/>
  <c r="F12" i="78"/>
  <c r="F11" i="78"/>
  <c r="B3" i="78"/>
  <c r="C53" i="10"/>
  <c r="B51" i="10"/>
  <c r="H16" i="49"/>
  <c r="D16" i="49"/>
  <c r="D15" i="49"/>
  <c r="B2" i="49"/>
  <c r="A21" i="62"/>
  <c r="B67" i="72" s="1"/>
  <c r="A20" i="62"/>
  <c r="A19" i="62"/>
  <c r="A18" i="62"/>
  <c r="B64" i="72"/>
  <c r="A15" i="62"/>
  <c r="B61" i="72" s="1"/>
  <c r="A14" i="62"/>
  <c r="A13" i="62"/>
  <c r="B59" i="72" s="1"/>
  <c r="A12" i="62"/>
  <c r="B58" i="72" s="1"/>
  <c r="A5" i="62"/>
  <c r="B72" i="72" s="1"/>
  <c r="B4" i="62"/>
  <c r="B71" i="72" s="1"/>
  <c r="A4" i="62"/>
  <c r="A12" i="52"/>
  <c r="B56" i="72" s="1"/>
  <c r="D11" i="52"/>
  <c r="D10" i="52"/>
  <c r="A10" i="52"/>
  <c r="A8" i="52"/>
  <c r="D7" i="52"/>
  <c r="D6" i="52"/>
  <c r="A6" i="52"/>
  <c r="B57" i="72" s="1"/>
  <c r="H2" i="52"/>
  <c r="F2" i="52"/>
  <c r="D2" i="52"/>
  <c r="A1" i="52"/>
  <c r="D21" i="53"/>
  <c r="B39" i="72" s="1"/>
  <c r="B19" i="53"/>
  <c r="D17" i="53"/>
  <c r="B36" i="72" s="1"/>
  <c r="D16" i="53"/>
  <c r="B34" i="72" s="1"/>
  <c r="B16" i="53"/>
  <c r="B13" i="53"/>
  <c r="D12" i="53"/>
  <c r="B28" i="72" s="1"/>
  <c r="D11" i="53"/>
  <c r="B27" i="72" s="1"/>
  <c r="D10" i="53"/>
  <c r="D8" i="53"/>
  <c r="B8" i="53"/>
  <c r="B23" i="72" s="1"/>
  <c r="A3" i="53"/>
  <c r="A2" i="53"/>
  <c r="B19" i="72" s="1"/>
  <c r="A24" i="51"/>
  <c r="B18" i="72" s="1"/>
  <c r="A22" i="51"/>
  <c r="B17" i="72" s="1"/>
  <c r="A21" i="51"/>
  <c r="B16" i="72" s="1"/>
  <c r="A20" i="51"/>
  <c r="B15" i="72" s="1"/>
  <c r="A18" i="51"/>
  <c r="B13" i="72"/>
  <c r="A15" i="51"/>
  <c r="B12" i="72" s="1"/>
  <c r="A13" i="51"/>
  <c r="B11" i="72"/>
  <c r="A3" i="51"/>
  <c r="B49" i="48"/>
  <c r="B5" i="72" s="1"/>
  <c r="B46" i="48"/>
  <c r="B4" i="72" s="1"/>
  <c r="B40" i="48"/>
  <c r="B3" i="72" s="1"/>
  <c r="B37" i="48"/>
  <c r="B2" i="72" s="1"/>
  <c r="B74" i="72"/>
  <c r="B73" i="72"/>
  <c r="B70" i="72"/>
  <c r="B69" i="72"/>
  <c r="B68" i="72"/>
  <c r="B66" i="72"/>
  <c r="B65" i="72"/>
  <c r="B63" i="72"/>
  <c r="B62" i="72"/>
  <c r="B60" i="72"/>
  <c r="B55" i="72"/>
  <c r="B54" i="72"/>
  <c r="B50" i="72"/>
  <c r="B46" i="72"/>
  <c r="B44" i="72"/>
  <c r="B42" i="72"/>
  <c r="B37" i="72"/>
  <c r="B33" i="72"/>
  <c r="B29" i="72"/>
  <c r="B26" i="72"/>
  <c r="B10" i="72"/>
  <c r="B8" i="72"/>
  <c r="B8" i="1"/>
  <c r="E8" i="1"/>
  <c r="D18" i="53"/>
  <c r="B35" i="72" s="1"/>
  <c r="C21" i="69"/>
  <c r="F34" i="67"/>
  <c r="F62" i="67" s="1"/>
  <c r="F34" i="15"/>
  <c r="F62" i="15" s="1"/>
  <c r="M20" i="67"/>
  <c r="B41" i="1"/>
  <c r="D78" i="9"/>
  <c r="C40" i="68"/>
  <c r="F40" i="69"/>
  <c r="E19" i="69"/>
  <c r="E19" i="11"/>
  <c r="C5" i="11"/>
  <c r="F11" i="12"/>
  <c r="C23" i="12" s="1"/>
  <c r="G26" i="12"/>
  <c r="G22" i="69"/>
  <c r="G18" i="43"/>
  <c r="E17" i="43" s="1"/>
  <c r="I18" i="43"/>
  <c r="G1" i="15"/>
  <c r="B6" i="1"/>
  <c r="E6" i="1"/>
  <c r="G1" i="68"/>
  <c r="F3" i="35"/>
  <c r="G1" i="69"/>
  <c r="K1" i="12"/>
  <c r="B3" i="35"/>
  <c r="AR9" i="1"/>
  <c r="O10" i="1"/>
  <c r="P10" i="1"/>
  <c r="O8" i="1"/>
  <c r="P8" i="1"/>
  <c r="O12" i="1"/>
  <c r="P12" i="1"/>
  <c r="O7" i="1"/>
  <c r="P7" i="1"/>
  <c r="O11" i="1"/>
  <c r="P11" i="1"/>
  <c r="T11" i="1"/>
  <c r="AQ11" i="1"/>
  <c r="B3" i="36"/>
  <c r="T9" i="1"/>
  <c r="F26" i="43"/>
  <c r="A118" i="9"/>
  <c r="AA8" i="71"/>
  <c r="X8" i="71"/>
  <c r="AB8" i="71"/>
  <c r="C6" i="78"/>
  <c r="D6" i="78"/>
  <c r="C7" i="40"/>
  <c r="C63" i="40" s="1"/>
  <c r="C65" i="40" s="1"/>
  <c r="C7" i="37"/>
  <c r="C52" i="37"/>
  <c r="D52" i="37" s="1"/>
  <c r="C7" i="39"/>
  <c r="C67" i="39" s="1"/>
  <c r="C69" i="39" s="1"/>
  <c r="C7" i="36"/>
  <c r="C46" i="36"/>
  <c r="D46" i="36" s="1"/>
  <c r="C7" i="35"/>
  <c r="C48" i="35" s="1"/>
  <c r="D48" i="35" s="1"/>
  <c r="G23" i="43"/>
  <c r="P28" i="43" s="1"/>
  <c r="B66" i="40" s="1"/>
  <c r="C7" i="34"/>
  <c r="C59" i="34" s="1"/>
  <c r="D59" i="34" s="1"/>
  <c r="E59" i="34" s="1"/>
  <c r="F59" i="34" s="1"/>
  <c r="G59" i="34" s="1"/>
  <c r="H59" i="34" s="1"/>
  <c r="I59" i="34" s="1"/>
  <c r="J59" i="34" s="1"/>
  <c r="K59" i="34" s="1"/>
  <c r="L59" i="34" s="1"/>
  <c r="M59" i="34" s="1"/>
  <c r="M47" i="9"/>
  <c r="C7" i="33"/>
  <c r="C58" i="33" s="1"/>
  <c r="D58" i="33" s="1"/>
  <c r="E58" i="33" s="1"/>
  <c r="F58" i="33" s="1"/>
  <c r="C42" i="1"/>
  <c r="C7" i="21"/>
  <c r="C58" i="21" s="1"/>
  <c r="D58" i="21" s="1"/>
  <c r="B4" i="83"/>
  <c r="F31" i="67"/>
  <c r="F31" i="15"/>
  <c r="M17" i="67"/>
  <c r="F32" i="15"/>
  <c r="F60" i="15" s="1"/>
  <c r="M18" i="15"/>
  <c r="F31" i="12"/>
  <c r="C31" i="12" s="1"/>
  <c r="F48" i="9"/>
  <c r="O52" i="9" s="1"/>
  <c r="F32" i="67"/>
  <c r="F60" i="67"/>
  <c r="F28" i="15"/>
  <c r="C28" i="15" s="1"/>
  <c r="F30" i="69"/>
  <c r="F48" i="69" s="1"/>
  <c r="F30" i="68"/>
  <c r="F48" i="68"/>
  <c r="F52" i="9"/>
  <c r="F28" i="67"/>
  <c r="C28" i="67" s="1"/>
  <c r="M18" i="67"/>
  <c r="D68" i="9"/>
  <c r="F53" i="9"/>
  <c r="F30" i="11"/>
  <c r="C30" i="11" s="1"/>
  <c r="F54" i="9"/>
  <c r="O6" i="1"/>
  <c r="E48" i="35"/>
  <c r="D63" i="40"/>
  <c r="C77" i="9"/>
  <c r="C74" i="9" s="1"/>
  <c r="C24" i="12"/>
  <c r="E46" i="36"/>
  <c r="F46" i="36"/>
  <c r="G46" i="36" s="1"/>
  <c r="H46" i="36" s="1"/>
  <c r="I46" i="36" s="1"/>
  <c r="J46" i="36" s="1"/>
  <c r="D67" i="39"/>
  <c r="E67" i="39" s="1"/>
  <c r="E69" i="39" s="1"/>
  <c r="A1" i="79"/>
  <c r="M17" i="15"/>
  <c r="F59" i="15"/>
  <c r="F59" i="67"/>
  <c r="C48" i="68"/>
  <c r="C30" i="68"/>
  <c r="C48" i="11"/>
  <c r="P6" i="1"/>
  <c r="C13" i="12" s="1"/>
  <c r="D65" i="40"/>
  <c r="E63" i="40"/>
  <c r="E65" i="40" s="1"/>
  <c r="O14" i="1"/>
  <c r="C19" i="68"/>
  <c r="F63" i="40"/>
  <c r="G63" i="40" s="1"/>
  <c r="H63" i="40" s="1"/>
  <c r="I63" i="40" s="1"/>
  <c r="I65" i="40" s="1"/>
  <c r="P14" i="1"/>
  <c r="F65" i="40"/>
  <c r="F34" i="68"/>
  <c r="B13" i="76"/>
  <c r="E11" i="76"/>
  <c r="E12" i="76"/>
  <c r="C76" i="15"/>
  <c r="E8" i="76"/>
  <c r="D2" i="36"/>
  <c r="C20" i="9"/>
  <c r="F38" i="15"/>
  <c r="D4" i="73"/>
  <c r="D5" i="73"/>
  <c r="F13" i="15"/>
  <c r="F42" i="15"/>
  <c r="AO13" i="1"/>
  <c r="F35" i="15"/>
  <c r="D34" i="9"/>
  <c r="D2" i="34"/>
  <c r="F36" i="15"/>
  <c r="M27" i="15"/>
  <c r="M8" i="15"/>
  <c r="F8" i="15"/>
  <c r="F41" i="15"/>
  <c r="D20" i="9"/>
  <c r="F40" i="15"/>
  <c r="D2" i="21"/>
  <c r="M21" i="15"/>
  <c r="E2" i="68"/>
  <c r="AO12" i="1"/>
  <c r="M6" i="15"/>
  <c r="M9" i="15"/>
  <c r="M28" i="15"/>
  <c r="D6" i="73"/>
  <c r="J15" i="15"/>
  <c r="M24" i="15"/>
  <c r="L48" i="15"/>
  <c r="D19" i="9"/>
  <c r="E7" i="76"/>
  <c r="B10" i="76"/>
  <c r="M22" i="15"/>
  <c r="B7" i="76"/>
  <c r="E10" i="76"/>
  <c r="F20" i="31"/>
  <c r="F26" i="15"/>
  <c r="M26" i="15"/>
  <c r="D2" i="33"/>
  <c r="D7" i="73"/>
  <c r="E13" i="76"/>
  <c r="D2" i="35"/>
  <c r="F6" i="15"/>
  <c r="B8" i="76"/>
  <c r="F9" i="15"/>
  <c r="E2" i="69"/>
  <c r="L47" i="15"/>
  <c r="AO10" i="1"/>
  <c r="C19" i="9"/>
  <c r="D3" i="73"/>
  <c r="F16" i="15"/>
  <c r="M23" i="15"/>
  <c r="B12" i="76"/>
  <c r="D2" i="37"/>
  <c r="F37" i="15"/>
  <c r="E9" i="76"/>
  <c r="AO9" i="1"/>
  <c r="B11" i="76"/>
  <c r="AO11" i="1"/>
  <c r="B9" i="76"/>
  <c r="D35" i="9"/>
  <c r="E12" i="84" l="1"/>
  <c r="D12" i="84" s="1"/>
  <c r="B10" i="83"/>
  <c r="D39" i="83"/>
  <c r="J76" i="83"/>
  <c r="I12" i="83"/>
  <c r="E32" i="83"/>
  <c r="G32" i="83" s="1"/>
  <c r="AZ3" i="3"/>
  <c r="C12" i="83"/>
  <c r="B20" i="83"/>
  <c r="B22" i="83"/>
  <c r="B24" i="83"/>
  <c r="AL13" i="3"/>
  <c r="F76" i="83"/>
  <c r="G26" i="43"/>
  <c r="J26" i="43"/>
  <c r="B116" i="43"/>
  <c r="B120" i="43" s="1"/>
  <c r="C120" i="43" s="1"/>
  <c r="Z7" i="43"/>
  <c r="E26" i="43"/>
  <c r="D26" i="43" s="1"/>
  <c r="C25" i="43" s="1"/>
  <c r="N370" i="46"/>
  <c r="H26" i="43"/>
  <c r="L27" i="6"/>
  <c r="C94" i="9"/>
  <c r="C92" i="9"/>
  <c r="C40" i="11"/>
  <c r="H65" i="40"/>
  <c r="D69" i="39"/>
  <c r="J63" i="40"/>
  <c r="G65" i="40"/>
  <c r="F67" i="39"/>
  <c r="G67" i="39" s="1"/>
  <c r="C30" i="69"/>
  <c r="C48" i="69"/>
  <c r="C24" i="43"/>
  <c r="G25" i="12"/>
  <c r="G41" i="68"/>
  <c r="G27" i="12"/>
  <c r="G22" i="68"/>
  <c r="G22" i="11"/>
  <c r="G41" i="69"/>
  <c r="E1" i="73"/>
  <c r="D23" i="67"/>
  <c r="C21" i="68"/>
  <c r="O16" i="1"/>
  <c r="P16" i="1"/>
  <c r="C11" i="12" s="1"/>
  <c r="C12" i="12" s="1"/>
  <c r="C25" i="83"/>
  <c r="B25" i="83" s="1"/>
  <c r="B18" i="83"/>
  <c r="C27" i="15"/>
  <c r="C34" i="15"/>
  <c r="F63" i="15"/>
  <c r="C62" i="15" s="1"/>
  <c r="Q71" i="15"/>
  <c r="L59" i="15"/>
  <c r="M59" i="15"/>
  <c r="N59" i="15"/>
  <c r="L58" i="15"/>
  <c r="D103" i="9"/>
  <c r="F64" i="15"/>
  <c r="F68" i="15"/>
  <c r="B13" i="70"/>
  <c r="F69" i="15"/>
  <c r="B20" i="31"/>
  <c r="B21" i="31" s="1"/>
  <c r="B11" i="70"/>
  <c r="F51" i="15"/>
  <c r="F65" i="15"/>
  <c r="J20" i="15"/>
  <c r="D102" i="9"/>
  <c r="K1" i="73"/>
  <c r="G19" i="9"/>
  <c r="C102" i="9"/>
  <c r="D22" i="9"/>
  <c r="J57" i="15"/>
  <c r="J55" i="15" s="1"/>
  <c r="J58" i="15" s="1"/>
  <c r="Q50" i="15" s="1"/>
  <c r="J53" i="15"/>
  <c r="L56" i="15" s="1"/>
  <c r="I54" i="15"/>
  <c r="F66" i="15"/>
  <c r="B10" i="70"/>
  <c r="B12" i="70"/>
  <c r="B9" i="70"/>
  <c r="C103" i="9"/>
  <c r="G20" i="9"/>
  <c r="C32" i="9" s="1"/>
  <c r="G58" i="33"/>
  <c r="H58" i="33" s="1"/>
  <c r="I58" i="33" s="1"/>
  <c r="J58" i="33" s="1"/>
  <c r="K58" i="33" s="1"/>
  <c r="L58" i="33" s="1"/>
  <c r="M58" i="33" s="1"/>
  <c r="N58" i="33" s="1"/>
  <c r="O58" i="33" s="1"/>
  <c r="F7" i="33"/>
  <c r="H7" i="34"/>
  <c r="N59" i="34"/>
  <c r="O59" i="34" s="1"/>
  <c r="J7" i="34"/>
  <c r="K46" i="36"/>
  <c r="L46" i="36" s="1"/>
  <c r="M46" i="36" s="1"/>
  <c r="N46" i="36" s="1"/>
  <c r="O46" i="36" s="1"/>
  <c r="F15" i="49"/>
  <c r="H15" i="49" s="1"/>
  <c r="B5" i="49"/>
  <c r="D5" i="49" s="1"/>
  <c r="F10" i="49"/>
  <c r="H10" i="49" s="1"/>
  <c r="B6" i="49"/>
  <c r="D6" i="49" s="1"/>
  <c r="B11" i="49"/>
  <c r="D11" i="49" s="1"/>
  <c r="B4" i="49"/>
  <c r="D4" i="49" s="1"/>
  <c r="B9" i="49"/>
  <c r="D9" i="49" s="1"/>
  <c r="F14" i="49"/>
  <c r="H14" i="49" s="1"/>
  <c r="B7" i="49"/>
  <c r="D7" i="49" s="1"/>
  <c r="F12" i="49"/>
  <c r="H12" i="49" s="1"/>
  <c r="F7" i="49"/>
  <c r="H7" i="49" s="1"/>
  <c r="F11" i="49"/>
  <c r="H11" i="49" s="1"/>
  <c r="B8" i="49"/>
  <c r="D8" i="49" s="1"/>
  <c r="F8" i="49"/>
  <c r="H8" i="49" s="1"/>
  <c r="F6" i="49"/>
  <c r="H6" i="49" s="1"/>
  <c r="F4" i="49"/>
  <c r="H4" i="49" s="1"/>
  <c r="F5" i="49"/>
  <c r="H5" i="49" s="1"/>
  <c r="F13" i="49"/>
  <c r="H13" i="49" s="1"/>
  <c r="B13" i="49"/>
  <c r="D13" i="49" s="1"/>
  <c r="F9" i="49"/>
  <c r="H9" i="49" s="1"/>
  <c r="B12" i="49"/>
  <c r="D12" i="49" s="1"/>
  <c r="B10" i="49"/>
  <c r="D10" i="49" s="1"/>
  <c r="F69" i="39"/>
  <c r="H7" i="33"/>
  <c r="B14" i="49"/>
  <c r="D14" i="49" s="1"/>
  <c r="E58" i="21"/>
  <c r="J7" i="33"/>
  <c r="O23" i="43"/>
  <c r="P26" i="43"/>
  <c r="P25" i="43"/>
  <c r="P29" i="43"/>
  <c r="P27" i="43"/>
  <c r="B70" i="39" s="1"/>
  <c r="E52" i="37"/>
  <c r="F52" i="37" s="1"/>
  <c r="G52" i="37" s="1"/>
  <c r="H52" i="37" s="1"/>
  <c r="I52" i="37" s="1"/>
  <c r="J52" i="37" s="1"/>
  <c r="K52" i="37" s="1"/>
  <c r="L52" i="37" s="1"/>
  <c r="M52" i="37" s="1"/>
  <c r="N52" i="37" s="1"/>
  <c r="O52" i="37" s="1"/>
  <c r="F7" i="34"/>
  <c r="F48" i="35"/>
  <c r="G48" i="35" s="1"/>
  <c r="H48" i="35" s="1"/>
  <c r="I48" i="35" s="1"/>
  <c r="J48" i="35" s="1"/>
  <c r="K48" i="35" s="1"/>
  <c r="L48" i="35" s="1"/>
  <c r="M48" i="35" s="1"/>
  <c r="N48" i="35" s="1"/>
  <c r="O48" i="35" s="1"/>
  <c r="AZ39" i="3"/>
  <c r="AZ43" i="3"/>
  <c r="AZ47" i="3"/>
  <c r="AZ51" i="3"/>
  <c r="AZ55" i="3"/>
  <c r="AZ59" i="3"/>
  <c r="AZ63" i="3"/>
  <c r="AZ67" i="3"/>
  <c r="AZ71" i="3"/>
  <c r="AZ75" i="3"/>
  <c r="AZ79" i="3"/>
  <c r="AZ83" i="3"/>
  <c r="AZ87" i="3"/>
  <c r="AZ91" i="3"/>
  <c r="AZ95" i="3"/>
  <c r="AZ99" i="3"/>
  <c r="B24" i="72"/>
  <c r="D9" i="53"/>
  <c r="B25" i="72" s="1"/>
  <c r="BO5" i="3"/>
  <c r="BT5" i="3"/>
  <c r="AZ103" i="3"/>
  <c r="AZ107" i="3"/>
  <c r="AZ111" i="3"/>
  <c r="AZ115" i="3"/>
  <c r="AZ119" i="3"/>
  <c r="AZ123" i="3"/>
  <c r="AZ127" i="3"/>
  <c r="AZ131" i="3"/>
  <c r="AZ135" i="3"/>
  <c r="AZ139" i="3"/>
  <c r="AZ143" i="3"/>
  <c r="AZ147" i="3"/>
  <c r="BN5" i="3"/>
  <c r="AZ24" i="3"/>
  <c r="AZ32" i="3"/>
  <c r="AZ40" i="3"/>
  <c r="AZ48" i="3"/>
  <c r="AZ56" i="3"/>
  <c r="AZ64" i="3"/>
  <c r="AZ72" i="3"/>
  <c r="AZ80" i="3"/>
  <c r="AZ88" i="3"/>
  <c r="AZ96" i="3"/>
  <c r="AZ104" i="3"/>
  <c r="AZ112" i="3"/>
  <c r="AZ120" i="3"/>
  <c r="AZ128" i="3"/>
  <c r="AZ136" i="3"/>
  <c r="AZ144" i="3"/>
  <c r="C51" i="10"/>
  <c r="A2" i="9"/>
  <c r="BI5" i="3"/>
  <c r="BP5" i="3"/>
  <c r="BA14" i="3"/>
  <c r="AZ14" i="3" s="1"/>
  <c r="BA17" i="3"/>
  <c r="BA18" i="3"/>
  <c r="AZ18" i="3" s="1"/>
  <c r="BA21" i="3"/>
  <c r="AZ21" i="3" s="1"/>
  <c r="BA22" i="3"/>
  <c r="AZ22" i="3" s="1"/>
  <c r="BA25" i="3"/>
  <c r="AZ25" i="3" s="1"/>
  <c r="BA26" i="3"/>
  <c r="AZ26" i="3" s="1"/>
  <c r="BA29" i="3"/>
  <c r="AZ29" i="3" s="1"/>
  <c r="BA30" i="3"/>
  <c r="AZ30" i="3" s="1"/>
  <c r="BA33" i="3"/>
  <c r="BA34" i="3"/>
  <c r="AZ34" i="3" s="1"/>
  <c r="BA37" i="3"/>
  <c r="AZ37" i="3" s="1"/>
  <c r="BA38" i="3"/>
  <c r="AZ38" i="3" s="1"/>
  <c r="BA41" i="3"/>
  <c r="AZ41" i="3" s="1"/>
  <c r="BA42" i="3"/>
  <c r="AZ42" i="3" s="1"/>
  <c r="BA45" i="3"/>
  <c r="AZ45" i="3" s="1"/>
  <c r="BA46" i="3"/>
  <c r="AZ46" i="3" s="1"/>
  <c r="BA49" i="3"/>
  <c r="BA50" i="3"/>
  <c r="AZ50" i="3" s="1"/>
  <c r="BA53" i="3"/>
  <c r="AZ53" i="3" s="1"/>
  <c r="BA54" i="3"/>
  <c r="AZ54" i="3" s="1"/>
  <c r="BA57" i="3"/>
  <c r="AZ57" i="3" s="1"/>
  <c r="BA58" i="3"/>
  <c r="AZ58" i="3" s="1"/>
  <c r="BA61" i="3"/>
  <c r="AZ61" i="3" s="1"/>
  <c r="BA62" i="3"/>
  <c r="AZ62" i="3" s="1"/>
  <c r="BA65" i="3"/>
  <c r="BA66" i="3"/>
  <c r="AZ66" i="3" s="1"/>
  <c r="BA69" i="3"/>
  <c r="AZ69" i="3" s="1"/>
  <c r="BA70" i="3"/>
  <c r="AZ70" i="3" s="1"/>
  <c r="BA73" i="3"/>
  <c r="AZ73" i="3" s="1"/>
  <c r="BA74" i="3"/>
  <c r="AZ74" i="3" s="1"/>
  <c r="BA77" i="3"/>
  <c r="AZ77" i="3" s="1"/>
  <c r="BA78" i="3"/>
  <c r="AZ78" i="3" s="1"/>
  <c r="BA81" i="3"/>
  <c r="BA82" i="3"/>
  <c r="AZ82" i="3" s="1"/>
  <c r="BA85" i="3"/>
  <c r="AZ85" i="3" s="1"/>
  <c r="BA86" i="3"/>
  <c r="AZ86" i="3" s="1"/>
  <c r="BA89" i="3"/>
  <c r="AZ89" i="3" s="1"/>
  <c r="BA90" i="3"/>
  <c r="AZ90" i="3" s="1"/>
  <c r="BA93" i="3"/>
  <c r="AZ93" i="3" s="1"/>
  <c r="BA94" i="3"/>
  <c r="AZ94" i="3" s="1"/>
  <c r="BA97" i="3"/>
  <c r="BA98" i="3"/>
  <c r="AZ98" i="3" s="1"/>
  <c r="BA101" i="3"/>
  <c r="AZ101" i="3" s="1"/>
  <c r="BA102" i="3"/>
  <c r="AZ102" i="3" s="1"/>
  <c r="BA105" i="3"/>
  <c r="AZ105" i="3" s="1"/>
  <c r="BA106" i="3"/>
  <c r="AZ106" i="3" s="1"/>
  <c r="BA109" i="3"/>
  <c r="AZ109" i="3" s="1"/>
  <c r="BA110" i="3"/>
  <c r="AZ110" i="3" s="1"/>
  <c r="BA113" i="3"/>
  <c r="BA114" i="3"/>
  <c r="AZ114" i="3" s="1"/>
  <c r="BA117" i="3"/>
  <c r="AZ117" i="3" s="1"/>
  <c r="BA118" i="3"/>
  <c r="AZ118" i="3" s="1"/>
  <c r="BA121" i="3"/>
  <c r="AZ121" i="3" s="1"/>
  <c r="BA122" i="3"/>
  <c r="AZ122" i="3" s="1"/>
  <c r="BA125" i="3"/>
  <c r="AZ125" i="3" s="1"/>
  <c r="BA126" i="3"/>
  <c r="AZ126" i="3" s="1"/>
  <c r="BA129" i="3"/>
  <c r="BA130" i="3"/>
  <c r="AZ130" i="3" s="1"/>
  <c r="BA133" i="3"/>
  <c r="AZ133" i="3" s="1"/>
  <c r="BA134" i="3"/>
  <c r="AZ134" i="3" s="1"/>
  <c r="BA137" i="3"/>
  <c r="AZ137" i="3" s="1"/>
  <c r="BA138" i="3"/>
  <c r="AZ138" i="3" s="1"/>
  <c r="BA141" i="3"/>
  <c r="AZ141" i="3" s="1"/>
  <c r="BA142" i="3"/>
  <c r="AZ142" i="3" s="1"/>
  <c r="BA145" i="3"/>
  <c r="BA146" i="3"/>
  <c r="AZ146" i="3" s="1"/>
  <c r="BA149" i="3"/>
  <c r="AZ149" i="3" s="1"/>
  <c r="AZ152" i="3"/>
  <c r="BA154" i="3"/>
  <c r="AZ154" i="3" s="1"/>
  <c r="BL157" i="3"/>
  <c r="G163" i="3"/>
  <c r="AZ165" i="3"/>
  <c r="AZ168" i="3"/>
  <c r="BA170" i="3"/>
  <c r="AZ170" i="3" s="1"/>
  <c r="BL173" i="3"/>
  <c r="G179" i="3"/>
  <c r="AZ184" i="3"/>
  <c r="BA186" i="3"/>
  <c r="AZ186" i="3" s="1"/>
  <c r="BL189" i="3"/>
  <c r="AZ189" i="3" s="1"/>
  <c r="G195" i="3"/>
  <c r="AZ200" i="3"/>
  <c r="BA202" i="3"/>
  <c r="AZ202" i="3" s="1"/>
  <c r="BL205" i="3"/>
  <c r="G211" i="3"/>
  <c r="AZ213" i="3"/>
  <c r="AZ216" i="3"/>
  <c r="BA218" i="3"/>
  <c r="AZ218" i="3" s="1"/>
  <c r="BL221" i="3"/>
  <c r="G227" i="3"/>
  <c r="AZ229" i="3"/>
  <c r="AZ232" i="3"/>
  <c r="BA234" i="3"/>
  <c r="AZ234" i="3" s="1"/>
  <c r="BL237" i="3"/>
  <c r="G243" i="3"/>
  <c r="AZ245" i="3"/>
  <c r="AZ246" i="3"/>
  <c r="AZ248" i="3"/>
  <c r="AZ261" i="3"/>
  <c r="AZ262" i="3"/>
  <c r="AZ264" i="3"/>
  <c r="AZ277" i="3"/>
  <c r="AZ278" i="3"/>
  <c r="AZ280" i="3"/>
  <c r="C7" i="78"/>
  <c r="D7" i="78" s="1"/>
  <c r="C5" i="78"/>
  <c r="D5" i="78" s="1"/>
  <c r="K56" i="9"/>
  <c r="J56" i="9"/>
  <c r="N56" i="9"/>
  <c r="M56" i="9"/>
  <c r="A19" i="51"/>
  <c r="B14" i="72" s="1"/>
  <c r="BJ5" i="3"/>
  <c r="BM5" i="3"/>
  <c r="F29" i="6" s="1"/>
  <c r="AZ153" i="3"/>
  <c r="AZ169" i="3"/>
  <c r="AZ185" i="3"/>
  <c r="AZ201" i="3"/>
  <c r="AZ217" i="3"/>
  <c r="AZ233" i="3"/>
  <c r="B121" i="43"/>
  <c r="C121" i="43" s="1"/>
  <c r="D118" i="43"/>
  <c r="E118" i="43" s="1"/>
  <c r="F118" i="43" s="1"/>
  <c r="G118" i="43" s="1"/>
  <c r="H118" i="43" s="1"/>
  <c r="B15" i="78"/>
  <c r="C18" i="78"/>
  <c r="G24" i="78"/>
  <c r="J50" i="40"/>
  <c r="J55" i="39"/>
  <c r="T35" i="4"/>
  <c r="BC5" i="3"/>
  <c r="BG5" i="3"/>
  <c r="G14" i="3"/>
  <c r="BL16" i="3"/>
  <c r="AZ16" i="3" s="1"/>
  <c r="BL17" i="3"/>
  <c r="G18" i="3"/>
  <c r="BL20" i="3"/>
  <c r="AZ20" i="3" s="1"/>
  <c r="BL21" i="3"/>
  <c r="G22" i="3"/>
  <c r="BL24" i="3"/>
  <c r="BL25" i="3"/>
  <c r="G26" i="3"/>
  <c r="BL28" i="3"/>
  <c r="AZ28" i="3" s="1"/>
  <c r="BL29" i="3"/>
  <c r="G30" i="3"/>
  <c r="BL32" i="3"/>
  <c r="BL33" i="3"/>
  <c r="G34" i="3"/>
  <c r="BL36" i="3"/>
  <c r="AZ36" i="3" s="1"/>
  <c r="BL37" i="3"/>
  <c r="G38" i="3"/>
  <c r="BL40" i="3"/>
  <c r="BL41" i="3"/>
  <c r="G42" i="3"/>
  <c r="BL44" i="3"/>
  <c r="AZ44" i="3" s="1"/>
  <c r="BL45" i="3"/>
  <c r="G46" i="3"/>
  <c r="BL48" i="3"/>
  <c r="BL49" i="3"/>
  <c r="G50" i="3"/>
  <c r="BL52" i="3"/>
  <c r="AZ52" i="3" s="1"/>
  <c r="BL53" i="3"/>
  <c r="G54" i="3"/>
  <c r="BL56" i="3"/>
  <c r="BL57" i="3"/>
  <c r="G58" i="3"/>
  <c r="BL60" i="3"/>
  <c r="AZ60" i="3" s="1"/>
  <c r="BL61" i="3"/>
  <c r="G62" i="3"/>
  <c r="BL64" i="3"/>
  <c r="BL65" i="3"/>
  <c r="G66" i="3"/>
  <c r="BL68" i="3"/>
  <c r="AZ68" i="3" s="1"/>
  <c r="BL69" i="3"/>
  <c r="G70" i="3"/>
  <c r="BL72" i="3"/>
  <c r="BL73" i="3"/>
  <c r="G74" i="3"/>
  <c r="BL76" i="3"/>
  <c r="AZ76" i="3" s="1"/>
  <c r="BL77" i="3"/>
  <c r="G78" i="3"/>
  <c r="BL80" i="3"/>
  <c r="BL81" i="3"/>
  <c r="G82" i="3"/>
  <c r="BL84" i="3"/>
  <c r="AZ84" i="3" s="1"/>
  <c r="BL85" i="3"/>
  <c r="G86" i="3"/>
  <c r="BL88" i="3"/>
  <c r="BL89" i="3"/>
  <c r="G90" i="3"/>
  <c r="BL92" i="3"/>
  <c r="AZ92" i="3" s="1"/>
  <c r="BL93" i="3"/>
  <c r="G94" i="3"/>
  <c r="BL96" i="3"/>
  <c r="BL97" i="3"/>
  <c r="G98" i="3"/>
  <c r="BL100" i="3"/>
  <c r="AZ100" i="3" s="1"/>
  <c r="BL101" i="3"/>
  <c r="G102" i="3"/>
  <c r="BL104" i="3"/>
  <c r="BL105" i="3"/>
  <c r="G106" i="3"/>
  <c r="BL108" i="3"/>
  <c r="AZ108" i="3" s="1"/>
  <c r="BL109" i="3"/>
  <c r="G110" i="3"/>
  <c r="BL112" i="3"/>
  <c r="BL113" i="3"/>
  <c r="G114" i="3"/>
  <c r="BL116" i="3"/>
  <c r="AZ116" i="3" s="1"/>
  <c r="BL117" i="3"/>
  <c r="G118" i="3"/>
  <c r="BL120" i="3"/>
  <c r="BL121" i="3"/>
  <c r="G122" i="3"/>
  <c r="BL124" i="3"/>
  <c r="AZ124" i="3" s="1"/>
  <c r="BL125" i="3"/>
  <c r="G126" i="3"/>
  <c r="BL128" i="3"/>
  <c r="BL129" i="3"/>
  <c r="G130" i="3"/>
  <c r="BL132" i="3"/>
  <c r="AZ132" i="3" s="1"/>
  <c r="BL133" i="3"/>
  <c r="G134" i="3"/>
  <c r="BL136" i="3"/>
  <c r="BL137" i="3"/>
  <c r="G138" i="3"/>
  <c r="BL140" i="3"/>
  <c r="AZ140" i="3" s="1"/>
  <c r="BL141" i="3"/>
  <c r="G142" i="3"/>
  <c r="BL144" i="3"/>
  <c r="BL145" i="3"/>
  <c r="G146" i="3"/>
  <c r="BL148" i="3"/>
  <c r="AZ148" i="3" s="1"/>
  <c r="BL149" i="3"/>
  <c r="G155" i="3"/>
  <c r="AZ157" i="3"/>
  <c r="AZ160" i="3"/>
  <c r="BA162" i="3"/>
  <c r="AZ162" i="3" s="1"/>
  <c r="BL165" i="3"/>
  <c r="G171" i="3"/>
  <c r="AZ173" i="3"/>
  <c r="AZ176" i="3"/>
  <c r="BA178" i="3"/>
  <c r="AZ178" i="3" s="1"/>
  <c r="BL181" i="3"/>
  <c r="AZ181" i="3" s="1"/>
  <c r="G187" i="3"/>
  <c r="AZ192" i="3"/>
  <c r="BA194" i="3"/>
  <c r="AZ194" i="3" s="1"/>
  <c r="BL197" i="3"/>
  <c r="AZ197" i="3" s="1"/>
  <c r="G203" i="3"/>
  <c r="AZ205" i="3"/>
  <c r="AZ208" i="3"/>
  <c r="BA210" i="3"/>
  <c r="AZ210" i="3" s="1"/>
  <c r="BL213" i="3"/>
  <c r="G219" i="3"/>
  <c r="AZ221" i="3"/>
  <c r="AZ224" i="3"/>
  <c r="BA226" i="3"/>
  <c r="AZ226" i="3" s="1"/>
  <c r="BL229" i="3"/>
  <c r="G235" i="3"/>
  <c r="AZ237" i="3"/>
  <c r="AZ240" i="3"/>
  <c r="BA242" i="3"/>
  <c r="AZ242" i="3" s="1"/>
  <c r="AZ253" i="3"/>
  <c r="AZ254" i="3"/>
  <c r="AZ256" i="3"/>
  <c r="AZ269" i="3"/>
  <c r="AZ270" i="3"/>
  <c r="AZ272" i="3"/>
  <c r="AZ308" i="3"/>
  <c r="AZ312" i="3"/>
  <c r="AZ316" i="3"/>
  <c r="AZ320" i="3"/>
  <c r="AZ324" i="3"/>
  <c r="AZ328" i="3"/>
  <c r="AZ341" i="3"/>
  <c r="AZ342" i="3"/>
  <c r="AZ344" i="3"/>
  <c r="AZ357" i="3"/>
  <c r="AZ358" i="3"/>
  <c r="AZ360" i="3"/>
  <c r="AZ373" i="3"/>
  <c r="AZ374" i="3"/>
  <c r="AZ376" i="3"/>
  <c r="AZ389" i="3"/>
  <c r="AZ390" i="3"/>
  <c r="AZ392" i="3"/>
  <c r="AZ405" i="3"/>
  <c r="AZ406" i="3"/>
  <c r="AZ408" i="3"/>
  <c r="AZ421" i="3"/>
  <c r="AZ422" i="3"/>
  <c r="AZ424" i="3"/>
  <c r="AZ437" i="3"/>
  <c r="AZ438" i="3"/>
  <c r="AZ440" i="3"/>
  <c r="AZ453" i="3"/>
  <c r="AZ454" i="3"/>
  <c r="AZ456" i="3"/>
  <c r="AZ469" i="3"/>
  <c r="AZ470" i="3"/>
  <c r="AZ472" i="3"/>
  <c r="AZ485" i="3"/>
  <c r="AZ486" i="3"/>
  <c r="AZ488" i="3"/>
  <c r="AZ501" i="3"/>
  <c r="AZ502" i="3"/>
  <c r="AZ504" i="3"/>
  <c r="AZ517" i="3"/>
  <c r="AZ518" i="3"/>
  <c r="AZ520" i="3"/>
  <c r="AZ533" i="3"/>
  <c r="AZ534" i="3"/>
  <c r="AZ536" i="3"/>
  <c r="AZ543" i="3"/>
  <c r="AZ547" i="3"/>
  <c r="AZ551" i="3"/>
  <c r="AZ555" i="3"/>
  <c r="AZ559" i="3"/>
  <c r="AZ563" i="3"/>
  <c r="AZ567" i="3"/>
  <c r="AZ571" i="3"/>
  <c r="AZ575" i="3"/>
  <c r="AZ579" i="3"/>
  <c r="AZ583" i="3"/>
  <c r="AZ587" i="3"/>
  <c r="K10" i="1"/>
  <c r="M10" i="1" s="1"/>
  <c r="S10" i="1"/>
  <c r="R10" i="1"/>
  <c r="B10" i="1"/>
  <c r="E10" i="1" s="1"/>
  <c r="BL284" i="3"/>
  <c r="AZ284" i="3" s="1"/>
  <c r="BL288" i="3"/>
  <c r="AZ288" i="3" s="1"/>
  <c r="BL292" i="3"/>
  <c r="AZ292" i="3" s="1"/>
  <c r="BL296" i="3"/>
  <c r="AZ296" i="3" s="1"/>
  <c r="BL300" i="3"/>
  <c r="AZ300" i="3" s="1"/>
  <c r="BL304" i="3"/>
  <c r="AZ304" i="3" s="1"/>
  <c r="AZ309" i="3"/>
  <c r="AZ313" i="3"/>
  <c r="AZ317" i="3"/>
  <c r="AZ321" i="3"/>
  <c r="BA325" i="3"/>
  <c r="AZ325" i="3" s="1"/>
  <c r="BA329" i="3"/>
  <c r="AZ329" i="3" s="1"/>
  <c r="AZ330" i="3"/>
  <c r="AZ332" i="3"/>
  <c r="AZ345" i="3"/>
  <c r="AZ346" i="3"/>
  <c r="AZ348" i="3"/>
  <c r="AZ361" i="3"/>
  <c r="AZ362" i="3"/>
  <c r="AZ364" i="3"/>
  <c r="AZ377" i="3"/>
  <c r="AZ378" i="3"/>
  <c r="AZ380" i="3"/>
  <c r="AZ393" i="3"/>
  <c r="AZ394" i="3"/>
  <c r="AZ396" i="3"/>
  <c r="AZ409" i="3"/>
  <c r="AZ410" i="3"/>
  <c r="AZ412" i="3"/>
  <c r="AZ425" i="3"/>
  <c r="AZ426" i="3"/>
  <c r="AZ428" i="3"/>
  <c r="AZ441" i="3"/>
  <c r="AZ442" i="3"/>
  <c r="AZ444" i="3"/>
  <c r="AZ457" i="3"/>
  <c r="AZ458" i="3"/>
  <c r="AZ460" i="3"/>
  <c r="AZ473" i="3"/>
  <c r="AZ474" i="3"/>
  <c r="AZ476" i="3"/>
  <c r="AZ489" i="3"/>
  <c r="AZ490" i="3"/>
  <c r="AZ492" i="3"/>
  <c r="AZ505" i="3"/>
  <c r="AZ506" i="3"/>
  <c r="AZ508" i="3"/>
  <c r="AZ521" i="3"/>
  <c r="AZ522" i="3"/>
  <c r="AZ524" i="3"/>
  <c r="AZ537" i="3"/>
  <c r="AZ538" i="3"/>
  <c r="AZ540" i="3"/>
  <c r="AZ544" i="3"/>
  <c r="AZ548" i="3"/>
  <c r="AZ552" i="3"/>
  <c r="AZ556" i="3"/>
  <c r="AZ560" i="3"/>
  <c r="AZ564" i="3"/>
  <c r="AZ568" i="3"/>
  <c r="AZ572" i="3"/>
  <c r="AZ576" i="3"/>
  <c r="AZ580" i="3"/>
  <c r="AZ584" i="3"/>
  <c r="G1" i="67"/>
  <c r="BA306" i="3"/>
  <c r="AZ306" i="3" s="1"/>
  <c r="BA310" i="3"/>
  <c r="AZ310" i="3" s="1"/>
  <c r="BA314" i="3"/>
  <c r="AZ314" i="3" s="1"/>
  <c r="BA318" i="3"/>
  <c r="AZ318" i="3" s="1"/>
  <c r="BA322" i="3"/>
  <c r="AZ322" i="3" s="1"/>
  <c r="BA326" i="3"/>
  <c r="AZ326" i="3" s="1"/>
  <c r="AZ477" i="3"/>
  <c r="AZ478" i="3"/>
  <c r="AZ480" i="3"/>
  <c r="AZ493" i="3"/>
  <c r="AZ494" i="3"/>
  <c r="AZ496" i="3"/>
  <c r="AZ509" i="3"/>
  <c r="AZ510" i="3"/>
  <c r="AZ512" i="3"/>
  <c r="K7" i="1"/>
  <c r="M7" i="1" s="1"/>
  <c r="K12" i="1"/>
  <c r="M12" i="1" s="1"/>
  <c r="S12" i="1"/>
  <c r="C7" i="74"/>
  <c r="D7" i="74"/>
  <c r="R25" i="77"/>
  <c r="R5" i="77"/>
  <c r="U5" i="77" s="1"/>
  <c r="AB19" i="21"/>
  <c r="AB36" i="21"/>
  <c r="S39" i="21"/>
  <c r="H29" i="21"/>
  <c r="F29" i="21"/>
  <c r="H45" i="21"/>
  <c r="F45" i="21"/>
  <c r="U8" i="33"/>
  <c r="AB8" i="33"/>
  <c r="AB10" i="33"/>
  <c r="AB15" i="33"/>
  <c r="AB23" i="33"/>
  <c r="AB40" i="33"/>
  <c r="S43" i="33"/>
  <c r="J13" i="33"/>
  <c r="H13" i="33"/>
  <c r="F28" i="33"/>
  <c r="J28" i="33"/>
  <c r="F44" i="33"/>
  <c r="J44" i="33"/>
  <c r="S8" i="34"/>
  <c r="AA8" i="34"/>
  <c r="S15" i="34"/>
  <c r="S23" i="34"/>
  <c r="AB30" i="34"/>
  <c r="W38" i="34"/>
  <c r="AC38" i="34"/>
  <c r="U39" i="34"/>
  <c r="AB39" i="34"/>
  <c r="AB41" i="34"/>
  <c r="U41" i="34"/>
  <c r="J45" i="34"/>
  <c r="H45" i="34"/>
  <c r="F45" i="34"/>
  <c r="S8" i="37"/>
  <c r="AA8" i="37"/>
  <c r="AC19" i="37"/>
  <c r="W19" i="37"/>
  <c r="AB29" i="37"/>
  <c r="S30" i="35"/>
  <c r="AA8" i="39"/>
  <c r="S8" i="39"/>
  <c r="AB38" i="39"/>
  <c r="U38" i="39"/>
  <c r="AB30" i="40"/>
  <c r="U30" i="40"/>
  <c r="AB38" i="40"/>
  <c r="U38" i="40"/>
  <c r="AZ545" i="3"/>
  <c r="AZ549" i="3"/>
  <c r="AZ553" i="3"/>
  <c r="AZ557" i="3"/>
  <c r="AZ561" i="3"/>
  <c r="AZ565" i="3"/>
  <c r="AZ569" i="3"/>
  <c r="AZ573" i="3"/>
  <c r="AZ577" i="3"/>
  <c r="AZ581" i="3"/>
  <c r="AZ585" i="3"/>
  <c r="B12" i="1"/>
  <c r="E12" i="1" s="1"/>
  <c r="R12" i="1"/>
  <c r="L67" i="9"/>
  <c r="M67" i="9" s="1"/>
  <c r="L65" i="9"/>
  <c r="M65" i="9" s="1"/>
  <c r="L63" i="9"/>
  <c r="M63" i="9" s="1"/>
  <c r="M69" i="9" s="1"/>
  <c r="N69" i="9" s="1"/>
  <c r="L68" i="9"/>
  <c r="M68" i="9" s="1"/>
  <c r="L66" i="9"/>
  <c r="M66" i="9" s="1"/>
  <c r="L64" i="9"/>
  <c r="M64" i="9" s="1"/>
  <c r="P61" i="15"/>
  <c r="P74" i="15"/>
  <c r="S35" i="21"/>
  <c r="J13" i="21"/>
  <c r="H13" i="21"/>
  <c r="AC30" i="21"/>
  <c r="W30" i="21"/>
  <c r="AC46" i="21"/>
  <c r="W46" i="21"/>
  <c r="K143" i="21"/>
  <c r="K145" i="21"/>
  <c r="S9" i="33"/>
  <c r="S27" i="33"/>
  <c r="S39" i="33"/>
  <c r="AB29" i="33"/>
  <c r="U29" i="33"/>
  <c r="AB45" i="33"/>
  <c r="U45" i="33"/>
  <c r="S14" i="34"/>
  <c r="S21" i="34"/>
  <c r="U11" i="37"/>
  <c r="AB11" i="37"/>
  <c r="S14" i="37"/>
  <c r="AC23" i="37"/>
  <c r="W23" i="37"/>
  <c r="S35" i="37"/>
  <c r="U40" i="37"/>
  <c r="AB40" i="37"/>
  <c r="P27" i="6"/>
  <c r="G8" i="1"/>
  <c r="B84" i="43"/>
  <c r="C17" i="40"/>
  <c r="B87" i="43"/>
  <c r="C23" i="40"/>
  <c r="B100" i="43"/>
  <c r="B77" i="43"/>
  <c r="B68" i="43"/>
  <c r="B57" i="43"/>
  <c r="C29" i="39"/>
  <c r="K120" i="9"/>
  <c r="D22" i="15"/>
  <c r="D23" i="15"/>
  <c r="U8" i="21"/>
  <c r="AB8" i="21"/>
  <c r="F13" i="21"/>
  <c r="U21" i="21"/>
  <c r="J29" i="21"/>
  <c r="W33" i="21"/>
  <c r="U40" i="21"/>
  <c r="K144" i="21"/>
  <c r="S13" i="33"/>
  <c r="W29" i="33"/>
  <c r="S35" i="33"/>
  <c r="W37" i="33"/>
  <c r="H44" i="33"/>
  <c r="AC30" i="33"/>
  <c r="W30" i="33"/>
  <c r="AC46" i="33"/>
  <c r="W46" i="33"/>
  <c r="S10" i="34"/>
  <c r="W12" i="34"/>
  <c r="S19" i="34"/>
  <c r="S46" i="34"/>
  <c r="S13" i="37"/>
  <c r="W33" i="37"/>
  <c r="AC33" i="37"/>
  <c r="S31" i="36"/>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9" i="1"/>
  <c r="J57" i="9"/>
  <c r="J59" i="9" s="1"/>
  <c r="J61" i="9" s="1"/>
  <c r="P74" i="67"/>
  <c r="D7" i="77"/>
  <c r="C26" i="77" s="1"/>
  <c r="E23" i="77"/>
  <c r="D38" i="77"/>
  <c r="D39" i="77" s="1"/>
  <c r="D32" i="77"/>
  <c r="D29" i="77"/>
  <c r="D26" i="77"/>
  <c r="C32" i="77"/>
  <c r="C38" i="77" s="1"/>
  <c r="C39" i="77" s="1"/>
  <c r="J45" i="21"/>
  <c r="K141" i="21"/>
  <c r="H28" i="33"/>
  <c r="J26" i="33"/>
  <c r="H26" i="33"/>
  <c r="F26" i="33"/>
  <c r="U36" i="34"/>
  <c r="J29" i="34"/>
  <c r="H29" i="34"/>
  <c r="AC15" i="37"/>
  <c r="W15" i="37"/>
  <c r="AC30" i="37"/>
  <c r="B72" i="43"/>
  <c r="C15" i="39"/>
  <c r="B61" i="43"/>
  <c r="C19" i="39"/>
  <c r="B79" i="43"/>
  <c r="B101" i="43"/>
  <c r="B58" i="43"/>
  <c r="B69" i="43"/>
  <c r="C25" i="39"/>
  <c r="B97" i="43"/>
  <c r="B65" i="43"/>
  <c r="B54" i="43"/>
  <c r="B75" i="43"/>
  <c r="U9" i="21"/>
  <c r="W10" i="21"/>
  <c r="S12" i="21"/>
  <c r="W14" i="21"/>
  <c r="W15" i="21"/>
  <c r="W17" i="21"/>
  <c r="W19" i="21"/>
  <c r="W21" i="21"/>
  <c r="W23" i="21"/>
  <c r="S26" i="21"/>
  <c r="U27" i="21"/>
  <c r="W28" i="21"/>
  <c r="S30" i="21"/>
  <c r="U31" i="21"/>
  <c r="W32" i="21"/>
  <c r="S34" i="21"/>
  <c r="U35" i="21"/>
  <c r="W36" i="21"/>
  <c r="S38" i="21"/>
  <c r="U39" i="21"/>
  <c r="W40" i="21"/>
  <c r="S42" i="21"/>
  <c r="U43" i="21"/>
  <c r="W44" i="21"/>
  <c r="S46" i="21"/>
  <c r="U9" i="33"/>
  <c r="W10" i="33"/>
  <c r="S12" i="33"/>
  <c r="W14" i="33"/>
  <c r="W15" i="33"/>
  <c r="W17" i="33"/>
  <c r="W19" i="33"/>
  <c r="W21" i="33"/>
  <c r="W23" i="33"/>
  <c r="U27" i="33"/>
  <c r="F30" i="33"/>
  <c r="U31" i="33"/>
  <c r="W32" i="33"/>
  <c r="S34" i="33"/>
  <c r="U35" i="33"/>
  <c r="W36" i="33"/>
  <c r="S38" i="33"/>
  <c r="U39" i="33"/>
  <c r="W40" i="33"/>
  <c r="S42" i="33"/>
  <c r="U43" i="33"/>
  <c r="F46" i="33"/>
  <c r="S9" i="34"/>
  <c r="U10" i="34"/>
  <c r="W11" i="34"/>
  <c r="S13" i="34"/>
  <c r="U14" i="34"/>
  <c r="U15" i="34"/>
  <c r="U17" i="34"/>
  <c r="U19" i="34"/>
  <c r="U21" i="34"/>
  <c r="U23" i="34"/>
  <c r="W25" i="34"/>
  <c r="S28" i="34"/>
  <c r="W30" i="34"/>
  <c r="AB31" i="34"/>
  <c r="AA32" i="34"/>
  <c r="AC34" i="34"/>
  <c r="AA35" i="34"/>
  <c r="AC37" i="34"/>
  <c r="AA38" i="34"/>
  <c r="AA40" i="34"/>
  <c r="AB42" i="34"/>
  <c r="AB9" i="37"/>
  <c r="AB10" i="37"/>
  <c r="W12" i="37"/>
  <c r="S27" i="37"/>
  <c r="AB12" i="37"/>
  <c r="U12" i="37"/>
  <c r="S13" i="35"/>
  <c r="H11" i="35"/>
  <c r="F11" i="35"/>
  <c r="J11" i="35"/>
  <c r="J34" i="35"/>
  <c r="H34" i="35"/>
  <c r="F34" i="35"/>
  <c r="U9" i="36"/>
  <c r="AB9" i="36"/>
  <c r="W18" i="36"/>
  <c r="AC18" i="36"/>
  <c r="U25" i="36"/>
  <c r="AB25" i="36"/>
  <c r="U33" i="36"/>
  <c r="AB33" i="36"/>
  <c r="W43" i="39"/>
  <c r="AC43" i="39"/>
  <c r="W44" i="39"/>
  <c r="AC44" i="39"/>
  <c r="AC34" i="40"/>
  <c r="W34" i="40"/>
  <c r="R11" i="1"/>
  <c r="S13" i="1"/>
  <c r="B83" i="43"/>
  <c r="C15" i="40"/>
  <c r="B94" i="43"/>
  <c r="B73" i="43"/>
  <c r="B62" i="43"/>
  <c r="B51" i="43"/>
  <c r="C21" i="39"/>
  <c r="B88" i="43"/>
  <c r="C25" i="40"/>
  <c r="H111" i="9"/>
  <c r="W9" i="21"/>
  <c r="S11" i="21"/>
  <c r="U12" i="21"/>
  <c r="S25" i="21"/>
  <c r="U26" i="21"/>
  <c r="W27" i="21"/>
  <c r="U30" i="21"/>
  <c r="W31" i="21"/>
  <c r="S33" i="21"/>
  <c r="U34" i="21"/>
  <c r="W35" i="21"/>
  <c r="S37" i="21"/>
  <c r="U38" i="21"/>
  <c r="W39" i="21"/>
  <c r="S41" i="21"/>
  <c r="U42" i="21"/>
  <c r="W43" i="21"/>
  <c r="U46" i="21"/>
  <c r="W9" i="33"/>
  <c r="S11" i="33"/>
  <c r="U12" i="33"/>
  <c r="S25" i="33"/>
  <c r="W27" i="33"/>
  <c r="S29" i="33"/>
  <c r="U30" i="33"/>
  <c r="W31" i="33"/>
  <c r="S33" i="33"/>
  <c r="U34" i="33"/>
  <c r="W35" i="33"/>
  <c r="S37" i="33"/>
  <c r="U38" i="33"/>
  <c r="W39" i="33"/>
  <c r="S41" i="33"/>
  <c r="U42" i="33"/>
  <c r="W43" i="33"/>
  <c r="S45" i="33"/>
  <c r="U46" i="33"/>
  <c r="U9" i="34"/>
  <c r="W10" i="34"/>
  <c r="S12" i="34"/>
  <c r="U13" i="34"/>
  <c r="W14" i="34"/>
  <c r="W15" i="34"/>
  <c r="W17" i="34"/>
  <c r="W19" i="34"/>
  <c r="W21" i="34"/>
  <c r="W23" i="34"/>
  <c r="S27" i="34"/>
  <c r="U28" i="34"/>
  <c r="AB32" i="34"/>
  <c r="AB35" i="34"/>
  <c r="AA36" i="34"/>
  <c r="S42" i="34"/>
  <c r="AC31" i="34"/>
  <c r="W31" i="34"/>
  <c r="S9" i="37"/>
  <c r="S15" i="37"/>
  <c r="U17" i="37"/>
  <c r="S19" i="37"/>
  <c r="U21" i="37"/>
  <c r="S23" i="37"/>
  <c r="S30" i="37"/>
  <c r="U25" i="35"/>
  <c r="AB25" i="35"/>
  <c r="U26" i="35"/>
  <c r="AB26" i="35"/>
  <c r="J25" i="35"/>
  <c r="F25" i="35"/>
  <c r="U32" i="36"/>
  <c r="B13" i="1"/>
  <c r="E13" i="1" s="1"/>
  <c r="B90" i="43"/>
  <c r="C21" i="40"/>
  <c r="B76" i="43"/>
  <c r="B67" i="43"/>
  <c r="B56" i="43"/>
  <c r="B99" i="43"/>
  <c r="C27" i="39"/>
  <c r="S10" i="21"/>
  <c r="U11" i="21"/>
  <c r="W12" i="21"/>
  <c r="S14" i="21"/>
  <c r="S15" i="21"/>
  <c r="S17" i="21"/>
  <c r="S19" i="21"/>
  <c r="S21" i="21"/>
  <c r="S23" i="21"/>
  <c r="U25" i="21"/>
  <c r="W26" i="21"/>
  <c r="S28" i="21"/>
  <c r="S32" i="21"/>
  <c r="U33" i="21"/>
  <c r="W34" i="21"/>
  <c r="S36" i="21"/>
  <c r="U37" i="21"/>
  <c r="W38" i="21"/>
  <c r="S40" i="21"/>
  <c r="U41" i="21"/>
  <c r="W42" i="21"/>
  <c r="S44" i="21"/>
  <c r="S10" i="33"/>
  <c r="U11" i="33"/>
  <c r="W12" i="33"/>
  <c r="S14" i="33"/>
  <c r="S15" i="33"/>
  <c r="S17" i="33"/>
  <c r="S19" i="33"/>
  <c r="S21" i="33"/>
  <c r="S23" i="33"/>
  <c r="U25" i="33"/>
  <c r="S32" i="33"/>
  <c r="U33" i="33"/>
  <c r="W34" i="33"/>
  <c r="S36" i="33"/>
  <c r="U37" i="33"/>
  <c r="W38" i="33"/>
  <c r="S40" i="33"/>
  <c r="U41" i="33"/>
  <c r="W42" i="33"/>
  <c r="W9" i="34"/>
  <c r="S11" i="34"/>
  <c r="U12" i="34"/>
  <c r="W13" i="34"/>
  <c r="S25" i="34"/>
  <c r="U27" i="34"/>
  <c r="W28" i="34"/>
  <c r="S30" i="34"/>
  <c r="AA39" i="34"/>
  <c r="S39" i="34"/>
  <c r="S32" i="37"/>
  <c r="W10" i="35"/>
  <c r="AC10" i="35"/>
  <c r="S20" i="35"/>
  <c r="W27" i="35"/>
  <c r="AC27" i="35"/>
  <c r="U13" i="36"/>
  <c r="AB13" i="36"/>
  <c r="U20" i="36"/>
  <c r="AB20" i="36"/>
  <c r="W14" i="39"/>
  <c r="AC14" i="39"/>
  <c r="W17" i="39"/>
  <c r="AC17" i="39"/>
  <c r="W29" i="39"/>
  <c r="AC29" i="39"/>
  <c r="W31" i="39"/>
  <c r="AC31" i="39"/>
  <c r="AB32" i="39"/>
  <c r="U32" i="39"/>
  <c r="AB36" i="37"/>
  <c r="AC37" i="37"/>
  <c r="U39" i="37"/>
  <c r="J40" i="37"/>
  <c r="AA25" i="37"/>
  <c r="S25" i="37"/>
  <c r="AC39" i="37"/>
  <c r="W39" i="37"/>
  <c r="U13" i="35"/>
  <c r="S14" i="35"/>
  <c r="U20" i="35"/>
  <c r="W22" i="35"/>
  <c r="AC23" i="35"/>
  <c r="S29" i="35"/>
  <c r="U30" i="35"/>
  <c r="W31" i="35"/>
  <c r="U35" i="35"/>
  <c r="J12" i="35"/>
  <c r="H12" i="35"/>
  <c r="AC10" i="36"/>
  <c r="F12" i="36"/>
  <c r="U12" i="36"/>
  <c r="W14" i="36"/>
  <c r="U16" i="36"/>
  <c r="AC22" i="36"/>
  <c r="F24" i="36"/>
  <c r="U24" i="36"/>
  <c r="AC26" i="36"/>
  <c r="S28" i="36"/>
  <c r="U29" i="36"/>
  <c r="W11" i="39"/>
  <c r="W21" i="39"/>
  <c r="AC21" i="39"/>
  <c r="S34" i="39"/>
  <c r="W40" i="39"/>
  <c r="AC40" i="39"/>
  <c r="U41" i="39"/>
  <c r="F35" i="39"/>
  <c r="J35" i="39"/>
  <c r="H35" i="39"/>
  <c r="J45" i="39"/>
  <c r="F45" i="39"/>
  <c r="S17" i="40"/>
  <c r="F31" i="40"/>
  <c r="J31" i="40"/>
  <c r="H31" i="40"/>
  <c r="AB26" i="37"/>
  <c r="U26" i="37"/>
  <c r="AA40" i="37"/>
  <c r="S40" i="37"/>
  <c r="U8" i="35"/>
  <c r="AB8" i="35"/>
  <c r="AA23" i="35"/>
  <c r="S23" i="35"/>
  <c r="AA36" i="35"/>
  <c r="S36" i="35"/>
  <c r="AC12" i="36"/>
  <c r="W12" i="36"/>
  <c r="AC24" i="36"/>
  <c r="W24" i="36"/>
  <c r="S21" i="40"/>
  <c r="S25" i="40"/>
  <c r="S33" i="34"/>
  <c r="U34" i="34"/>
  <c r="W35" i="34"/>
  <c r="S37" i="34"/>
  <c r="U38" i="34"/>
  <c r="AA47" i="34"/>
  <c r="S47" i="34"/>
  <c r="J25" i="37"/>
  <c r="J26" i="37"/>
  <c r="J24" i="35"/>
  <c r="H24" i="35"/>
  <c r="W8" i="36"/>
  <c r="AC8" i="36"/>
  <c r="AA13" i="36"/>
  <c r="S13" i="36"/>
  <c r="AA25" i="36"/>
  <c r="S25" i="36"/>
  <c r="H34" i="36"/>
  <c r="F34" i="36"/>
  <c r="S12" i="39"/>
  <c r="W25" i="39"/>
  <c r="AC25" i="39"/>
  <c r="S42" i="39"/>
  <c r="U45" i="39"/>
  <c r="AB45" i="39"/>
  <c r="S28" i="40"/>
  <c r="U40" i="34"/>
  <c r="W41" i="34"/>
  <c r="S43" i="34"/>
  <c r="U44" i="34"/>
  <c r="W9" i="37"/>
  <c r="S11" i="37"/>
  <c r="W13" i="37"/>
  <c r="W27" i="37"/>
  <c r="S29" i="37"/>
  <c r="U30" i="37"/>
  <c r="W31" i="37"/>
  <c r="S33" i="37"/>
  <c r="U34" i="37"/>
  <c r="W35" i="37"/>
  <c r="S37" i="37"/>
  <c r="U38" i="37"/>
  <c r="W9" i="35"/>
  <c r="W13" i="35"/>
  <c r="W14" i="35"/>
  <c r="W16" i="35"/>
  <c r="W18" i="35"/>
  <c r="W20" i="35"/>
  <c r="J26" i="35"/>
  <c r="S28" i="35"/>
  <c r="U29" i="35"/>
  <c r="W30" i="35"/>
  <c r="S32" i="35"/>
  <c r="U33" i="35"/>
  <c r="S10" i="36"/>
  <c r="U11" i="36"/>
  <c r="S22" i="36"/>
  <c r="U23" i="36"/>
  <c r="S26" i="36"/>
  <c r="U27" i="36"/>
  <c r="W28" i="36"/>
  <c r="S30" i="36"/>
  <c r="U31" i="36"/>
  <c r="W32" i="36"/>
  <c r="S9" i="39"/>
  <c r="AB14" i="39"/>
  <c r="AB17" i="39"/>
  <c r="AB21" i="39"/>
  <c r="AB25" i="39"/>
  <c r="AB29" i="39"/>
  <c r="AA31" i="39"/>
  <c r="AC36" i="39"/>
  <c r="AC39" i="39"/>
  <c r="AB43" i="39"/>
  <c r="AA44" i="39"/>
  <c r="AB36" i="39"/>
  <c r="U36" i="39"/>
  <c r="AC9" i="40"/>
  <c r="F14" i="40"/>
  <c r="AC32" i="40"/>
  <c r="AB33" i="40"/>
  <c r="AC36" i="40"/>
  <c r="AC39" i="40"/>
  <c r="AC40" i="40"/>
  <c r="AA12" i="40"/>
  <c r="S12" i="40"/>
  <c r="U37" i="37"/>
  <c r="W38" i="37"/>
  <c r="S10" i="35"/>
  <c r="S22" i="35"/>
  <c r="U23" i="35"/>
  <c r="S27" i="35"/>
  <c r="U28" i="35"/>
  <c r="W29" i="35"/>
  <c r="S31" i="35"/>
  <c r="U32" i="35"/>
  <c r="W33" i="35"/>
  <c r="S35" i="35"/>
  <c r="U36" i="35"/>
  <c r="S9" i="36"/>
  <c r="U10" i="36"/>
  <c r="W11" i="36"/>
  <c r="S14" i="36"/>
  <c r="S16" i="36"/>
  <c r="S18" i="36"/>
  <c r="S20" i="36"/>
  <c r="U22" i="36"/>
  <c r="W23" i="36"/>
  <c r="U26" i="36"/>
  <c r="W27" i="36"/>
  <c r="S29" i="36"/>
  <c r="U30" i="36"/>
  <c r="W31" i="36"/>
  <c r="S33" i="36"/>
  <c r="U9" i="39"/>
  <c r="S11" i="39"/>
  <c r="AC13" i="39"/>
  <c r="AA32" i="39"/>
  <c r="F36" i="39"/>
  <c r="AB37" i="39"/>
  <c r="AA38" i="39"/>
  <c r="AA41" i="39"/>
  <c r="AA14" i="39"/>
  <c r="S14" i="39"/>
  <c r="AA11" i="40"/>
  <c r="H14" i="40"/>
  <c r="AB15" i="40"/>
  <c r="AB19" i="40"/>
  <c r="AB23" i="40"/>
  <c r="AC27" i="40"/>
  <c r="AA30" i="40"/>
  <c r="AB34" i="40"/>
  <c r="AB37" i="40"/>
  <c r="AA38" i="40"/>
  <c r="F40" i="40"/>
  <c r="AB13" i="40"/>
  <c r="U13" i="40"/>
  <c r="AC33" i="40"/>
  <c r="W33" i="40"/>
  <c r="AB31" i="39"/>
  <c r="U31" i="39"/>
  <c r="AB44" i="39"/>
  <c r="U44" i="39"/>
  <c r="AC14" i="40"/>
  <c r="W14" i="40"/>
  <c r="AB40" i="40"/>
  <c r="U40" i="40"/>
  <c r="W12" i="39"/>
  <c r="S15" i="39"/>
  <c r="S17" i="39"/>
  <c r="S19" i="39"/>
  <c r="S21" i="39"/>
  <c r="S23" i="39"/>
  <c r="S25" i="39"/>
  <c r="S27" i="39"/>
  <c r="S29" i="39"/>
  <c r="W32" i="39"/>
  <c r="W37" i="39"/>
  <c r="S39" i="39"/>
  <c r="U40" i="39"/>
  <c r="W41" i="39"/>
  <c r="S43" i="39"/>
  <c r="S9" i="40"/>
  <c r="W15" i="40"/>
  <c r="W17" i="40"/>
  <c r="W19" i="40"/>
  <c r="W21" i="40"/>
  <c r="W23" i="40"/>
  <c r="W25" i="40"/>
  <c r="U32" i="40"/>
  <c r="S35" i="40"/>
  <c r="U36" i="40"/>
  <c r="W37" i="40"/>
  <c r="S39" i="40"/>
  <c r="H80" i="43"/>
  <c r="H74" i="43"/>
  <c r="H78" i="43"/>
  <c r="H75" i="43"/>
  <c r="H79" i="43"/>
  <c r="H76" i="43"/>
  <c r="H72" i="43"/>
  <c r="H73" i="43"/>
  <c r="T8" i="79"/>
  <c r="W8" i="79" s="1"/>
  <c r="P8" i="79"/>
  <c r="T5" i="79"/>
  <c r="T3" i="79"/>
  <c r="W3" i="79" s="1"/>
  <c r="T12" i="79"/>
  <c r="W12" i="79" s="1"/>
  <c r="P12" i="79"/>
  <c r="V14" i="79"/>
  <c r="V12" i="79"/>
  <c r="P29" i="79"/>
  <c r="T29" i="79"/>
  <c r="W29" i="79" s="1"/>
  <c r="U32" i="79"/>
  <c r="U30" i="79"/>
  <c r="AB33" i="71"/>
  <c r="F34" i="71"/>
  <c r="F35" i="71" s="1"/>
  <c r="F36" i="71" s="1"/>
  <c r="V36" i="71" s="1"/>
  <c r="AB27" i="71"/>
  <c r="C55" i="71"/>
  <c r="D54" i="71"/>
  <c r="S4" i="43"/>
  <c r="C6" i="43"/>
  <c r="E11" i="43"/>
  <c r="E10" i="43"/>
  <c r="C7" i="43" s="1"/>
  <c r="D21" i="43"/>
  <c r="M21" i="43"/>
  <c r="H51" i="43"/>
  <c r="H85" i="43"/>
  <c r="H89" i="43"/>
  <c r="H86" i="43"/>
  <c r="H90" i="43"/>
  <c r="H87" i="43"/>
  <c r="H83" i="43"/>
  <c r="H84" i="43"/>
  <c r="E83" i="43"/>
  <c r="B81" i="43" s="1"/>
  <c r="V6" i="79"/>
  <c r="Z3" i="79"/>
  <c r="U7" i="79"/>
  <c r="U6" i="79"/>
  <c r="U11" i="79"/>
  <c r="U10" i="79"/>
  <c r="U9" i="79"/>
  <c r="T13" i="79"/>
  <c r="W13" i="79" s="1"/>
  <c r="V13" i="79"/>
  <c r="U17" i="79"/>
  <c r="U15" i="79"/>
  <c r="T28" i="79"/>
  <c r="W28" i="79" s="1"/>
  <c r="X9" i="71"/>
  <c r="X12" i="71"/>
  <c r="X17" i="71"/>
  <c r="AB24" i="71"/>
  <c r="Y24" i="71"/>
  <c r="Z24" i="71" s="1"/>
  <c r="Y25" i="71"/>
  <c r="Z25" i="71" s="1"/>
  <c r="Y22" i="71"/>
  <c r="Z22" i="71" s="1"/>
  <c r="Y19" i="71"/>
  <c r="Z19" i="71" s="1"/>
  <c r="X28" i="71"/>
  <c r="X24" i="71"/>
  <c r="X31" i="71"/>
  <c r="H69" i="43"/>
  <c r="H63" i="43"/>
  <c r="H66" i="43"/>
  <c r="H67" i="43"/>
  <c r="R7" i="79"/>
  <c r="V9" i="79"/>
  <c r="R10" i="79"/>
  <c r="R9" i="79"/>
  <c r="R6" i="79"/>
  <c r="V10" i="79"/>
  <c r="V8" i="79"/>
  <c r="R11" i="79"/>
  <c r="T16" i="79"/>
  <c r="W16" i="79" s="1"/>
  <c r="P16" i="79"/>
  <c r="T14" i="79"/>
  <c r="W14" i="79" s="1"/>
  <c r="U28" i="79"/>
  <c r="N26" i="79"/>
  <c r="U26" i="79"/>
  <c r="X15" i="71"/>
  <c r="Y17" i="71"/>
  <c r="Z17" i="71" s="1"/>
  <c r="Y15" i="71"/>
  <c r="Z15" i="71" s="1"/>
  <c r="Y12" i="71"/>
  <c r="Z12" i="71" s="1"/>
  <c r="Y14" i="71"/>
  <c r="Z14" i="71" s="1"/>
  <c r="AB28" i="71"/>
  <c r="AA29" i="71"/>
  <c r="AA26" i="71"/>
  <c r="E30" i="71"/>
  <c r="E31" i="71" s="1"/>
  <c r="E32" i="71" s="1"/>
  <c r="U32" i="71" s="1"/>
  <c r="O21" i="43"/>
  <c r="K21" i="43"/>
  <c r="X7" i="43"/>
  <c r="S6" i="43"/>
  <c r="S5" i="43"/>
  <c r="S3" i="43"/>
  <c r="H116" i="43"/>
  <c r="F42" i="43"/>
  <c r="F40" i="43"/>
  <c r="F38" i="43"/>
  <c r="N21" i="43"/>
  <c r="J21" i="43"/>
  <c r="E21" i="43"/>
  <c r="S2" i="43"/>
  <c r="I21" i="43"/>
  <c r="G21" i="43" s="1"/>
  <c r="C20" i="43" s="1"/>
  <c r="C27" i="43"/>
  <c r="F37" i="43"/>
  <c r="H58" i="43"/>
  <c r="H52" i="43"/>
  <c r="H55" i="43"/>
  <c r="H56" i="43"/>
  <c r="H61" i="43"/>
  <c r="E61" i="43"/>
  <c r="B59" i="43" s="1"/>
  <c r="H68" i="43"/>
  <c r="H77" i="43"/>
  <c r="S3" i="79"/>
  <c r="R3" i="79"/>
  <c r="R5" i="79"/>
  <c r="K3" i="79"/>
  <c r="V5" i="79"/>
  <c r="V3" i="79"/>
  <c r="O3" i="79"/>
  <c r="M3" i="79"/>
  <c r="P3" i="79" s="1"/>
  <c r="T6" i="79"/>
  <c r="W6" i="79" s="1"/>
  <c r="R8" i="79"/>
  <c r="S9" i="79"/>
  <c r="S8" i="79"/>
  <c r="R12" i="79"/>
  <c r="R13" i="79"/>
  <c r="S15" i="79"/>
  <c r="S12" i="79"/>
  <c r="U16" i="79"/>
  <c r="R18" i="79"/>
  <c r="R15" i="79"/>
  <c r="V18" i="79"/>
  <c r="V16" i="79"/>
  <c r="S29" i="79"/>
  <c r="X16" i="71"/>
  <c r="AA22" i="71"/>
  <c r="B20" i="71"/>
  <c r="X23" i="71"/>
  <c r="AA28" i="71"/>
  <c r="H94" i="43"/>
  <c r="H97" i="43"/>
  <c r="H100" i="43"/>
  <c r="U29" i="79"/>
  <c r="P33" i="79"/>
  <c r="T33" i="79"/>
  <c r="W33" i="79" s="1"/>
  <c r="X3" i="71"/>
  <c r="AA10" i="71"/>
  <c r="Y11" i="71"/>
  <c r="Z11" i="71" s="1"/>
  <c r="X14" i="71"/>
  <c r="AB15" i="71"/>
  <c r="AB16" i="71"/>
  <c r="AB13" i="71"/>
  <c r="AA18" i="71"/>
  <c r="V20" i="71"/>
  <c r="E19" i="71"/>
  <c r="E18" i="71" s="1"/>
  <c r="E17" i="71" s="1"/>
  <c r="E16" i="71" s="1"/>
  <c r="Y23" i="71"/>
  <c r="Z23" i="71" s="1"/>
  <c r="AB21" i="71"/>
  <c r="AA25" i="71"/>
  <c r="AA24" i="71"/>
  <c r="AA20" i="71"/>
  <c r="AA16" i="71"/>
  <c r="AA12" i="71"/>
  <c r="AB29" i="71"/>
  <c r="AB32" i="71"/>
  <c r="C36" i="71"/>
  <c r="D35" i="71"/>
  <c r="C43" i="71"/>
  <c r="D42" i="71"/>
  <c r="C59" i="71"/>
  <c r="D58" i="71"/>
  <c r="D36" i="83"/>
  <c r="O13" i="3"/>
  <c r="E35" i="83"/>
  <c r="G35" i="83" s="1"/>
  <c r="N76" i="83"/>
  <c r="M12" i="43"/>
  <c r="P32" i="43"/>
  <c r="H93" i="43"/>
  <c r="H96" i="43"/>
  <c r="H99" i="43"/>
  <c r="L3" i="79"/>
  <c r="U3" i="79"/>
  <c r="P7" i="79"/>
  <c r="P11" i="79"/>
  <c r="P13" i="79"/>
  <c r="P17" i="79"/>
  <c r="S28" i="79"/>
  <c r="AD29" i="79"/>
  <c r="S32" i="79"/>
  <c r="T32" i="79"/>
  <c r="W32" i="79" s="1"/>
  <c r="U33" i="79"/>
  <c r="U36" i="79"/>
  <c r="P37" i="79"/>
  <c r="T37" i="79"/>
  <c r="W37" i="79" s="1"/>
  <c r="P41" i="79"/>
  <c r="T41" i="79"/>
  <c r="W41" i="79" s="1"/>
  <c r="AA11" i="71"/>
  <c r="AA19" i="71"/>
  <c r="X22" i="71"/>
  <c r="D23" i="71"/>
  <c r="C22" i="71"/>
  <c r="AA23" i="71"/>
  <c r="M32" i="43"/>
  <c r="T26" i="79"/>
  <c r="W26" i="79" s="1"/>
  <c r="M26" i="79"/>
  <c r="P26" i="79" s="1"/>
  <c r="P28" i="79"/>
  <c r="S26" i="79"/>
  <c r="L26" i="79"/>
  <c r="S31" i="79"/>
  <c r="T31" i="79"/>
  <c r="W31" i="79" s="1"/>
  <c r="T34" i="79"/>
  <c r="W34" i="79" s="1"/>
  <c r="AD36" i="79"/>
  <c r="T38" i="79"/>
  <c r="W38" i="79" s="1"/>
  <c r="AD40" i="79"/>
  <c r="AA3" i="71"/>
  <c r="X10" i="71"/>
  <c r="AB11" i="71"/>
  <c r="AB12" i="71"/>
  <c r="AB9" i="71"/>
  <c r="AA14" i="71"/>
  <c r="X18" i="71"/>
  <c r="AB19" i="71"/>
  <c r="AB20" i="71"/>
  <c r="AB17" i="71"/>
  <c r="AB23" i="71"/>
  <c r="X25" i="71"/>
  <c r="Y28" i="71"/>
  <c r="Z28" i="71" s="1"/>
  <c r="C28" i="71"/>
  <c r="B32" i="71"/>
  <c r="S32" i="71" s="1"/>
  <c r="AB31" i="71"/>
  <c r="AB25" i="71"/>
  <c r="Y3" i="71"/>
  <c r="Z3" i="71" s="1"/>
  <c r="AA9" i="71"/>
  <c r="AA13" i="71"/>
  <c r="Y16" i="71"/>
  <c r="Z16" i="71" s="1"/>
  <c r="AA17" i="71"/>
  <c r="Y20" i="71"/>
  <c r="Z20" i="71" s="1"/>
  <c r="AA21" i="71"/>
  <c r="AB26" i="71"/>
  <c r="X29" i="71"/>
  <c r="AB30" i="71"/>
  <c r="X33" i="71"/>
  <c r="AA35" i="71"/>
  <c r="AA32" i="71"/>
  <c r="E36" i="71"/>
  <c r="U36" i="71" s="1"/>
  <c r="AA37" i="71"/>
  <c r="E38" i="71"/>
  <c r="E39" i="71" s="1"/>
  <c r="E40" i="71" s="1"/>
  <c r="U40" i="71" s="1"/>
  <c r="AB10" i="71"/>
  <c r="AB14" i="71"/>
  <c r="AB18" i="71"/>
  <c r="AB22" i="71"/>
  <c r="D24" i="71"/>
  <c r="U24" i="71" s="1"/>
  <c r="X26" i="71"/>
  <c r="X30" i="71"/>
  <c r="C31" i="71"/>
  <c r="AA34" i="71"/>
  <c r="C63" i="71"/>
  <c r="D62" i="71"/>
  <c r="E33" i="83"/>
  <c r="G33" i="83" s="1"/>
  <c r="AN13" i="3"/>
  <c r="AA31" i="71"/>
  <c r="AA33" i="71"/>
  <c r="C47" i="71"/>
  <c r="D47" i="71" s="1"/>
  <c r="D46" i="71"/>
  <c r="C51" i="71"/>
  <c r="D50" i="71"/>
  <c r="C14" i="83"/>
  <c r="AT13" i="3"/>
  <c r="AT5" i="3" s="1"/>
  <c r="I13" i="3"/>
  <c r="E30" i="83"/>
  <c r="D67" i="71"/>
  <c r="N68" i="71"/>
  <c r="C73" i="83"/>
  <c r="F73" i="83" s="1"/>
  <c r="N73" i="83" s="1"/>
  <c r="C39" i="71"/>
  <c r="B66" i="71"/>
  <c r="F66" i="71"/>
  <c r="E67" i="71"/>
  <c r="D68" i="71"/>
  <c r="O68" i="71"/>
  <c r="E71" i="71"/>
  <c r="E70" i="71" s="1"/>
  <c r="D72" i="71"/>
  <c r="E75" i="71"/>
  <c r="E74" i="71" s="1"/>
  <c r="D76" i="71"/>
  <c r="E79" i="71"/>
  <c r="E78" i="71" s="1"/>
  <c r="L1" i="73"/>
  <c r="P68" i="71"/>
  <c r="D66" i="71"/>
  <c r="Q68" i="71"/>
  <c r="C31" i="83"/>
  <c r="E31" i="83" s="1"/>
  <c r="G1" i="73"/>
  <c r="F7" i="15"/>
  <c r="M29" i="15"/>
  <c r="F43" i="15"/>
  <c r="BQ13" i="3" l="1"/>
  <c r="BQ5" i="3" s="1"/>
  <c r="F28" i="6" s="1"/>
  <c r="F30" i="6" s="1"/>
  <c r="AL5" i="3"/>
  <c r="B12" i="83"/>
  <c r="N31" i="83"/>
  <c r="A3" i="3" s="1"/>
  <c r="AY3" i="3" s="1"/>
  <c r="D119" i="43"/>
  <c r="E119" i="43" s="1"/>
  <c r="F119" i="43" s="1"/>
  <c r="G119" i="43" s="1"/>
  <c r="H119" i="43" s="1"/>
  <c r="D122" i="43"/>
  <c r="E122" i="43" s="1"/>
  <c r="F122" i="43" s="1"/>
  <c r="G122" i="43" s="1"/>
  <c r="H122" i="43" s="1"/>
  <c r="D121" i="43"/>
  <c r="E121" i="43" s="1"/>
  <c r="F121" i="43" s="1"/>
  <c r="B119" i="43"/>
  <c r="C119" i="43" s="1"/>
  <c r="I122" i="43"/>
  <c r="J122" i="43" s="1"/>
  <c r="K122" i="43" s="1"/>
  <c r="L122" i="43" s="1"/>
  <c r="M122" i="43" s="1"/>
  <c r="G121" i="43"/>
  <c r="H121" i="43" s="1"/>
  <c r="B122" i="43"/>
  <c r="C122" i="43" s="1"/>
  <c r="I121" i="43"/>
  <c r="J121" i="43" s="1"/>
  <c r="K121" i="43" s="1"/>
  <c r="L121" i="43" s="1"/>
  <c r="M121" i="43" s="1"/>
  <c r="B118" i="43"/>
  <c r="C118" i="43" s="1"/>
  <c r="D120" i="43"/>
  <c r="E120" i="43" s="1"/>
  <c r="F120" i="43" s="1"/>
  <c r="G120" i="43" s="1"/>
  <c r="H120" i="43" s="1"/>
  <c r="I120" i="43"/>
  <c r="J120" i="43" s="1"/>
  <c r="K120" i="43" s="1"/>
  <c r="L120" i="43" s="1"/>
  <c r="M120" i="43" s="1"/>
  <c r="I118" i="43"/>
  <c r="J118" i="43" s="1"/>
  <c r="K118" i="43" s="1"/>
  <c r="L118" i="43" s="1"/>
  <c r="M118" i="43" s="1"/>
  <c r="I119" i="43"/>
  <c r="J119" i="43" s="1"/>
  <c r="K119" i="43" s="1"/>
  <c r="L119" i="43" s="1"/>
  <c r="M119" i="43" s="1"/>
  <c r="J7" i="35"/>
  <c r="W7" i="35" s="1"/>
  <c r="H67" i="39"/>
  <c r="G69" i="39"/>
  <c r="J65" i="40"/>
  <c r="K63" i="40"/>
  <c r="F7" i="35"/>
  <c r="C15" i="12"/>
  <c r="M7" i="15"/>
  <c r="J6" i="15" s="1"/>
  <c r="F50" i="15"/>
  <c r="C49" i="15" s="1"/>
  <c r="C6" i="15"/>
  <c r="F71" i="15"/>
  <c r="B40" i="1"/>
  <c r="B19" i="71"/>
  <c r="B18" i="71" s="1"/>
  <c r="B17" i="71" s="1"/>
  <c r="B16" i="71" s="1"/>
  <c r="S20" i="71"/>
  <c r="S40" i="40"/>
  <c r="AA40" i="40"/>
  <c r="S36" i="39"/>
  <c r="AA36" i="39"/>
  <c r="AA14" i="40"/>
  <c r="S14" i="40"/>
  <c r="AA34" i="36"/>
  <c r="S34" i="36"/>
  <c r="AB24" i="35"/>
  <c r="U24" i="35"/>
  <c r="W31" i="40"/>
  <c r="AC31" i="40"/>
  <c r="AC45" i="39"/>
  <c r="W45" i="39"/>
  <c r="AA12" i="36"/>
  <c r="S12" i="36"/>
  <c r="AB26" i="33"/>
  <c r="U26" i="33"/>
  <c r="AA13" i="21"/>
  <c r="S13" i="21"/>
  <c r="AC45" i="34"/>
  <c r="W45" i="34"/>
  <c r="AC44" i="33"/>
  <c r="W44" i="33"/>
  <c r="AB13" i="33"/>
  <c r="U13" i="33"/>
  <c r="AB29" i="21"/>
  <c r="U29" i="21"/>
  <c r="AZ145" i="3"/>
  <c r="AZ129" i="3"/>
  <c r="AZ113" i="3"/>
  <c r="AZ97" i="3"/>
  <c r="AZ81" i="3"/>
  <c r="AZ65" i="3"/>
  <c r="AZ49" i="3"/>
  <c r="AZ33" i="3"/>
  <c r="AZ17" i="3"/>
  <c r="AC7" i="35"/>
  <c r="V38" i="35" s="1"/>
  <c r="I38" i="35" s="1"/>
  <c r="AA7" i="34"/>
  <c r="R49" i="34" s="1"/>
  <c r="S7" i="34"/>
  <c r="W7" i="34"/>
  <c r="AC7" i="34"/>
  <c r="V49" i="34" s="1"/>
  <c r="I49" i="34" s="1"/>
  <c r="U34" i="35"/>
  <c r="AB34" i="35"/>
  <c r="AB11" i="35"/>
  <c r="U11" i="35"/>
  <c r="AA30" i="33"/>
  <c r="S30" i="33"/>
  <c r="AB29" i="34"/>
  <c r="U29" i="34"/>
  <c r="AC45" i="21"/>
  <c r="W45" i="21"/>
  <c r="AB13" i="21"/>
  <c r="U13" i="21"/>
  <c r="AR12" i="1"/>
  <c r="T12" i="1"/>
  <c r="AQ12" i="1"/>
  <c r="D39" i="71"/>
  <c r="C40" i="71"/>
  <c r="BR13" i="3"/>
  <c r="AC13" i="3"/>
  <c r="AC5" i="3" s="1"/>
  <c r="AN5" i="3"/>
  <c r="D28" i="71"/>
  <c r="U28" i="71" s="1"/>
  <c r="T28" i="71"/>
  <c r="C27" i="71"/>
  <c r="G21" i="6"/>
  <c r="BE13" i="3"/>
  <c r="BE5" i="3" s="1"/>
  <c r="O5" i="3"/>
  <c r="C56" i="71"/>
  <c r="D55" i="71"/>
  <c r="U14" i="40"/>
  <c r="AB14" i="40"/>
  <c r="AB34" i="36"/>
  <c r="U34" i="36"/>
  <c r="AC24" i="35"/>
  <c r="W24" i="35"/>
  <c r="AA31" i="40"/>
  <c r="S31" i="40"/>
  <c r="U35" i="39"/>
  <c r="AB35" i="39"/>
  <c r="AC40" i="37"/>
  <c r="W40" i="37"/>
  <c r="S25" i="35"/>
  <c r="AA25" i="35"/>
  <c r="D126" i="9"/>
  <c r="D19" i="53"/>
  <c r="AC34" i="35"/>
  <c r="W34" i="35"/>
  <c r="AA46" i="33"/>
  <c r="S46" i="33"/>
  <c r="AC29" i="34"/>
  <c r="W29" i="34"/>
  <c r="AC26" i="33"/>
  <c r="W26" i="33"/>
  <c r="C40" i="77"/>
  <c r="AC13" i="21"/>
  <c r="W13" i="21"/>
  <c r="AA44" i="33"/>
  <c r="S44" i="33"/>
  <c r="AC13" i="33"/>
  <c r="W13" i="33"/>
  <c r="AA45" i="21"/>
  <c r="S45" i="21"/>
  <c r="AR10" i="1"/>
  <c r="T10" i="1"/>
  <c r="AQ10" i="1"/>
  <c r="J7" i="36"/>
  <c r="H7" i="35"/>
  <c r="J7" i="37"/>
  <c r="F58" i="21"/>
  <c r="AA7" i="33"/>
  <c r="R48" i="33" s="1"/>
  <c r="S7" i="33"/>
  <c r="C5" i="43"/>
  <c r="D5" i="43"/>
  <c r="W5" i="79"/>
  <c r="C23" i="43"/>
  <c r="AB28" i="33"/>
  <c r="U28" i="33"/>
  <c r="E38" i="77"/>
  <c r="E39" i="77" s="1"/>
  <c r="E29" i="77"/>
  <c r="E26" i="77"/>
  <c r="E32" i="77" s="1"/>
  <c r="M9" i="1"/>
  <c r="AB44" i="33"/>
  <c r="U44" i="33"/>
  <c r="AC29" i="21"/>
  <c r="W29" i="21"/>
  <c r="S45" i="34"/>
  <c r="AA45" i="34"/>
  <c r="AC28" i="33"/>
  <c r="W28" i="33"/>
  <c r="AB45" i="21"/>
  <c r="U45" i="21"/>
  <c r="S7" i="35"/>
  <c r="AA7" i="35"/>
  <c r="R38" i="35" s="1"/>
  <c r="G29" i="6"/>
  <c r="E29" i="6" s="1"/>
  <c r="K15" i="1" s="1"/>
  <c r="F7" i="37"/>
  <c r="F7" i="36"/>
  <c r="AB7" i="34"/>
  <c r="T49" i="34" s="1"/>
  <c r="G49" i="34" s="1"/>
  <c r="U7" i="34"/>
  <c r="Q61" i="15"/>
  <c r="Q74" i="15"/>
  <c r="N66" i="71"/>
  <c r="N65" i="71"/>
  <c r="F19" i="6"/>
  <c r="E19" i="6" s="1"/>
  <c r="I5" i="3"/>
  <c r="BB13" i="3"/>
  <c r="H13" i="3"/>
  <c r="C52" i="71"/>
  <c r="D51" i="71"/>
  <c r="C64" i="71"/>
  <c r="D63" i="71"/>
  <c r="D22" i="71"/>
  <c r="C21" i="71"/>
  <c r="C60" i="71"/>
  <c r="D59" i="71"/>
  <c r="D36" i="71"/>
  <c r="T36" i="71"/>
  <c r="P67" i="71"/>
  <c r="E66" i="71"/>
  <c r="C36" i="83"/>
  <c r="C32" i="71"/>
  <c r="D31" i="71"/>
  <c r="C44" i="71"/>
  <c r="D43" i="71"/>
  <c r="V16" i="71"/>
  <c r="E15" i="71"/>
  <c r="E14" i="71" s="1"/>
  <c r="E13" i="71" s="1"/>
  <c r="E12" i="71" s="1"/>
  <c r="AC26" i="35"/>
  <c r="W26" i="35"/>
  <c r="AC26" i="37"/>
  <c r="W26" i="37"/>
  <c r="W35" i="39"/>
  <c r="AC35" i="39"/>
  <c r="AB12" i="35"/>
  <c r="U12" i="35"/>
  <c r="AC25" i="35"/>
  <c r="W25" i="35"/>
  <c r="AC11" i="35"/>
  <c r="W11" i="35"/>
  <c r="Q66" i="71"/>
  <c r="Q65" i="71"/>
  <c r="D38" i="83"/>
  <c r="D40" i="83" s="1"/>
  <c r="P73" i="83"/>
  <c r="AC25" i="37"/>
  <c r="W25" i="37"/>
  <c r="AB31" i="40"/>
  <c r="U31" i="40"/>
  <c r="S45" i="39"/>
  <c r="AA45" i="39"/>
  <c r="AA35" i="39"/>
  <c r="S35" i="39"/>
  <c r="AA24" i="36"/>
  <c r="S24" i="36"/>
  <c r="AC12" i="35"/>
  <c r="W12" i="35"/>
  <c r="AQ13" i="1"/>
  <c r="AR13" i="1"/>
  <c r="T13" i="1"/>
  <c r="AA34" i="35"/>
  <c r="S34" i="35"/>
  <c r="AA11" i="35"/>
  <c r="S11" i="35"/>
  <c r="AA26" i="33"/>
  <c r="S26" i="33"/>
  <c r="AB45" i="34"/>
  <c r="U45" i="34"/>
  <c r="AA28" i="33"/>
  <c r="S28" i="33"/>
  <c r="AA29" i="21"/>
  <c r="S29" i="21"/>
  <c r="H7" i="37"/>
  <c r="W7" i="33"/>
  <c r="AC7" i="33"/>
  <c r="V48" i="33" s="1"/>
  <c r="I48" i="33" s="1"/>
  <c r="AB7" i="33"/>
  <c r="T48" i="33" s="1"/>
  <c r="G48" i="33" s="1"/>
  <c r="U7" i="33"/>
  <c r="H7" i="36"/>
  <c r="C35" i="9"/>
  <c r="C34" i="9" s="1"/>
  <c r="Q52" i="15"/>
  <c r="F1" i="15"/>
  <c r="Q73" i="15"/>
  <c r="Q60" i="15"/>
  <c r="F3" i="73"/>
  <c r="M23" i="67"/>
  <c r="F35" i="67"/>
  <c r="F7" i="73"/>
  <c r="M22" i="67"/>
  <c r="M6" i="67"/>
  <c r="M28" i="67"/>
  <c r="F40" i="67"/>
  <c r="M27" i="67"/>
  <c r="F6" i="73"/>
  <c r="M29" i="67"/>
  <c r="F6" i="67"/>
  <c r="M9" i="67"/>
  <c r="F43" i="67"/>
  <c r="F8" i="67"/>
  <c r="C16" i="15"/>
  <c r="F4" i="73"/>
  <c r="F36" i="67"/>
  <c r="C17" i="15"/>
  <c r="C14" i="15"/>
  <c r="F9" i="67"/>
  <c r="M26" i="67"/>
  <c r="F13" i="67"/>
  <c r="F42" i="67"/>
  <c r="M21" i="67"/>
  <c r="F37" i="67"/>
  <c r="F41" i="67"/>
  <c r="J15" i="67"/>
  <c r="L47" i="67"/>
  <c r="F38" i="67"/>
  <c r="F5" i="73"/>
  <c r="F26" i="67"/>
  <c r="F7" i="67"/>
  <c r="L48" i="67"/>
  <c r="C76" i="67"/>
  <c r="F16" i="67"/>
  <c r="M8" i="67"/>
  <c r="M24" i="67"/>
  <c r="B27" i="83" l="1"/>
  <c r="B13" i="83"/>
  <c r="D116" i="43"/>
  <c r="H69" i="39"/>
  <c r="I67" i="39"/>
  <c r="K65" i="40"/>
  <c r="L63" i="40"/>
  <c r="F71" i="67"/>
  <c r="N59" i="67"/>
  <c r="L59" i="67"/>
  <c r="M59" i="67"/>
  <c r="L58" i="67"/>
  <c r="F50" i="67"/>
  <c r="M7" i="67"/>
  <c r="J6" i="67" s="1"/>
  <c r="F65" i="67"/>
  <c r="F69" i="67"/>
  <c r="F63" i="67"/>
  <c r="C62" i="67" s="1"/>
  <c r="C34" i="67"/>
  <c r="C18" i="15"/>
  <c r="C15" i="15"/>
  <c r="I1" i="73"/>
  <c r="B39" i="1" s="1"/>
  <c r="F64" i="67"/>
  <c r="C6" i="67"/>
  <c r="C27" i="67"/>
  <c r="F51" i="67"/>
  <c r="F66" i="67"/>
  <c r="Q71" i="67"/>
  <c r="F68" i="67"/>
  <c r="L56" i="67"/>
  <c r="I54" i="67"/>
  <c r="J53" i="67"/>
  <c r="J57" i="67"/>
  <c r="J55" i="67" s="1"/>
  <c r="J58" i="67" s="1"/>
  <c r="Q50" i="67" s="1"/>
  <c r="J20" i="67"/>
  <c r="I52" i="33"/>
  <c r="J52" i="33" s="1"/>
  <c r="D32" i="71"/>
  <c r="T32" i="71"/>
  <c r="T64" i="71"/>
  <c r="D64" i="71"/>
  <c r="T7" i="43"/>
  <c r="V7" i="43" s="1"/>
  <c r="T11" i="43"/>
  <c r="V11" i="43" s="1"/>
  <c r="T12" i="43"/>
  <c r="V12" i="43" s="1"/>
  <c r="T5" i="43"/>
  <c r="V5" i="43" s="1"/>
  <c r="T10" i="43"/>
  <c r="V10" i="43" s="1"/>
  <c r="T8" i="43"/>
  <c r="V8" i="43" s="1"/>
  <c r="T14" i="43"/>
  <c r="V14" i="43" s="1"/>
  <c r="T2" i="43"/>
  <c r="V2" i="43" s="1"/>
  <c r="T13" i="43"/>
  <c r="V13" i="43" s="1"/>
  <c r="T15" i="43"/>
  <c r="V15" i="43" s="1"/>
  <c r="T16" i="43"/>
  <c r="V16" i="43" s="1"/>
  <c r="C33" i="43"/>
  <c r="T9" i="43"/>
  <c r="V9" i="43" s="1"/>
  <c r="T3" i="43"/>
  <c r="V3" i="43" s="1"/>
  <c r="T4" i="43"/>
  <c r="V4" i="43" s="1"/>
  <c r="T6" i="43"/>
  <c r="V6" i="43" s="1"/>
  <c r="U7" i="37"/>
  <c r="AB7" i="37"/>
  <c r="T42" i="37" s="1"/>
  <c r="G42" i="37" s="1"/>
  <c r="T44" i="71"/>
  <c r="D44" i="71"/>
  <c r="P65" i="71"/>
  <c r="P66" i="71"/>
  <c r="T52" i="71"/>
  <c r="D52" i="71"/>
  <c r="K6" i="1"/>
  <c r="AA7" i="36"/>
  <c r="R36" i="36" s="1"/>
  <c r="S7" i="36"/>
  <c r="R49" i="33"/>
  <c r="E48" i="33"/>
  <c r="I53" i="33" s="1"/>
  <c r="J53" i="33" s="1"/>
  <c r="G58" i="21"/>
  <c r="D127" i="9"/>
  <c r="D13" i="52" s="1"/>
  <c r="D12" i="52"/>
  <c r="T56" i="71"/>
  <c r="D56" i="71"/>
  <c r="D27" i="71"/>
  <c r="C26" i="71"/>
  <c r="D26" i="71" s="1"/>
  <c r="T40" i="71"/>
  <c r="D40" i="71"/>
  <c r="E49" i="34"/>
  <c r="R50" i="34"/>
  <c r="C61" i="15"/>
  <c r="T60" i="71"/>
  <c r="D60" i="71"/>
  <c r="BA13" i="3"/>
  <c r="BB5" i="3"/>
  <c r="V12" i="71"/>
  <c r="E11" i="71"/>
  <c r="E10" i="71" s="1"/>
  <c r="E9" i="71" s="1"/>
  <c r="E8" i="71" s="1"/>
  <c r="E7" i="71" s="1"/>
  <c r="E6" i="71" s="1"/>
  <c r="E5" i="71" s="1"/>
  <c r="H5" i="3"/>
  <c r="G13" i="3"/>
  <c r="AA7" i="37"/>
  <c r="R42" i="37" s="1"/>
  <c r="S7" i="37"/>
  <c r="E38" i="35"/>
  <c r="R39" i="35"/>
  <c r="C41" i="43"/>
  <c r="C40" i="43"/>
  <c r="C38" i="43"/>
  <c r="C42" i="43"/>
  <c r="C37" i="43"/>
  <c r="C39" i="43"/>
  <c r="W7" i="37"/>
  <c r="AC7" i="37"/>
  <c r="V42" i="37" s="1"/>
  <c r="I42" i="37" s="1"/>
  <c r="W7" i="36"/>
  <c r="AC7" i="36"/>
  <c r="V36" i="36" s="1"/>
  <c r="I36" i="36" s="1"/>
  <c r="BR5" i="3"/>
  <c r="G28" i="6" s="1"/>
  <c r="BL13" i="3"/>
  <c r="BL5" i="3" s="1"/>
  <c r="I54" i="34"/>
  <c r="J54" i="34" s="1"/>
  <c r="I53" i="34"/>
  <c r="J53" i="34" s="1"/>
  <c r="I43" i="35"/>
  <c r="J43" i="35" s="1"/>
  <c r="I42" i="35"/>
  <c r="J42" i="35" s="1"/>
  <c r="C33" i="15"/>
  <c r="C32" i="15"/>
  <c r="AB7" i="35"/>
  <c r="T38" i="35" s="1"/>
  <c r="G38" i="35" s="1"/>
  <c r="U7" i="35"/>
  <c r="S16" i="71"/>
  <c r="B15" i="71"/>
  <c r="B14" i="71" s="1"/>
  <c r="B13" i="71" s="1"/>
  <c r="B12" i="71" s="1"/>
  <c r="B2" i="77"/>
  <c r="B3" i="77" s="1"/>
  <c r="C41" i="77"/>
  <c r="AB7" i="36"/>
  <c r="T36" i="36" s="1"/>
  <c r="G36" i="36" s="1"/>
  <c r="U7" i="36"/>
  <c r="G52" i="33"/>
  <c r="H52" i="33" s="1"/>
  <c r="G53" i="33"/>
  <c r="H53" i="33" s="1"/>
  <c r="C37" i="83"/>
  <c r="E36" i="83"/>
  <c r="D21" i="71"/>
  <c r="C20" i="71"/>
  <c r="I4" i="6"/>
  <c r="G54" i="34"/>
  <c r="H54" i="34" s="1"/>
  <c r="G53" i="34"/>
  <c r="H53" i="34" s="1"/>
  <c r="D20" i="53"/>
  <c r="B40" i="72" s="1"/>
  <c r="B38" i="72"/>
  <c r="G27" i="6"/>
  <c r="E21" i="6"/>
  <c r="C7" i="68"/>
  <c r="F24" i="15"/>
  <c r="C24" i="15" s="1"/>
  <c r="F24" i="67"/>
  <c r="C24" i="67" s="1"/>
  <c r="F25" i="12"/>
  <c r="C26" i="12" s="1"/>
  <c r="D25" i="12" s="1"/>
  <c r="F22" i="11"/>
  <c r="F22" i="68"/>
  <c r="F22" i="69"/>
  <c r="L36" i="43"/>
  <c r="J19" i="15"/>
  <c r="J18" i="15"/>
  <c r="C14" i="67"/>
  <c r="C16" i="67"/>
  <c r="C17" i="67"/>
  <c r="L65" i="40" l="1"/>
  <c r="M63" i="40"/>
  <c r="J67" i="39"/>
  <c r="I69" i="39"/>
  <c r="C49" i="67"/>
  <c r="C31" i="15"/>
  <c r="J17" i="15"/>
  <c r="C19" i="15"/>
  <c r="C15" i="67"/>
  <c r="C18" i="67"/>
  <c r="C44" i="69"/>
  <c r="D41" i="69" s="1"/>
  <c r="F41" i="69"/>
  <c r="C26" i="69"/>
  <c r="D22" i="69" s="1"/>
  <c r="O36" i="43"/>
  <c r="Q36" i="43"/>
  <c r="N36" i="43"/>
  <c r="L37" i="43"/>
  <c r="P36" i="43"/>
  <c r="M36" i="43"/>
  <c r="B11" i="71"/>
  <c r="B10" i="71" s="1"/>
  <c r="B9" i="71" s="1"/>
  <c r="B8" i="71" s="1"/>
  <c r="B7" i="71" s="1"/>
  <c r="B6" i="71" s="1"/>
  <c r="B5" i="71" s="1"/>
  <c r="S12" i="71"/>
  <c r="G30" i="6"/>
  <c r="E28" i="6"/>
  <c r="I46" i="37"/>
  <c r="J46" i="37" s="1"/>
  <c r="G37" i="43"/>
  <c r="I37" i="43" s="1"/>
  <c r="E37" i="43"/>
  <c r="E41" i="43"/>
  <c r="G41" i="43"/>
  <c r="I41" i="43" s="1"/>
  <c r="E42" i="37"/>
  <c r="I47" i="37" s="1"/>
  <c r="J47" i="37" s="1"/>
  <c r="R43" i="37"/>
  <c r="E14" i="6"/>
  <c r="E11" i="6"/>
  <c r="E13" i="6"/>
  <c r="E8" i="6"/>
  <c r="E10" i="6"/>
  <c r="E15" i="6"/>
  <c r="E12" i="6"/>
  <c r="E5" i="6"/>
  <c r="C49" i="33"/>
  <c r="C48" i="33"/>
  <c r="M6" i="1"/>
  <c r="AP6" i="1"/>
  <c r="C36" i="69" s="1"/>
  <c r="Q52" i="67"/>
  <c r="F1" i="67"/>
  <c r="C32" i="67"/>
  <c r="C33" i="67"/>
  <c r="Q60" i="67"/>
  <c r="Q73" i="67"/>
  <c r="G40" i="36"/>
  <c r="H40" i="36" s="1"/>
  <c r="G41" i="36"/>
  <c r="H41" i="36" s="1"/>
  <c r="C39" i="35"/>
  <c r="M3" i="35" s="1"/>
  <c r="C38" i="35"/>
  <c r="G5" i="3"/>
  <c r="B3" i="3" s="1"/>
  <c r="E13" i="3" s="1"/>
  <c r="AZ13" i="3"/>
  <c r="AZ5" i="3" s="1"/>
  <c r="BA5" i="3"/>
  <c r="E27" i="6" s="1"/>
  <c r="J19" i="67"/>
  <c r="J18" i="67"/>
  <c r="E38" i="43"/>
  <c r="G38" i="43"/>
  <c r="I38" i="43" s="1"/>
  <c r="E43" i="35"/>
  <c r="F43" i="35" s="1"/>
  <c r="E42" i="35"/>
  <c r="F42" i="35" s="1"/>
  <c r="C49" i="34"/>
  <c r="C50" i="34"/>
  <c r="H58" i="21"/>
  <c r="R37" i="36"/>
  <c r="E36" i="36"/>
  <c r="E33" i="43"/>
  <c r="C30" i="43" s="1"/>
  <c r="C34" i="43"/>
  <c r="E34" i="43" s="1"/>
  <c r="C31" i="43" s="1"/>
  <c r="C61" i="67"/>
  <c r="F11" i="15"/>
  <c r="F11" i="67"/>
  <c r="M11" i="67"/>
  <c r="J10" i="67" s="1"/>
  <c r="J5" i="67" s="1"/>
  <c r="M11" i="15"/>
  <c r="J10" i="15" s="1"/>
  <c r="J5" i="15" s="1"/>
  <c r="Q61" i="67"/>
  <c r="Q74" i="67"/>
  <c r="E42" i="43"/>
  <c r="G42" i="43"/>
  <c r="I42" i="43" s="1"/>
  <c r="C44" i="68"/>
  <c r="D41" i="68" s="1"/>
  <c r="F41" i="68"/>
  <c r="C24" i="68"/>
  <c r="C26" i="68"/>
  <c r="D22" i="68" s="1"/>
  <c r="K8" i="1"/>
  <c r="D20" i="71"/>
  <c r="U20" i="71" s="1"/>
  <c r="T20" i="71"/>
  <c r="C19" i="71"/>
  <c r="I41" i="36"/>
  <c r="J41" i="36" s="1"/>
  <c r="I40" i="36"/>
  <c r="J40" i="36" s="1"/>
  <c r="C26" i="11"/>
  <c r="D22" i="11" s="1"/>
  <c r="C23" i="11"/>
  <c r="C44" i="11"/>
  <c r="D41" i="11" s="1"/>
  <c r="G31" i="6"/>
  <c r="G42" i="35"/>
  <c r="H42" i="35" s="1"/>
  <c r="G43" i="35"/>
  <c r="H43" i="35" s="1"/>
  <c r="G39" i="43"/>
  <c r="I39" i="43" s="1"/>
  <c r="E39" i="43"/>
  <c r="G40" i="43"/>
  <c r="I40" i="43" s="1"/>
  <c r="E40" i="43"/>
  <c r="E53" i="34"/>
  <c r="F53" i="34" s="1"/>
  <c r="E54" i="34"/>
  <c r="F54" i="34" s="1"/>
  <c r="E52" i="33"/>
  <c r="F52" i="33" s="1"/>
  <c r="E53" i="33"/>
  <c r="F53" i="33" s="1"/>
  <c r="G46" i="37"/>
  <c r="H46" i="37" s="1"/>
  <c r="G47" i="37"/>
  <c r="H47" i="37" s="1"/>
  <c r="D9" i="68"/>
  <c r="C36" i="68"/>
  <c r="E6" i="76"/>
  <c r="C9" i="68" l="1"/>
  <c r="M8" i="1"/>
  <c r="K67" i="39"/>
  <c r="J69" i="39"/>
  <c r="M65" i="40"/>
  <c r="N63" i="40"/>
  <c r="C20" i="15"/>
  <c r="C23" i="15" s="1"/>
  <c r="C31" i="67"/>
  <c r="C19" i="67"/>
  <c r="C20" i="67" s="1"/>
  <c r="C26" i="67" s="1"/>
  <c r="E2" i="76"/>
  <c r="J24" i="67"/>
  <c r="J26" i="67"/>
  <c r="J29" i="67" s="1"/>
  <c r="J24" i="15"/>
  <c r="J26" i="15"/>
  <c r="J29" i="15" s="1"/>
  <c r="J17" i="67"/>
  <c r="Q16" i="1"/>
  <c r="C36" i="11"/>
  <c r="E61" i="39"/>
  <c r="E57" i="40"/>
  <c r="E58" i="40"/>
  <c r="E62" i="39"/>
  <c r="E47" i="37"/>
  <c r="F47" i="37" s="1"/>
  <c r="E46" i="37"/>
  <c r="F46" i="37" s="1"/>
  <c r="D19" i="71"/>
  <c r="C18" i="71"/>
  <c r="C37" i="36"/>
  <c r="C36" i="36"/>
  <c r="E488" i="3"/>
  <c r="E484" i="3"/>
  <c r="E480" i="3"/>
  <c r="E476" i="3"/>
  <c r="E472" i="3"/>
  <c r="E468" i="3"/>
  <c r="E416" i="3"/>
  <c r="E412" i="3"/>
  <c r="E408" i="3"/>
  <c r="E404" i="3"/>
  <c r="E368" i="3"/>
  <c r="E364" i="3"/>
  <c r="E360" i="3"/>
  <c r="E332" i="3"/>
  <c r="E328" i="3"/>
  <c r="E583" i="3"/>
  <c r="E579" i="3"/>
  <c r="E575" i="3"/>
  <c r="E571" i="3"/>
  <c r="E567" i="3"/>
  <c r="E563" i="3"/>
  <c r="E559" i="3"/>
  <c r="E555" i="3"/>
  <c r="E463" i="3"/>
  <c r="E455" i="3"/>
  <c r="E451" i="3"/>
  <c r="E399" i="3"/>
  <c r="E391" i="3"/>
  <c r="E355" i="3"/>
  <c r="E351" i="3"/>
  <c r="E323" i="3"/>
  <c r="E319" i="3"/>
  <c r="E542" i="3"/>
  <c r="E534" i="3"/>
  <c r="E530" i="3"/>
  <c r="E526" i="3"/>
  <c r="E446" i="3"/>
  <c r="E438" i="3"/>
  <c r="E434" i="3"/>
  <c r="E387" i="3"/>
  <c r="E383" i="3"/>
  <c r="E349" i="3"/>
  <c r="E520" i="3"/>
  <c r="E516" i="3"/>
  <c r="E512" i="3"/>
  <c r="E508" i="3"/>
  <c r="E504" i="3"/>
  <c r="E500" i="3"/>
  <c r="E496" i="3"/>
  <c r="E492" i="3"/>
  <c r="E432" i="3"/>
  <c r="E428" i="3"/>
  <c r="E424" i="3"/>
  <c r="E420" i="3"/>
  <c r="E375" i="3"/>
  <c r="E371" i="3"/>
  <c r="E340" i="3"/>
  <c r="E336" i="3"/>
  <c r="E292" i="3"/>
  <c r="E288" i="3"/>
  <c r="E260" i="3"/>
  <c r="E256" i="3"/>
  <c r="E228" i="3"/>
  <c r="E224" i="3"/>
  <c r="E196" i="3"/>
  <c r="E192" i="3"/>
  <c r="E164" i="3"/>
  <c r="E160" i="3"/>
  <c r="E300" i="3"/>
  <c r="E296" i="3"/>
  <c r="E268" i="3"/>
  <c r="E264" i="3"/>
  <c r="E236" i="3"/>
  <c r="E232" i="3"/>
  <c r="E204" i="3"/>
  <c r="E200" i="3"/>
  <c r="E172" i="3"/>
  <c r="E168" i="3"/>
  <c r="AD6" i="3"/>
  <c r="AK6" i="3"/>
  <c r="Q6" i="3"/>
  <c r="T6" i="3"/>
  <c r="E489" i="3"/>
  <c r="E483" i="3"/>
  <c r="E478" i="3"/>
  <c r="E467" i="3"/>
  <c r="E414" i="3"/>
  <c r="E403" i="3"/>
  <c r="E366" i="3"/>
  <c r="E361" i="3"/>
  <c r="E331" i="3"/>
  <c r="E585" i="3"/>
  <c r="E580" i="3"/>
  <c r="E574" i="3"/>
  <c r="E569" i="3"/>
  <c r="E564" i="3"/>
  <c r="E558" i="3"/>
  <c r="E465" i="3"/>
  <c r="E460" i="3"/>
  <c r="E454" i="3"/>
  <c r="E401" i="3"/>
  <c r="E396" i="3"/>
  <c r="E358" i="3"/>
  <c r="E353" i="3"/>
  <c r="E324" i="3"/>
  <c r="E553" i="3"/>
  <c r="E548" i="3"/>
  <c r="E543" i="3"/>
  <c r="E537" i="3"/>
  <c r="E532" i="3"/>
  <c r="E527" i="3"/>
  <c r="E449" i="3"/>
  <c r="E444" i="3"/>
  <c r="E439" i="3"/>
  <c r="E390" i="3"/>
  <c r="E385" i="3"/>
  <c r="E350" i="3"/>
  <c r="E344" i="3"/>
  <c r="E315" i="3"/>
  <c r="E515" i="3"/>
  <c r="E510" i="3"/>
  <c r="E505" i="3"/>
  <c r="E499" i="3"/>
  <c r="E494" i="3"/>
  <c r="E433" i="3"/>
  <c r="E427" i="3"/>
  <c r="E422" i="3"/>
  <c r="E380" i="3"/>
  <c r="E374" i="3"/>
  <c r="E342" i="3"/>
  <c r="E337" i="3"/>
  <c r="E262" i="3"/>
  <c r="E257" i="3"/>
  <c r="E198" i="3"/>
  <c r="E193" i="3"/>
  <c r="E140" i="3"/>
  <c r="E76" i="3"/>
  <c r="E284" i="3"/>
  <c r="E279" i="3"/>
  <c r="E220" i="3"/>
  <c r="E215" i="3"/>
  <c r="E156" i="3"/>
  <c r="E151" i="3"/>
  <c r="E307" i="3"/>
  <c r="E277" i="3"/>
  <c r="E272" i="3"/>
  <c r="E213" i="3"/>
  <c r="E208" i="3"/>
  <c r="E132" i="3"/>
  <c r="E68" i="3"/>
  <c r="E269" i="3"/>
  <c r="E263" i="3"/>
  <c r="E205" i="3"/>
  <c r="E199" i="3"/>
  <c r="E96" i="3"/>
  <c r="E32" i="3"/>
  <c r="AA6" i="3"/>
  <c r="AH6" i="3"/>
  <c r="J6" i="3"/>
  <c r="AS6" i="3"/>
  <c r="U6" i="3"/>
  <c r="AB6" i="3"/>
  <c r="E487" i="3"/>
  <c r="E482" i="3"/>
  <c r="E477" i="3"/>
  <c r="E471" i="3"/>
  <c r="E466" i="3"/>
  <c r="E413" i="3"/>
  <c r="E407" i="3"/>
  <c r="E402" i="3"/>
  <c r="E365" i="3"/>
  <c r="E359" i="3"/>
  <c r="E330" i="3"/>
  <c r="E584" i="3"/>
  <c r="E578" i="3"/>
  <c r="E573" i="3"/>
  <c r="E568" i="3"/>
  <c r="E562" i="3"/>
  <c r="E557" i="3"/>
  <c r="E464" i="3"/>
  <c r="E458" i="3"/>
  <c r="E453" i="3"/>
  <c r="E400" i="3"/>
  <c r="E394" i="3"/>
  <c r="E357" i="3"/>
  <c r="E352" i="3"/>
  <c r="E552" i="3"/>
  <c r="E547" i="3"/>
  <c r="E541" i="3"/>
  <c r="E536" i="3"/>
  <c r="E531" i="3"/>
  <c r="E525" i="3"/>
  <c r="E448" i="3"/>
  <c r="E437" i="3"/>
  <c r="E389" i="3"/>
  <c r="E384" i="3"/>
  <c r="E348" i="3"/>
  <c r="E587" i="3"/>
  <c r="E486" i="3"/>
  <c r="E481" i="3"/>
  <c r="E470" i="3"/>
  <c r="E417" i="3"/>
  <c r="E406" i="3"/>
  <c r="E369" i="3"/>
  <c r="E363" i="3"/>
  <c r="E334" i="3"/>
  <c r="E329" i="3"/>
  <c r="E582" i="3"/>
  <c r="E577" i="3"/>
  <c r="E572" i="3"/>
  <c r="E566" i="3"/>
  <c r="E561" i="3"/>
  <c r="E556" i="3"/>
  <c r="E462" i="3"/>
  <c r="E457" i="3"/>
  <c r="E452" i="3"/>
  <c r="E398" i="3"/>
  <c r="E393" i="3"/>
  <c r="E356" i="3"/>
  <c r="E326" i="3"/>
  <c r="E551" i="3"/>
  <c r="E545" i="3"/>
  <c r="E540" i="3"/>
  <c r="E535" i="3"/>
  <c r="E529" i="3"/>
  <c r="E524" i="3"/>
  <c r="E447" i="3"/>
  <c r="E436" i="3"/>
  <c r="E388" i="3"/>
  <c r="E382" i="3"/>
  <c r="E318" i="3"/>
  <c r="E312" i="3"/>
  <c r="E518" i="3"/>
  <c r="E513" i="3"/>
  <c r="E507" i="3"/>
  <c r="E502" i="3"/>
  <c r="E497" i="3"/>
  <c r="E491" i="3"/>
  <c r="E430" i="3"/>
  <c r="E425" i="3"/>
  <c r="E419" i="3"/>
  <c r="E372" i="3"/>
  <c r="E339" i="3"/>
  <c r="E289" i="3"/>
  <c r="E259" i="3"/>
  <c r="E230" i="3"/>
  <c r="E225" i="3"/>
  <c r="E166" i="3"/>
  <c r="E161" i="3"/>
  <c r="E108" i="3"/>
  <c r="E44" i="3"/>
  <c r="E311" i="3"/>
  <c r="E252" i="3"/>
  <c r="E247" i="3"/>
  <c r="E188" i="3"/>
  <c r="E183" i="3"/>
  <c r="E309" i="3"/>
  <c r="E304" i="3"/>
  <c r="E275" i="3"/>
  <c r="E245" i="3"/>
  <c r="E240" i="3"/>
  <c r="E181" i="3"/>
  <c r="E176" i="3"/>
  <c r="E100" i="3"/>
  <c r="E36" i="3"/>
  <c r="E301" i="3"/>
  <c r="E237" i="3"/>
  <c r="E231" i="3"/>
  <c r="E173" i="3"/>
  <c r="E167" i="3"/>
  <c r="E128" i="3"/>
  <c r="E64" i="3"/>
  <c r="AM6" i="3"/>
  <c r="S6" i="3"/>
  <c r="AP6" i="3"/>
  <c r="V6" i="3"/>
  <c r="AG6" i="3"/>
  <c r="E485" i="3"/>
  <c r="E415" i="3"/>
  <c r="E362" i="3"/>
  <c r="E576" i="3"/>
  <c r="E554" i="3"/>
  <c r="E397" i="3"/>
  <c r="E320" i="3"/>
  <c r="E533" i="3"/>
  <c r="E440" i="3"/>
  <c r="E346" i="3"/>
  <c r="I3" i="6"/>
  <c r="E511" i="3"/>
  <c r="E501" i="3"/>
  <c r="E490" i="3"/>
  <c r="E423" i="3"/>
  <c r="E376" i="3"/>
  <c r="E338" i="3"/>
  <c r="E229" i="3"/>
  <c r="E194" i="3"/>
  <c r="E60" i="3"/>
  <c r="E285" i="3"/>
  <c r="E216" i="3"/>
  <c r="E157" i="3"/>
  <c r="E133" i="3"/>
  <c r="E244" i="3"/>
  <c r="E209" i="3"/>
  <c r="E175" i="3"/>
  <c r="E116" i="3"/>
  <c r="E270" i="3"/>
  <c r="E201" i="3"/>
  <c r="E144" i="3"/>
  <c r="E16" i="3"/>
  <c r="K6" i="3"/>
  <c r="R6" i="3"/>
  <c r="Y6" i="3"/>
  <c r="AR6" i="3"/>
  <c r="P6" i="3"/>
  <c r="E586" i="3"/>
  <c r="E410" i="3"/>
  <c r="E327" i="3"/>
  <c r="E560" i="3"/>
  <c r="E392" i="3"/>
  <c r="E544" i="3"/>
  <c r="E445" i="3"/>
  <c r="E343" i="3"/>
  <c r="E517" i="3"/>
  <c r="E503" i="3"/>
  <c r="E431" i="3"/>
  <c r="E418" i="3"/>
  <c r="E341" i="3"/>
  <c r="E261" i="3"/>
  <c r="E162" i="3"/>
  <c r="E92" i="3"/>
  <c r="E253" i="3"/>
  <c r="E189" i="3"/>
  <c r="E152" i="3"/>
  <c r="E101" i="3"/>
  <c r="E273" i="3"/>
  <c r="E212" i="3"/>
  <c r="E148" i="3"/>
  <c r="E267" i="3"/>
  <c r="E206" i="3"/>
  <c r="E169" i="3"/>
  <c r="W6" i="3"/>
  <c r="E24" i="3"/>
  <c r="E20" i="3"/>
  <c r="X6" i="3"/>
  <c r="E405" i="3"/>
  <c r="E570" i="3"/>
  <c r="E450" i="3"/>
  <c r="E539" i="3"/>
  <c r="E386" i="3"/>
  <c r="E519" i="3"/>
  <c r="E498" i="3"/>
  <c r="E426" i="3"/>
  <c r="E370" i="3"/>
  <c r="E258" i="3"/>
  <c r="E191" i="3"/>
  <c r="E121" i="3"/>
  <c r="E28" i="3"/>
  <c r="E221" i="3"/>
  <c r="E71" i="3"/>
  <c r="E305" i="3"/>
  <c r="E239" i="3"/>
  <c r="E145" i="3"/>
  <c r="E67" i="3"/>
  <c r="E297" i="3"/>
  <c r="E127" i="3"/>
  <c r="E48" i="3"/>
  <c r="AO6" i="3"/>
  <c r="AF6" i="3"/>
  <c r="E479" i="3"/>
  <c r="E367" i="3"/>
  <c r="E565" i="3"/>
  <c r="E354" i="3"/>
  <c r="E528" i="3"/>
  <c r="E381" i="3"/>
  <c r="E514" i="3"/>
  <c r="E495" i="3"/>
  <c r="E421" i="3"/>
  <c r="E335" i="3"/>
  <c r="E255" i="3"/>
  <c r="E165" i="3"/>
  <c r="E89" i="3"/>
  <c r="E283" i="3"/>
  <c r="E135" i="3"/>
  <c r="E69" i="3"/>
  <c r="E276" i="3"/>
  <c r="E207" i="3"/>
  <c r="E131" i="3"/>
  <c r="E52" i="3"/>
  <c r="E265" i="3"/>
  <c r="E174" i="3"/>
  <c r="E112" i="3"/>
  <c r="E31" i="3"/>
  <c r="AL6" i="3"/>
  <c r="M6" i="3"/>
  <c r="L6" i="3"/>
  <c r="E474" i="3"/>
  <c r="E333" i="3"/>
  <c r="E461" i="3"/>
  <c r="E325" i="3"/>
  <c r="E523" i="3"/>
  <c r="E316" i="3"/>
  <c r="E509" i="3"/>
  <c r="E493" i="3"/>
  <c r="E378" i="3"/>
  <c r="E293" i="3"/>
  <c r="E226" i="3"/>
  <c r="E139" i="3"/>
  <c r="E75" i="3"/>
  <c r="E280" i="3"/>
  <c r="E271" i="3"/>
  <c r="E180" i="3"/>
  <c r="E113" i="3"/>
  <c r="E302" i="3"/>
  <c r="E238" i="3"/>
  <c r="E80" i="3"/>
  <c r="AQ6" i="3"/>
  <c r="Z6" i="3"/>
  <c r="E19" i="3"/>
  <c r="E469" i="3"/>
  <c r="E581" i="3"/>
  <c r="E456" i="3"/>
  <c r="E549" i="3"/>
  <c r="E435" i="3"/>
  <c r="E314" i="3"/>
  <c r="E506" i="3"/>
  <c r="E429" i="3"/>
  <c r="E373" i="3"/>
  <c r="E290" i="3"/>
  <c r="E197" i="3"/>
  <c r="E124" i="3"/>
  <c r="E57" i="3"/>
  <c r="E248" i="3"/>
  <c r="E184" i="3"/>
  <c r="E103" i="3"/>
  <c r="E308" i="3"/>
  <c r="E241" i="3"/>
  <c r="E177" i="3"/>
  <c r="E84" i="3"/>
  <c r="E299" i="3"/>
  <c r="E233" i="3"/>
  <c r="E141" i="3"/>
  <c r="E77" i="3"/>
  <c r="AI6" i="3"/>
  <c r="E21" i="3"/>
  <c r="E37" i="3"/>
  <c r="E17" i="3"/>
  <c r="E123" i="3"/>
  <c r="E109" i="3"/>
  <c r="E27" i="3"/>
  <c r="E51" i="3"/>
  <c r="E79" i="3"/>
  <c r="E115" i="3"/>
  <c r="E153" i="3"/>
  <c r="E186" i="3"/>
  <c r="E250" i="3"/>
  <c r="E286" i="3"/>
  <c r="E25" i="3"/>
  <c r="E41" i="3"/>
  <c r="E53" i="3"/>
  <c r="E73" i="3"/>
  <c r="E93" i="3"/>
  <c r="E111" i="3"/>
  <c r="E295" i="3"/>
  <c r="E322" i="3"/>
  <c r="E379" i="3"/>
  <c r="E442" i="3"/>
  <c r="E521" i="3"/>
  <c r="E129" i="3"/>
  <c r="E202" i="3"/>
  <c r="E190" i="3"/>
  <c r="E310" i="3"/>
  <c r="AJ6" i="3"/>
  <c r="E40" i="3"/>
  <c r="E104" i="3"/>
  <c r="E210" i="3"/>
  <c r="E274" i="3"/>
  <c r="E395" i="3"/>
  <c r="E550" i="3"/>
  <c r="E95" i="3"/>
  <c r="E43" i="3"/>
  <c r="E119" i="3"/>
  <c r="E35" i="3"/>
  <c r="E55" i="3"/>
  <c r="E83" i="3"/>
  <c r="E147" i="3"/>
  <c r="E154" i="3"/>
  <c r="E217" i="3"/>
  <c r="E251" i="3"/>
  <c r="E287" i="3"/>
  <c r="E29" i="3"/>
  <c r="E65" i="3"/>
  <c r="E85" i="3"/>
  <c r="E143" i="3"/>
  <c r="E298" i="3"/>
  <c r="E345" i="3"/>
  <c r="E409" i="3"/>
  <c r="E443" i="3"/>
  <c r="E522" i="3"/>
  <c r="E234" i="3"/>
  <c r="E158" i="3"/>
  <c r="E254" i="3"/>
  <c r="E56" i="3"/>
  <c r="E120" i="3"/>
  <c r="E178" i="3"/>
  <c r="E459" i="3"/>
  <c r="E214" i="3"/>
  <c r="E99" i="3"/>
  <c r="E49" i="3"/>
  <c r="E15" i="3"/>
  <c r="E39" i="3"/>
  <c r="E59" i="3"/>
  <c r="E87" i="3"/>
  <c r="E159" i="3"/>
  <c r="E218" i="3"/>
  <c r="E281" i="3"/>
  <c r="E291" i="3"/>
  <c r="E33" i="3"/>
  <c r="E97" i="3"/>
  <c r="E306" i="3"/>
  <c r="E347" i="3"/>
  <c r="E411" i="3"/>
  <c r="E473" i="3"/>
  <c r="E125" i="3"/>
  <c r="E266" i="3"/>
  <c r="N6" i="3"/>
  <c r="E72" i="3"/>
  <c r="E136" i="3"/>
  <c r="E538" i="3"/>
  <c r="E182" i="3"/>
  <c r="E278" i="3"/>
  <c r="E45" i="3"/>
  <c r="E223" i="3"/>
  <c r="E107" i="3"/>
  <c r="E23" i="3"/>
  <c r="E47" i="3"/>
  <c r="E63" i="3"/>
  <c r="E91" i="3"/>
  <c r="E185" i="3"/>
  <c r="E249" i="3"/>
  <c r="E282" i="3"/>
  <c r="E303" i="3"/>
  <c r="E61" i="3"/>
  <c r="E81" i="3"/>
  <c r="E294" i="3"/>
  <c r="E321" i="3"/>
  <c r="E377" i="3"/>
  <c r="E441" i="3"/>
  <c r="E475" i="3"/>
  <c r="E105" i="3"/>
  <c r="E117" i="3"/>
  <c r="E137" i="3"/>
  <c r="E149" i="3"/>
  <c r="E170" i="3"/>
  <c r="AE6" i="3"/>
  <c r="E222" i="3"/>
  <c r="E88" i="3"/>
  <c r="E242" i="3"/>
  <c r="E313" i="3"/>
  <c r="E546" i="3"/>
  <c r="E150" i="3"/>
  <c r="E246" i="3"/>
  <c r="E317" i="3"/>
  <c r="E187" i="3"/>
  <c r="E86" i="3"/>
  <c r="E22" i="3"/>
  <c r="E106" i="3"/>
  <c r="E42" i="3"/>
  <c r="E163" i="3"/>
  <c r="E142" i="3"/>
  <c r="E78" i="3"/>
  <c r="E14" i="3"/>
  <c r="E195" i="3"/>
  <c r="E155" i="3"/>
  <c r="E98" i="3"/>
  <c r="E34" i="3"/>
  <c r="E219" i="3"/>
  <c r="E26" i="3"/>
  <c r="E134" i="3"/>
  <c r="E70" i="3"/>
  <c r="E118" i="3"/>
  <c r="E54" i="3"/>
  <c r="E179" i="3"/>
  <c r="E138" i="3"/>
  <c r="E74" i="3"/>
  <c r="E110" i="3"/>
  <c r="E46" i="3"/>
  <c r="E130" i="3"/>
  <c r="E66" i="3"/>
  <c r="E227" i="3"/>
  <c r="AT6" i="3"/>
  <c r="E62" i="3"/>
  <c r="E146" i="3"/>
  <c r="E18" i="3"/>
  <c r="E235" i="3"/>
  <c r="E102" i="3"/>
  <c r="E38" i="3"/>
  <c r="E122" i="3"/>
  <c r="E58" i="3"/>
  <c r="E211" i="3"/>
  <c r="E171" i="3"/>
  <c r="E94" i="3"/>
  <c r="E30" i="3"/>
  <c r="E243" i="3"/>
  <c r="E203" i="3"/>
  <c r="E114" i="3"/>
  <c r="E50" i="3"/>
  <c r="E90" i="3"/>
  <c r="E126" i="3"/>
  <c r="E82" i="3"/>
  <c r="O6" i="3"/>
  <c r="I6" i="3"/>
  <c r="AN6" i="3"/>
  <c r="G16" i="1"/>
  <c r="E60" i="40"/>
  <c r="E64" i="39"/>
  <c r="E56" i="40"/>
  <c r="E60" i="39"/>
  <c r="Q37" i="43"/>
  <c r="M37" i="43"/>
  <c r="O37" i="43"/>
  <c r="N37" i="43"/>
  <c r="P37" i="43"/>
  <c r="C53" i="67"/>
  <c r="C48" i="67" s="1"/>
  <c r="C10" i="67"/>
  <c r="C5" i="67" s="1"/>
  <c r="E63" i="39"/>
  <c r="E59" i="40"/>
  <c r="E40" i="36"/>
  <c r="F40" i="36" s="1"/>
  <c r="E41" i="36"/>
  <c r="F41" i="36" s="1"/>
  <c r="C10" i="15"/>
  <c r="C5" i="15" s="1"/>
  <c r="C53" i="15"/>
  <c r="C48" i="15" s="1"/>
  <c r="B2" i="43"/>
  <c r="I58" i="21"/>
  <c r="AY6" i="3"/>
  <c r="E3" i="6"/>
  <c r="H16" i="1"/>
  <c r="D19" i="12"/>
  <c r="C19" i="12" s="1"/>
  <c r="D9" i="11"/>
  <c r="C9" i="11" s="1"/>
  <c r="D9" i="69"/>
  <c r="E51" i="40"/>
  <c r="F27" i="6"/>
  <c r="F31" i="6" s="1"/>
  <c r="E16" i="6"/>
  <c r="E56" i="39"/>
  <c r="C42" i="37"/>
  <c r="C43" i="37"/>
  <c r="E30" i="6"/>
  <c r="E31" i="6" s="1"/>
  <c r="K14" i="1"/>
  <c r="M14" i="1" s="1"/>
  <c r="M16" i="1" s="1"/>
  <c r="K26" i="6"/>
  <c r="M26" i="6" s="1"/>
  <c r="I26" i="6" s="1"/>
  <c r="S26" i="6" s="1"/>
  <c r="K19" i="6"/>
  <c r="K24" i="6"/>
  <c r="M24" i="6" s="1"/>
  <c r="I24" i="6" s="1"/>
  <c r="S24" i="6" s="1"/>
  <c r="K22" i="6"/>
  <c r="M22" i="6" s="1"/>
  <c r="I22" i="6" s="1"/>
  <c r="S22" i="6" s="1"/>
  <c r="K20" i="6"/>
  <c r="K21" i="6"/>
  <c r="K23" i="6"/>
  <c r="M23" i="6" s="1"/>
  <c r="I23" i="6" s="1"/>
  <c r="S23" i="6" s="1"/>
  <c r="K25" i="6"/>
  <c r="M25" i="6" s="1"/>
  <c r="I25" i="6" s="1"/>
  <c r="S25" i="6" s="1"/>
  <c r="F27" i="68"/>
  <c r="B6" i="76"/>
  <c r="C29" i="68" l="1"/>
  <c r="D27" i="68" s="1"/>
  <c r="C47" i="68"/>
  <c r="D45" i="68" s="1"/>
  <c r="F45" i="68"/>
  <c r="L67" i="39"/>
  <c r="K69" i="39"/>
  <c r="N65" i="40"/>
  <c r="O63" i="40"/>
  <c r="O65" i="40" s="1"/>
  <c r="C26" i="15"/>
  <c r="C29" i="15" s="1"/>
  <c r="B2" i="76"/>
  <c r="B3" i="76" s="1"/>
  <c r="N16" i="1"/>
  <c r="C34" i="11"/>
  <c r="L16" i="1"/>
  <c r="H10" i="40"/>
  <c r="F10" i="40"/>
  <c r="J10" i="39"/>
  <c r="J10" i="40"/>
  <c r="H10" i="39"/>
  <c r="F10" i="39"/>
  <c r="M20" i="6"/>
  <c r="I20" i="6" s="1"/>
  <c r="S20" i="6" s="1"/>
  <c r="S7" i="1"/>
  <c r="E7" i="70" s="1"/>
  <c r="J58" i="21"/>
  <c r="C66" i="67"/>
  <c r="C60" i="67"/>
  <c r="C59" i="67" s="1"/>
  <c r="S8" i="1"/>
  <c r="E8" i="70" s="1"/>
  <c r="M21" i="6"/>
  <c r="I21" i="6" s="1"/>
  <c r="S21" i="6" s="1"/>
  <c r="M19" i="6"/>
  <c r="S6" i="1"/>
  <c r="K27" i="6"/>
  <c r="B3" i="43"/>
  <c r="K16" i="1"/>
  <c r="D18" i="71"/>
  <c r="C17" i="71"/>
  <c r="C23" i="67"/>
  <c r="C29" i="67" s="1"/>
  <c r="C38" i="15"/>
  <c r="C38" i="67"/>
  <c r="E65" i="39"/>
  <c r="C9" i="69"/>
  <c r="E6" i="6"/>
  <c r="D3" i="34"/>
  <c r="B3" i="34" s="1"/>
  <c r="D14" i="12"/>
  <c r="D3" i="37"/>
  <c r="B3" i="37" s="1"/>
  <c r="D37" i="11"/>
  <c r="C37" i="11" s="1"/>
  <c r="D3" i="33"/>
  <c r="B3" i="33" s="1"/>
  <c r="M18" i="9"/>
  <c r="B118" i="9" s="1"/>
  <c r="L18" i="9"/>
  <c r="D3" i="21"/>
  <c r="B3" i="21" s="1"/>
  <c r="C17" i="4"/>
  <c r="B4" i="52" s="1"/>
  <c r="B43" i="72" s="1"/>
  <c r="D19" i="11"/>
  <c r="C19" i="11" s="1"/>
  <c r="AY380" i="3"/>
  <c r="AY369" i="3"/>
  <c r="AY401" i="3"/>
  <c r="AY449" i="3"/>
  <c r="AY302" i="3"/>
  <c r="AY174" i="3"/>
  <c r="AY96" i="3"/>
  <c r="AY32" i="3"/>
  <c r="AY198" i="3"/>
  <c r="AY108" i="3"/>
  <c r="AY44" i="3"/>
  <c r="AY222" i="3"/>
  <c r="AY120" i="3"/>
  <c r="AY56" i="3"/>
  <c r="AY246" i="3"/>
  <c r="AY132" i="3"/>
  <c r="AY68" i="3"/>
  <c r="BM6" i="3"/>
  <c r="AY24" i="3"/>
  <c r="AY21" i="3"/>
  <c r="AY151" i="3"/>
  <c r="AY279" i="3"/>
  <c r="AY434" i="3"/>
  <c r="AY85" i="3"/>
  <c r="AY22" i="3"/>
  <c r="AY86" i="3"/>
  <c r="AY154" i="3"/>
  <c r="AY282" i="3"/>
  <c r="AY441" i="3"/>
  <c r="AY540" i="3"/>
  <c r="AY476" i="3"/>
  <c r="AY412" i="3"/>
  <c r="AY97" i="3"/>
  <c r="AY223" i="3"/>
  <c r="AY351" i="3"/>
  <c r="AY25" i="3"/>
  <c r="BC6" i="3"/>
  <c r="AY58" i="3"/>
  <c r="AY122" i="3"/>
  <c r="AY226" i="3"/>
  <c r="AY354" i="3"/>
  <c r="AY568" i="3"/>
  <c r="AY504" i="3"/>
  <c r="AY440" i="3"/>
  <c r="AY563" i="3"/>
  <c r="AY499" i="3"/>
  <c r="AY435" i="3"/>
  <c r="AY371" i="3"/>
  <c r="AY538" i="3"/>
  <c r="AY474" i="3"/>
  <c r="AY406" i="3"/>
  <c r="AY329" i="3"/>
  <c r="BN6" i="3"/>
  <c r="AY133" i="3"/>
  <c r="AY263" i="3"/>
  <c r="AY402" i="3"/>
  <c r="AY65" i="3"/>
  <c r="AY14" i="3"/>
  <c r="AY78" i="3"/>
  <c r="AY142" i="3"/>
  <c r="AY266" i="3"/>
  <c r="AY409" i="3"/>
  <c r="AY548" i="3"/>
  <c r="AY484" i="3"/>
  <c r="AY420" i="3"/>
  <c r="AY543" i="3"/>
  <c r="AY479" i="3"/>
  <c r="AY415" i="3"/>
  <c r="AY582" i="3"/>
  <c r="AY518" i="3"/>
  <c r="AY517" i="3"/>
  <c r="AY378" i="3"/>
  <c r="AY309" i="3"/>
  <c r="AY245" i="3"/>
  <c r="AY181" i="3"/>
  <c r="AY481" i="3"/>
  <c r="AY366" i="3"/>
  <c r="AY300" i="3"/>
  <c r="AY236" i="3"/>
  <c r="AY172" i="3"/>
  <c r="AY105" i="3"/>
  <c r="BK6" i="3"/>
  <c r="AY374" i="3"/>
  <c r="AY571" i="3"/>
  <c r="AY443" i="3"/>
  <c r="AY546" i="3"/>
  <c r="AY422" i="3"/>
  <c r="AY273" i="3"/>
  <c r="AY189" i="3"/>
  <c r="AY453" i="3"/>
  <c r="AY328" i="3"/>
  <c r="AY244" i="3"/>
  <c r="AY160" i="3"/>
  <c r="AY55" i="3"/>
  <c r="AY119" i="3"/>
  <c r="AY219" i="3"/>
  <c r="AY347" i="3"/>
  <c r="AY17" i="3"/>
  <c r="AY81" i="3"/>
  <c r="AY274" i="3"/>
  <c r="AY416" i="3"/>
  <c r="AY471" i="3"/>
  <c r="AY574" i="3"/>
  <c r="AY485" i="3"/>
  <c r="AY301" i="3"/>
  <c r="AY205" i="3"/>
  <c r="AY497" i="3"/>
  <c r="AY344" i="3"/>
  <c r="AY260" i="3"/>
  <c r="AY176" i="3"/>
  <c r="AY43" i="3"/>
  <c r="AY107" i="3"/>
  <c r="AY195" i="3"/>
  <c r="AY323" i="3"/>
  <c r="AY573" i="3"/>
  <c r="AY493" i="3"/>
  <c r="AY178" i="3"/>
  <c r="AY464" i="3"/>
  <c r="AY491" i="3"/>
  <c r="AY363" i="3"/>
  <c r="AY565" i="3"/>
  <c r="AY321" i="3"/>
  <c r="AY221" i="3"/>
  <c r="AY561" i="3"/>
  <c r="AY361" i="3"/>
  <c r="AY276" i="3"/>
  <c r="AY192" i="3"/>
  <c r="AY31" i="3"/>
  <c r="AY95" i="3"/>
  <c r="AY171" i="3"/>
  <c r="AY299" i="3"/>
  <c r="AY477" i="3"/>
  <c r="BR6" i="3"/>
  <c r="AY210" i="3"/>
  <c r="AY448" i="3"/>
  <c r="AY487" i="3"/>
  <c r="AY359" i="3"/>
  <c r="AY549" i="3"/>
  <c r="AY317" i="3"/>
  <c r="AY217" i="3"/>
  <c r="AY529" i="3"/>
  <c r="AY356" i="3"/>
  <c r="AY272" i="3"/>
  <c r="AY184" i="3"/>
  <c r="AY35" i="3"/>
  <c r="AY99" i="3"/>
  <c r="AY179" i="3"/>
  <c r="AY307" i="3"/>
  <c r="AY509" i="3"/>
  <c r="AY521" i="3"/>
  <c r="AY417" i="3"/>
  <c r="AY358" i="3"/>
  <c r="AY350" i="3"/>
  <c r="AY206" i="3"/>
  <c r="AY80" i="3"/>
  <c r="AY262" i="3"/>
  <c r="AY124" i="3"/>
  <c r="AY28" i="3"/>
  <c r="AY158" i="3"/>
  <c r="AY72" i="3"/>
  <c r="AY214" i="3"/>
  <c r="AY100" i="3"/>
  <c r="AY20" i="3"/>
  <c r="BQ6" i="3"/>
  <c r="AY77" i="3"/>
  <c r="AY247" i="3"/>
  <c r="AY525" i="3"/>
  <c r="AY145" i="3"/>
  <c r="AY70" i="3"/>
  <c r="AY186" i="3"/>
  <c r="AY346" i="3"/>
  <c r="AY556" i="3"/>
  <c r="AY460" i="3"/>
  <c r="AY33" i="3"/>
  <c r="AY191" i="3"/>
  <c r="AY392" i="3"/>
  <c r="AY89" i="3"/>
  <c r="AY42" i="3"/>
  <c r="AY138" i="3"/>
  <c r="AY290" i="3"/>
  <c r="AY584" i="3"/>
  <c r="AY488" i="3"/>
  <c r="AY408" i="3"/>
  <c r="AY515" i="3"/>
  <c r="AY419" i="3"/>
  <c r="AY570" i="3"/>
  <c r="AY490" i="3"/>
  <c r="AY384" i="3"/>
  <c r="AY297" i="3"/>
  <c r="AY101" i="3"/>
  <c r="AY295" i="3"/>
  <c r="BJ6" i="3"/>
  <c r="BG6" i="3"/>
  <c r="AY94" i="3"/>
  <c r="AY202" i="3"/>
  <c r="AY364" i="3"/>
  <c r="AY532" i="3"/>
  <c r="AY452" i="3"/>
  <c r="AY559" i="3"/>
  <c r="AY463" i="3"/>
  <c r="AY383" i="3"/>
  <c r="AY534" i="3"/>
  <c r="AY462" i="3"/>
  <c r="AY341" i="3"/>
  <c r="AY261" i="3"/>
  <c r="AY165" i="3"/>
  <c r="AY413" i="3"/>
  <c r="AY316" i="3"/>
  <c r="AY220" i="3"/>
  <c r="BH6" i="3"/>
  <c r="AY41" i="3"/>
  <c r="AY560" i="3"/>
  <c r="AY507" i="3"/>
  <c r="AY578" i="3"/>
  <c r="AY373" i="3"/>
  <c r="AY233" i="3"/>
  <c r="AY513" i="3"/>
  <c r="AY308" i="3"/>
  <c r="AY200" i="3"/>
  <c r="AY39" i="3"/>
  <c r="AY135" i="3"/>
  <c r="AY283" i="3"/>
  <c r="AY541" i="3"/>
  <c r="AY18" i="3"/>
  <c r="AY489" i="3"/>
  <c r="AY326" i="3"/>
  <c r="AY270" i="3"/>
  <c r="AY112" i="3"/>
  <c r="AY230" i="3"/>
  <c r="AY76" i="3"/>
  <c r="AY190" i="3"/>
  <c r="AY40" i="3"/>
  <c r="AY150" i="3"/>
  <c r="AY36" i="3"/>
  <c r="BA6" i="3"/>
  <c r="AY183" i="3"/>
  <c r="AY381" i="3"/>
  <c r="BO6" i="3"/>
  <c r="AY118" i="3"/>
  <c r="AY314" i="3"/>
  <c r="AY524" i="3"/>
  <c r="AY428" i="3"/>
  <c r="AY159" i="3"/>
  <c r="AY450" i="3"/>
  <c r="BS6" i="3"/>
  <c r="AY106" i="3"/>
  <c r="AY322" i="3"/>
  <c r="AY536" i="3"/>
  <c r="AY424" i="3"/>
  <c r="AY483" i="3"/>
  <c r="AY387" i="3"/>
  <c r="AY506" i="3"/>
  <c r="AY362" i="3"/>
  <c r="AY37" i="3"/>
  <c r="AY231" i="3"/>
  <c r="AY29" i="3"/>
  <c r="AY46" i="3"/>
  <c r="AY170" i="3"/>
  <c r="AY473" i="3"/>
  <c r="AY500" i="3"/>
  <c r="AY575" i="3"/>
  <c r="AY447" i="3"/>
  <c r="AY566" i="3"/>
  <c r="AY581" i="3"/>
  <c r="AY325" i="3"/>
  <c r="AY213" i="3"/>
  <c r="AY445" i="3"/>
  <c r="AY284" i="3"/>
  <c r="AY188" i="3"/>
  <c r="AY370" i="3"/>
  <c r="AY496" i="3"/>
  <c r="AY411" i="3"/>
  <c r="AY501" i="3"/>
  <c r="AY209" i="3"/>
  <c r="AY377" i="3"/>
  <c r="AY224" i="3"/>
  <c r="AY71" i="3"/>
  <c r="AY187" i="3"/>
  <c r="AY442" i="3"/>
  <c r="AY82" i="3"/>
  <c r="AY480" i="3"/>
  <c r="AY439" i="3"/>
  <c r="AY510" i="3"/>
  <c r="AY333" i="3"/>
  <c r="AY185" i="3"/>
  <c r="AY398" i="3"/>
  <c r="AY280" i="3"/>
  <c r="AY152" i="3"/>
  <c r="AY75" i="3"/>
  <c r="AY163" i="3"/>
  <c r="AY355" i="3"/>
  <c r="AY175" i="3"/>
  <c r="AY98" i="3"/>
  <c r="AY587" i="3"/>
  <c r="AY427" i="3"/>
  <c r="AY498" i="3"/>
  <c r="AY289" i="3"/>
  <c r="AY177" i="3"/>
  <c r="AY393" i="3"/>
  <c r="AY256" i="3"/>
  <c r="AY148" i="3"/>
  <c r="AY79" i="3"/>
  <c r="AY203" i="3"/>
  <c r="AY365" i="3"/>
  <c r="AY335" i="3"/>
  <c r="AY338" i="3"/>
  <c r="AY551" i="3"/>
  <c r="AY391" i="3"/>
  <c r="AY446" i="3"/>
  <c r="AY257" i="3"/>
  <c r="AY153" i="3"/>
  <c r="AY336" i="3"/>
  <c r="AY228" i="3"/>
  <c r="AY19" i="3"/>
  <c r="AY115" i="3"/>
  <c r="AY243" i="3"/>
  <c r="AY426" i="3"/>
  <c r="AY569" i="3"/>
  <c r="AY585" i="3"/>
  <c r="AY318" i="3"/>
  <c r="AY64" i="3"/>
  <c r="AY140" i="3"/>
  <c r="AY254" i="3"/>
  <c r="AY310" i="3"/>
  <c r="AY84" i="3"/>
  <c r="BE6" i="3"/>
  <c r="AY215" i="3"/>
  <c r="AY49" i="3"/>
  <c r="AY102" i="3"/>
  <c r="AY385" i="3"/>
  <c r="AY492" i="3"/>
  <c r="AY129" i="3"/>
  <c r="AY557" i="3"/>
  <c r="AY74" i="3"/>
  <c r="AY258" i="3"/>
  <c r="AY520" i="3"/>
  <c r="AY547" i="3"/>
  <c r="AY403" i="3"/>
  <c r="AY533" i="3"/>
  <c r="AY313" i="3"/>
  <c r="AY199" i="3"/>
  <c r="AY93" i="3"/>
  <c r="AY110" i="3"/>
  <c r="AY330" i="3"/>
  <c r="AY468" i="3"/>
  <c r="AY511" i="3"/>
  <c r="AY367" i="3"/>
  <c r="AY430" i="3"/>
  <c r="AY277" i="3"/>
  <c r="AY545" i="3"/>
  <c r="AY268" i="3"/>
  <c r="AY15" i="3"/>
  <c r="AY242" i="3"/>
  <c r="AY379" i="3"/>
  <c r="AY305" i="3"/>
  <c r="AY405" i="3"/>
  <c r="AY180" i="3"/>
  <c r="AY103" i="3"/>
  <c r="AY386" i="3"/>
  <c r="AY146" i="3"/>
  <c r="AY535" i="3"/>
  <c r="AY542" i="3"/>
  <c r="AY269" i="3"/>
  <c r="AY577" i="3"/>
  <c r="AY304" i="3"/>
  <c r="BP6" i="3"/>
  <c r="AY123" i="3"/>
  <c r="AY291" i="3"/>
  <c r="AY303" i="3"/>
  <c r="AY505" i="3"/>
  <c r="AY459" i="3"/>
  <c r="AY454" i="3"/>
  <c r="AY241" i="3"/>
  <c r="AY429" i="3"/>
  <c r="AY232" i="3"/>
  <c r="AY47" i="3"/>
  <c r="AY143" i="3"/>
  <c r="AY410" i="3"/>
  <c r="AY50" i="3"/>
  <c r="AY583" i="3"/>
  <c r="AY558" i="3"/>
  <c r="AY349" i="3"/>
  <c r="AY173" i="3"/>
  <c r="AY312" i="3"/>
  <c r="AY164" i="3"/>
  <c r="AY83" i="3"/>
  <c r="AY275" i="3"/>
  <c r="AY433" i="3"/>
  <c r="AY465" i="3"/>
  <c r="AY238" i="3"/>
  <c r="AY48" i="3"/>
  <c r="AY92" i="3"/>
  <c r="AY136" i="3"/>
  <c r="AY278" i="3"/>
  <c r="AY52" i="3"/>
  <c r="BB6" i="3"/>
  <c r="AY311" i="3"/>
  <c r="AY113" i="3"/>
  <c r="AY134" i="3"/>
  <c r="AY537" i="3"/>
  <c r="AY444" i="3"/>
  <c r="AY255" i="3"/>
  <c r="AY53" i="3"/>
  <c r="AY90" i="3"/>
  <c r="AY396" i="3"/>
  <c r="AY472" i="3"/>
  <c r="AY531" i="3"/>
  <c r="AY586" i="3"/>
  <c r="AY470" i="3"/>
  <c r="AY281" i="3"/>
  <c r="AY327" i="3"/>
  <c r="AY125" i="3"/>
  <c r="AY126" i="3"/>
  <c r="AY580" i="3"/>
  <c r="AY436" i="3"/>
  <c r="AY495" i="3"/>
  <c r="AY550" i="3"/>
  <c r="AY400" i="3"/>
  <c r="AY229" i="3"/>
  <c r="AY388" i="3"/>
  <c r="AY252" i="3"/>
  <c r="AY239" i="3"/>
  <c r="AY432" i="3"/>
  <c r="AY514" i="3"/>
  <c r="AY253" i="3"/>
  <c r="AY352" i="3"/>
  <c r="BL6" i="3"/>
  <c r="AY155" i="3"/>
  <c r="AY141" i="3"/>
  <c r="AY425" i="3"/>
  <c r="AY503" i="3"/>
  <c r="AY478" i="3"/>
  <c r="AY249" i="3"/>
  <c r="AY437" i="3"/>
  <c r="AY240" i="3"/>
  <c r="AY27" i="3"/>
  <c r="AY139" i="3"/>
  <c r="AY397" i="3"/>
  <c r="AY109" i="3"/>
  <c r="AY528" i="3"/>
  <c r="AY395" i="3"/>
  <c r="AY394" i="3"/>
  <c r="AY201" i="3"/>
  <c r="AY340" i="3"/>
  <c r="AY212" i="3"/>
  <c r="AY63" i="3"/>
  <c r="AY235" i="3"/>
  <c r="AY73" i="3"/>
  <c r="AY114" i="3"/>
  <c r="AY519" i="3"/>
  <c r="AY526" i="3"/>
  <c r="AY285" i="3"/>
  <c r="AY461" i="3"/>
  <c r="AY292" i="3"/>
  <c r="BD6" i="3"/>
  <c r="AY131" i="3"/>
  <c r="AY339" i="3"/>
  <c r="AY342" i="3"/>
  <c r="AY553" i="3"/>
  <c r="AY144" i="3"/>
  <c r="AY294" i="3"/>
  <c r="AY60" i="3"/>
  <c r="AY104" i="3"/>
  <c r="AY182" i="3"/>
  <c r="AY16" i="3"/>
  <c r="AY57" i="3"/>
  <c r="AY343" i="3"/>
  <c r="AY38" i="3"/>
  <c r="AY218" i="3"/>
  <c r="AY572" i="3"/>
  <c r="BF6" i="3"/>
  <c r="AY287" i="3"/>
  <c r="AY117" i="3"/>
  <c r="AY162" i="3"/>
  <c r="AY457" i="3"/>
  <c r="AY456" i="3"/>
  <c r="AY467" i="3"/>
  <c r="AY554" i="3"/>
  <c r="AY438" i="3"/>
  <c r="AY69" i="3"/>
  <c r="AY360" i="3"/>
  <c r="AY30" i="3"/>
  <c r="AY234" i="3"/>
  <c r="AY564" i="3"/>
  <c r="AY404" i="3"/>
  <c r="AY431" i="3"/>
  <c r="AY502" i="3"/>
  <c r="AY357" i="3"/>
  <c r="AY197" i="3"/>
  <c r="AY348" i="3"/>
  <c r="AY204" i="3"/>
  <c r="AY66" i="3"/>
  <c r="AY539" i="3"/>
  <c r="AY482" i="3"/>
  <c r="AY169" i="3"/>
  <c r="AY288" i="3"/>
  <c r="AY23" i="3"/>
  <c r="AY251" i="3"/>
  <c r="AY271" i="3"/>
  <c r="AY544" i="3"/>
  <c r="AY407" i="3"/>
  <c r="AY414" i="3"/>
  <c r="AY225" i="3"/>
  <c r="AY372" i="3"/>
  <c r="AY216" i="3"/>
  <c r="AY59" i="3"/>
  <c r="AY227" i="3"/>
  <c r="AY458" i="3"/>
  <c r="AY34" i="3"/>
  <c r="AY555" i="3"/>
  <c r="AY562" i="3"/>
  <c r="AY353" i="3"/>
  <c r="AY157" i="3"/>
  <c r="AY320" i="3"/>
  <c r="AY168" i="3"/>
  <c r="AY111" i="3"/>
  <c r="AY267" i="3"/>
  <c r="AY207" i="3"/>
  <c r="AY576" i="3"/>
  <c r="AY455" i="3"/>
  <c r="AY494" i="3"/>
  <c r="AY237" i="3"/>
  <c r="AY421" i="3"/>
  <c r="AY248" i="3"/>
  <c r="AY51" i="3"/>
  <c r="AY147" i="3"/>
  <c r="AY376" i="3"/>
  <c r="AY334" i="3"/>
  <c r="AY390" i="3"/>
  <c r="AY128" i="3"/>
  <c r="AY166" i="3"/>
  <c r="AY286" i="3"/>
  <c r="AY88" i="3"/>
  <c r="AY116" i="3"/>
  <c r="BI6" i="3"/>
  <c r="AY121" i="3"/>
  <c r="AY13" i="3"/>
  <c r="AY54" i="3"/>
  <c r="AY250" i="3"/>
  <c r="AY508" i="3"/>
  <c r="AY61" i="3"/>
  <c r="AY319" i="3"/>
  <c r="AY26" i="3"/>
  <c r="AY194" i="3"/>
  <c r="AY552" i="3"/>
  <c r="AY579" i="3"/>
  <c r="AY451" i="3"/>
  <c r="AY522" i="3"/>
  <c r="AY345" i="3"/>
  <c r="AY167" i="3"/>
  <c r="AY466" i="3"/>
  <c r="AY62" i="3"/>
  <c r="AY298" i="3"/>
  <c r="AY516" i="3"/>
  <c r="AY527" i="3"/>
  <c r="AY399" i="3"/>
  <c r="AY486" i="3"/>
  <c r="AY293" i="3"/>
  <c r="AY149" i="3"/>
  <c r="AY332" i="3"/>
  <c r="AY156" i="3"/>
  <c r="AY130" i="3"/>
  <c r="AY475" i="3"/>
  <c r="AY337" i="3"/>
  <c r="D3" i="6"/>
  <c r="AY264" i="3"/>
  <c r="AY87" i="3"/>
  <c r="AY315" i="3"/>
  <c r="AY418" i="3"/>
  <c r="AY567" i="3"/>
  <c r="AY375" i="3"/>
  <c r="AY368" i="3"/>
  <c r="AY161" i="3"/>
  <c r="AY324" i="3"/>
  <c r="AY196" i="3"/>
  <c r="AY91" i="3"/>
  <c r="AY259" i="3"/>
  <c r="AY45" i="3"/>
  <c r="AY306" i="3"/>
  <c r="AY523" i="3"/>
  <c r="AY530" i="3"/>
  <c r="AY265" i="3"/>
  <c r="AY469" i="3"/>
  <c r="AY296" i="3"/>
  <c r="BT6" i="3"/>
  <c r="AY127" i="3"/>
  <c r="AY331" i="3"/>
  <c r="AY137" i="3"/>
  <c r="AY512" i="3"/>
  <c r="AY423" i="3"/>
  <c r="AY389" i="3"/>
  <c r="AY193" i="3"/>
  <c r="AY382" i="3"/>
  <c r="AY208" i="3"/>
  <c r="AY67" i="3"/>
  <c r="AY211" i="3"/>
  <c r="C60" i="15"/>
  <c r="C59" i="15" s="1"/>
  <c r="C66" i="15"/>
  <c r="C34" i="69"/>
  <c r="H6" i="3"/>
  <c r="AC6" i="3"/>
  <c r="F27" i="69"/>
  <c r="F27" i="11"/>
  <c r="F28" i="12"/>
  <c r="C29" i="12" s="1"/>
  <c r="D28" i="12" s="1"/>
  <c r="D10" i="68"/>
  <c r="E6" i="3" l="1"/>
  <c r="H7" i="40"/>
  <c r="F7" i="40"/>
  <c r="J7" i="40"/>
  <c r="L69" i="39"/>
  <c r="M67" i="39"/>
  <c r="C36" i="15"/>
  <c r="C13" i="15"/>
  <c r="Q49" i="15"/>
  <c r="J59" i="15"/>
  <c r="J60" i="15" s="1"/>
  <c r="C57" i="15"/>
  <c r="C64" i="15" s="1"/>
  <c r="J14" i="15"/>
  <c r="C10" i="68"/>
  <c r="C8" i="68" s="1"/>
  <c r="C5" i="68" s="1"/>
  <c r="D19" i="68"/>
  <c r="D37" i="68" s="1"/>
  <c r="C37" i="68" s="1"/>
  <c r="C13" i="67"/>
  <c r="C36" i="67"/>
  <c r="Q49" i="67"/>
  <c r="C57" i="67"/>
  <c r="C64" i="67" s="1"/>
  <c r="J14" i="67"/>
  <c r="J59" i="67"/>
  <c r="J60" i="67" s="1"/>
  <c r="C38" i="69"/>
  <c r="C35" i="69"/>
  <c r="T8" i="1"/>
  <c r="AR8" i="1"/>
  <c r="AQ8" i="1"/>
  <c r="AC10" i="40"/>
  <c r="W10" i="40"/>
  <c r="D17" i="12"/>
  <c r="C17" i="12" s="1"/>
  <c r="C14" i="12"/>
  <c r="C16" i="12" s="1"/>
  <c r="D17" i="71"/>
  <c r="C16" i="71"/>
  <c r="AR6" i="1"/>
  <c r="S16" i="1"/>
  <c r="T6" i="1"/>
  <c r="AQ6" i="1"/>
  <c r="E6" i="70"/>
  <c r="E2" i="70" s="1"/>
  <c r="AC10" i="39"/>
  <c r="W10" i="39"/>
  <c r="C38" i="11"/>
  <c r="C35" i="11"/>
  <c r="C20" i="11"/>
  <c r="C25" i="11" s="1"/>
  <c r="C24" i="11"/>
  <c r="K58" i="21"/>
  <c r="L58" i="21" s="1"/>
  <c r="M58" i="21" s="1"/>
  <c r="N58" i="21" s="1"/>
  <c r="O58" i="21" s="1"/>
  <c r="C29" i="69"/>
  <c r="D27" i="69" s="1"/>
  <c r="F45" i="69"/>
  <c r="C47" i="69"/>
  <c r="D45" i="69" s="1"/>
  <c r="I19" i="6"/>
  <c r="M27" i="6"/>
  <c r="AA10" i="39"/>
  <c r="S10" i="39"/>
  <c r="S10" i="40"/>
  <c r="AA10" i="40"/>
  <c r="F50" i="69"/>
  <c r="F50" i="11"/>
  <c r="F50" i="68"/>
  <c r="C29" i="11"/>
  <c r="D27" i="11" s="1"/>
  <c r="C47" i="11"/>
  <c r="D45" i="11" s="1"/>
  <c r="D25" i="6"/>
  <c r="D12" i="6"/>
  <c r="D22" i="6"/>
  <c r="D24" i="6"/>
  <c r="M19" i="9"/>
  <c r="C118" i="9" s="1"/>
  <c r="D6" i="6"/>
  <c r="D9" i="6"/>
  <c r="D8" i="6"/>
  <c r="D14" i="6"/>
  <c r="D10" i="6"/>
  <c r="D19" i="6"/>
  <c r="H21" i="6"/>
  <c r="H25" i="6"/>
  <c r="H20" i="6"/>
  <c r="D5" i="6"/>
  <c r="D29" i="6"/>
  <c r="D23" i="6"/>
  <c r="H26" i="6"/>
  <c r="D15" i="6"/>
  <c r="D20" i="6"/>
  <c r="D28" i="6"/>
  <c r="H23" i="6"/>
  <c r="D21" i="6"/>
  <c r="D26" i="6"/>
  <c r="C18" i="4"/>
  <c r="E61" i="40"/>
  <c r="H24" i="6"/>
  <c r="D13" i="6"/>
  <c r="D11" i="6"/>
  <c r="L19" i="9"/>
  <c r="H22" i="6"/>
  <c r="D10" i="11"/>
  <c r="C10" i="11" s="1"/>
  <c r="D10" i="69"/>
  <c r="D20" i="12"/>
  <c r="C20" i="12" s="1"/>
  <c r="C18" i="12" s="1"/>
  <c r="F7" i="21"/>
  <c r="T7" i="1"/>
  <c r="AR7" i="1"/>
  <c r="AQ7" i="1"/>
  <c r="U10" i="39"/>
  <c r="AB10" i="39"/>
  <c r="AB10" i="40"/>
  <c r="U10" i="40"/>
  <c r="C34" i="68"/>
  <c r="R21" i="6" l="1"/>
  <c r="R8" i="1" s="1"/>
  <c r="D30" i="6"/>
  <c r="H7" i="21"/>
  <c r="U7" i="21" s="1"/>
  <c r="AC7" i="40"/>
  <c r="V42" i="40" s="1"/>
  <c r="I42" i="40" s="1"/>
  <c r="W7" i="40"/>
  <c r="J7" i="21"/>
  <c r="AC7" i="21" s="1"/>
  <c r="V48" i="21" s="1"/>
  <c r="I48" i="21" s="1"/>
  <c r="N67" i="39"/>
  <c r="M69" i="39"/>
  <c r="S7" i="40"/>
  <c r="AA7" i="40"/>
  <c r="R42" i="40" s="1"/>
  <c r="U7" i="40"/>
  <c r="AB7" i="40"/>
  <c r="T42" i="40" s="1"/>
  <c r="G42" i="40" s="1"/>
  <c r="C33" i="11"/>
  <c r="C39" i="11" s="1"/>
  <c r="C43" i="11" s="1"/>
  <c r="Q48" i="15"/>
  <c r="L46" i="15"/>
  <c r="J13" i="15"/>
  <c r="J23" i="15" s="1"/>
  <c r="J22" i="15"/>
  <c r="C37" i="15"/>
  <c r="C30" i="15" s="1"/>
  <c r="C39" i="15" s="1"/>
  <c r="C56" i="15"/>
  <c r="C65" i="15" s="1"/>
  <c r="C58" i="15" s="1"/>
  <c r="C67" i="15" s="1"/>
  <c r="C68" i="15" s="1"/>
  <c r="C71" i="15" s="1"/>
  <c r="Q70" i="15"/>
  <c r="C75" i="15"/>
  <c r="C22" i="11"/>
  <c r="C38" i="68"/>
  <c r="C35" i="68"/>
  <c r="C10" i="69"/>
  <c r="C8" i="69" s="1"/>
  <c r="C5" i="69" s="1"/>
  <c r="D19" i="69"/>
  <c r="D27" i="6"/>
  <c r="D31" i="6" s="1"/>
  <c r="R22" i="6"/>
  <c r="C42" i="11"/>
  <c r="D16" i="71"/>
  <c r="U16" i="71" s="1"/>
  <c r="T16" i="71"/>
  <c r="C15" i="71"/>
  <c r="J22" i="67"/>
  <c r="J13" i="67"/>
  <c r="J23" i="67" s="1"/>
  <c r="C37" i="67"/>
  <c r="C30" i="67" s="1"/>
  <c r="C39" i="67" s="1"/>
  <c r="C56" i="67"/>
  <c r="C65" i="67" s="1"/>
  <c r="C58" i="67" s="1"/>
  <c r="C67" i="67" s="1"/>
  <c r="C68" i="67" s="1"/>
  <c r="C75" i="67"/>
  <c r="Q70" i="67"/>
  <c r="AB7" i="21"/>
  <c r="T48" i="21" s="1"/>
  <c r="G48" i="21" s="1"/>
  <c r="S7" i="21"/>
  <c r="AA7" i="21"/>
  <c r="R48" i="21" s="1"/>
  <c r="D21" i="9"/>
  <c r="C21" i="9"/>
  <c r="G21" i="9"/>
  <c r="I27" i="6"/>
  <c r="S19" i="6"/>
  <c r="S27" i="6" s="1"/>
  <c r="C4" i="52"/>
  <c r="B45" i="72" s="1"/>
  <c r="A10" i="51"/>
  <c r="B9" i="72" s="1"/>
  <c r="A7" i="51"/>
  <c r="B7" i="72" s="1"/>
  <c r="R23" i="6"/>
  <c r="R25" i="6"/>
  <c r="H19" i="6"/>
  <c r="H27" i="6" s="1"/>
  <c r="R26" i="6"/>
  <c r="R20" i="6"/>
  <c r="R7" i="1" s="1"/>
  <c r="D16" i="6"/>
  <c r="R24" i="6"/>
  <c r="C28" i="11"/>
  <c r="C27" i="11" s="1"/>
  <c r="T16" i="1"/>
  <c r="C21" i="12"/>
  <c r="Q48" i="67"/>
  <c r="L46" i="67"/>
  <c r="C23" i="68"/>
  <c r="C20" i="68"/>
  <c r="C25" i="68" s="1"/>
  <c r="L51" i="15"/>
  <c r="W7" i="21" l="1"/>
  <c r="E42" i="40"/>
  <c r="R43" i="40"/>
  <c r="G47" i="40"/>
  <c r="H47" i="40" s="1"/>
  <c r="G46" i="40"/>
  <c r="H46" i="40" s="1"/>
  <c r="C31" i="11"/>
  <c r="I47" i="40"/>
  <c r="J47" i="40" s="1"/>
  <c r="I46" i="40"/>
  <c r="J46" i="40" s="1"/>
  <c r="N69" i="39"/>
  <c r="H7" i="39" s="1"/>
  <c r="O67" i="39"/>
  <c r="O69" i="39" s="1"/>
  <c r="C80" i="15"/>
  <c r="C79" i="15" s="1"/>
  <c r="C22" i="68"/>
  <c r="J16" i="15"/>
  <c r="J25" i="15" s="1"/>
  <c r="Q67" i="15"/>
  <c r="L57" i="15"/>
  <c r="L60" i="15" s="1"/>
  <c r="Q66" i="15" s="1"/>
  <c r="C40" i="15"/>
  <c r="Q69" i="15"/>
  <c r="Q68" i="15" s="1"/>
  <c r="C33" i="68"/>
  <c r="C39" i="68" s="1"/>
  <c r="C43" i="68" s="1"/>
  <c r="C41" i="11"/>
  <c r="C40" i="67"/>
  <c r="C45" i="67" s="1"/>
  <c r="C46" i="67" s="1"/>
  <c r="Q69" i="67"/>
  <c r="Q68" i="67" s="1"/>
  <c r="E48" i="21"/>
  <c r="R49" i="21"/>
  <c r="C71" i="67"/>
  <c r="D15" i="71"/>
  <c r="C14" i="71"/>
  <c r="C19" i="69"/>
  <c r="C24" i="69" s="1"/>
  <c r="D37" i="69"/>
  <c r="C37" i="69" s="1"/>
  <c r="C33" i="69" s="1"/>
  <c r="C23" i="69"/>
  <c r="C28" i="68"/>
  <c r="C27" i="68" s="1"/>
  <c r="C80" i="67"/>
  <c r="C79" i="67" s="1"/>
  <c r="C46" i="11"/>
  <c r="C45" i="11" s="1"/>
  <c r="I5" i="6"/>
  <c r="I6" i="6"/>
  <c r="I53" i="21"/>
  <c r="J53" i="21" s="1"/>
  <c r="I52" i="21"/>
  <c r="J52" i="21" s="1"/>
  <c r="G52" i="21"/>
  <c r="H52" i="21" s="1"/>
  <c r="G53" i="21"/>
  <c r="H53" i="21" s="1"/>
  <c r="C22" i="12"/>
  <c r="C30" i="12" s="1"/>
  <c r="C28" i="12" s="1"/>
  <c r="J16" i="67"/>
  <c r="J25" i="67" s="1"/>
  <c r="R19" i="6"/>
  <c r="L51" i="67"/>
  <c r="C31" i="68" l="1"/>
  <c r="C42" i="40"/>
  <c r="C43" i="40"/>
  <c r="F7" i="39"/>
  <c r="J7" i="39"/>
  <c r="E47" i="40"/>
  <c r="F47" i="40" s="1"/>
  <c r="E46" i="40"/>
  <c r="F46" i="40" s="1"/>
  <c r="U7" i="39"/>
  <c r="AB7" i="39"/>
  <c r="T47" i="39" s="1"/>
  <c r="G47" i="39" s="1"/>
  <c r="C49" i="11"/>
  <c r="C51" i="11" s="1"/>
  <c r="C52" i="11" s="1"/>
  <c r="B2" i="11" s="1"/>
  <c r="B3" i="11" s="1"/>
  <c r="C42" i="68"/>
  <c r="C41" i="68" s="1"/>
  <c r="E33" i="68"/>
  <c r="C20" i="69"/>
  <c r="C25" i="69" s="1"/>
  <c r="C22" i="69" s="1"/>
  <c r="Q57" i="15"/>
  <c r="C43" i="15"/>
  <c r="Q65" i="15"/>
  <c r="Q75" i="15" s="1"/>
  <c r="B2" i="15"/>
  <c r="B3" i="15" s="1"/>
  <c r="Q47" i="15"/>
  <c r="Q53" i="15" s="1"/>
  <c r="C46" i="15"/>
  <c r="Q56" i="15"/>
  <c r="C83" i="15"/>
  <c r="C82" i="15" s="1"/>
  <c r="Q67" i="67"/>
  <c r="L57" i="67"/>
  <c r="L60" i="67" s="1"/>
  <c r="C13" i="71"/>
  <c r="D14" i="71"/>
  <c r="C49" i="21"/>
  <c r="C48" i="21"/>
  <c r="D2" i="67"/>
  <c r="C43" i="67"/>
  <c r="Q65" i="67"/>
  <c r="Q47" i="67"/>
  <c r="Q53" i="67" s="1"/>
  <c r="Q56" i="67"/>
  <c r="C83" i="67"/>
  <c r="C82" i="67" s="1"/>
  <c r="C27" i="12"/>
  <c r="C25" i="12" s="1"/>
  <c r="C32" i="12" s="1"/>
  <c r="B2" i="12" s="1"/>
  <c r="B3" i="12" s="1"/>
  <c r="E52" i="21"/>
  <c r="F52" i="21" s="1"/>
  <c r="E53" i="21"/>
  <c r="F53" i="21" s="1"/>
  <c r="C46" i="68"/>
  <c r="C45" i="68" s="1"/>
  <c r="R6" i="1"/>
  <c r="R16" i="1" s="1"/>
  <c r="R27" i="6"/>
  <c r="C42" i="69"/>
  <c r="C39" i="69"/>
  <c r="C43" i="69" s="1"/>
  <c r="AE6" i="1"/>
  <c r="AE8" i="1"/>
  <c r="AE7" i="1"/>
  <c r="W7" i="39" l="1"/>
  <c r="AC7" i="39"/>
  <c r="V47" i="39" s="1"/>
  <c r="I47" i="39" s="1"/>
  <c r="AA7" i="39"/>
  <c r="R47" i="39" s="1"/>
  <c r="S7" i="39"/>
  <c r="G51" i="39"/>
  <c r="H51" i="39" s="1"/>
  <c r="G52" i="39"/>
  <c r="H52" i="39" s="1"/>
  <c r="B58" i="40"/>
  <c r="F58" i="40" s="1"/>
  <c r="B53" i="40"/>
  <c r="F53" i="40" s="1"/>
  <c r="B57" i="40"/>
  <c r="F57" i="40" s="1"/>
  <c r="B54" i="40"/>
  <c r="F54" i="40" s="1"/>
  <c r="F61" i="40"/>
  <c r="B2" i="40" s="1"/>
  <c r="B3" i="40" s="1"/>
  <c r="B60" i="40"/>
  <c r="F60" i="40" s="1"/>
  <c r="B51" i="40"/>
  <c r="F51" i="40" s="1"/>
  <c r="B56" i="40"/>
  <c r="F56" i="40" s="1"/>
  <c r="B59" i="40"/>
  <c r="F59" i="40" s="1"/>
  <c r="B52" i="40"/>
  <c r="F52" i="40" s="1"/>
  <c r="C28" i="69"/>
  <c r="C27" i="69" s="1"/>
  <c r="C31" i="69" s="1"/>
  <c r="Q62" i="15"/>
  <c r="C49" i="68"/>
  <c r="C51" i="68" s="1"/>
  <c r="C52" i="68" s="1"/>
  <c r="C41" i="69"/>
  <c r="B2" i="67"/>
  <c r="B3" i="67"/>
  <c r="Q57" i="67"/>
  <c r="Q62" i="67" s="1"/>
  <c r="Q66" i="67"/>
  <c r="Q75" i="67" s="1"/>
  <c r="D13" i="71"/>
  <c r="C12" i="71"/>
  <c r="C46" i="69"/>
  <c r="C45" i="69" s="1"/>
  <c r="C56" i="11"/>
  <c r="C57" i="11" s="1"/>
  <c r="E47" i="39" l="1"/>
  <c r="R48" i="39"/>
  <c r="I51" i="39"/>
  <c r="J51" i="39" s="1"/>
  <c r="I52" i="39"/>
  <c r="J52" i="39" s="1"/>
  <c r="B2" i="68"/>
  <c r="B3" i="68" s="1"/>
  <c r="C53" i="68"/>
  <c r="C49" i="69"/>
  <c r="C51" i="69" s="1"/>
  <c r="C52" i="69" s="1"/>
  <c r="B2" i="69" s="1"/>
  <c r="B3" i="69" s="1"/>
  <c r="D12" i="71"/>
  <c r="U12" i="71" s="1"/>
  <c r="T12" i="71"/>
  <c r="C11" i="71"/>
  <c r="C57" i="68"/>
  <c r="C56" i="68" s="1"/>
  <c r="AO7" i="1"/>
  <c r="AO6" i="1"/>
  <c r="AO8" i="1"/>
  <c r="C48" i="39" l="1"/>
  <c r="C47" i="39"/>
  <c r="E52" i="39"/>
  <c r="F52" i="39" s="1"/>
  <c r="E51" i="39"/>
  <c r="F51" i="39" s="1"/>
  <c r="B8" i="70"/>
  <c r="B7" i="70"/>
  <c r="B6" i="70"/>
  <c r="C57" i="69"/>
  <c r="C56" i="69" s="1"/>
  <c r="D11" i="71"/>
  <c r="C10" i="71"/>
  <c r="B2" i="70" l="1"/>
  <c r="B3" i="70" s="1"/>
  <c r="B64" i="39"/>
  <c r="F64" i="39" s="1"/>
  <c r="B57" i="39"/>
  <c r="F57" i="39" s="1"/>
  <c r="B61" i="39"/>
  <c r="F61" i="39" s="1"/>
  <c r="B58" i="39"/>
  <c r="F58" i="39" s="1"/>
  <c r="B59" i="39"/>
  <c r="F59" i="39" s="1"/>
  <c r="B63" i="39"/>
  <c r="F63" i="39" s="1"/>
  <c r="B60" i="39"/>
  <c r="F60" i="39" s="1"/>
  <c r="B62" i="39"/>
  <c r="F62" i="39" s="1"/>
  <c r="B56" i="39"/>
  <c r="F56" i="39" s="1"/>
  <c r="F65" i="39" s="1"/>
  <c r="B2" i="39" s="1"/>
  <c r="B3" i="39" s="1"/>
  <c r="D10" i="71"/>
  <c r="C9" i="71"/>
  <c r="D9" i="71" l="1"/>
  <c r="C8" i="71"/>
  <c r="D8" i="71" l="1"/>
  <c r="C7" i="71"/>
  <c r="D7" i="71" l="1"/>
  <c r="C6" i="71"/>
  <c r="D6" i="71" l="1"/>
  <c r="C5" i="71"/>
  <c r="D5" i="71" l="1"/>
  <c r="M24" i="43"/>
  <c r="I4" i="52" l="1"/>
  <c r="C105" i="9"/>
  <c r="D53" i="9"/>
  <c r="D52" i="9"/>
  <c r="B20" i="72"/>
  <c r="B53" i="72"/>
  <c r="M54" i="9"/>
  <c r="C5" i="74"/>
  <c r="D8" i="52"/>
  <c r="F119" i="9"/>
  <c r="F5" i="52"/>
  <c r="C6" i="74"/>
  <c r="C97" i="9"/>
  <c r="D58" i="9"/>
  <c r="D56" i="9"/>
  <c r="C104" i="9"/>
  <c r="H4" i="52"/>
  <c r="G4" i="52"/>
  <c r="B52" i="72"/>
  <c r="B32" i="72"/>
  <c r="B47" i="72"/>
  <c r="M48" i="9"/>
  <c r="C81" i="9"/>
  <c r="N58" i="9"/>
  <c r="P57" i="9"/>
  <c r="D59" i="9"/>
  <c r="M55" i="9"/>
  <c r="H119" i="9"/>
  <c r="H5" i="52"/>
  <c r="D4" i="52"/>
  <c r="N60" i="9"/>
  <c r="N59" i="9"/>
  <c r="N61" i="9"/>
  <c r="C85" i="9"/>
  <c r="C95" i="9"/>
  <c r="C96" i="9"/>
  <c r="E96" i="9"/>
  <c r="E97" i="9"/>
  <c r="H102" i="9"/>
  <c r="D7" i="53"/>
  <c r="B21" i="72"/>
  <c r="C72" i="9"/>
  <c r="C79" i="9"/>
  <c r="C80" i="9"/>
  <c r="E80" i="9"/>
  <c r="E81" i="9"/>
  <c r="D5" i="53"/>
  <c r="D6" i="53"/>
  <c r="B22" i="72"/>
  <c r="E4" i="52"/>
  <c r="B48" i="72"/>
  <c r="D122" i="9"/>
  <c r="D123" i="9"/>
  <c r="D9" i="52"/>
  <c r="C93" i="9"/>
  <c r="C86" i="9"/>
  <c r="E118" i="9"/>
  <c r="D118" i="9"/>
  <c r="D119" i="9"/>
  <c r="D5" i="52"/>
  <c r="B49" i="72"/>
  <c r="H108" i="9"/>
  <c r="D15" i="53"/>
  <c r="B31" i="72"/>
  <c r="C64" i="9"/>
  <c r="C63" i="9"/>
  <c r="C67" i="9"/>
  <c r="C68" i="9"/>
  <c r="D54" i="9"/>
  <c r="B30" i="72"/>
  <c r="H107" i="9"/>
  <c r="D13" i="53"/>
  <c r="D14" i="53"/>
  <c r="G118" i="9"/>
  <c r="F118" i="9"/>
  <c r="F4" i="52"/>
  <c r="B51" i="72"/>
  <c r="C78" i="9"/>
  <c r="C73"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win10</author>
  </authors>
  <commentList>
    <comment ref="B80" authorId="0" shapeId="0">
      <text>
        <r>
          <rPr>
            <b/>
            <sz val="9"/>
            <color indexed="81"/>
            <rFont val="宋体"/>
            <family val="3"/>
            <charset val="134"/>
          </rPr>
          <t>win10:</t>
        </r>
        <r>
          <rPr>
            <sz val="9"/>
            <color indexed="81"/>
            <rFont val="宋体"/>
            <family val="3"/>
            <charset val="134"/>
          </rPr>
          <t xml:space="preserve">
开发补偿协议（三）+安贞医院10%成本+派出所0.04亿成本
</t>
        </r>
      </text>
    </comment>
    <comment ref="C80" authorId="0" shapeId="0">
      <text>
        <r>
          <rPr>
            <b/>
            <sz val="9"/>
            <color indexed="81"/>
            <rFont val="宋体"/>
            <family val="3"/>
            <charset val="134"/>
          </rPr>
          <t>win10:</t>
        </r>
        <r>
          <rPr>
            <sz val="9"/>
            <color indexed="81"/>
            <rFont val="宋体"/>
            <family val="3"/>
            <charset val="134"/>
          </rPr>
          <t xml:space="preserve">
按照地上可经营性建筑面积分摊</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<sst xmlns="http://schemas.openxmlformats.org/spreadsheetml/2006/main" count="8516" uniqueCount="3846">
  <si>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</si>
  <si>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</si>
  <si>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</si>
  <si>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</si>
  <si>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</si>
  <si>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</si>
  <si>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</si>
  <si>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</si>
  <si>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</si>
  <si>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</si>
  <si>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</si>
  <si>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</si>
  <si>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</si>
  <si>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</si>
  <si>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</si>
  <si>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</si>
  <si>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</si>
  <si>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</si>
  <si>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</si>
  <si>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</si>
  <si>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</si>
  <si>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</si>
  <si>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</si>
  <si>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</si>
  <si>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</si>
  <si>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</si>
  <si>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</si>
  <si>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</si>
  <si>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</si>
  <si>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</si>
  <si>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</si>
  <si>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</si>
  <si>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</si>
  <si>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</si>
  <si>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</si>
  <si>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</si>
  <si>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</si>
  <si>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</si>
  <si>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</si>
  <si>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</si>
  <si>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</si>
  <si>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</si>
  <si>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</si>
  <si>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</si>
  <si>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</si>
  <si>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</si>
  <si>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</si>
  <si>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</si>
  <si>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</si>
  <si>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</si>
  <si>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</si>
  <si>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</si>
  <si>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</si>
  <si>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</si>
  <si>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</si>
  <si>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</si>
  <si>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</si>
  <si>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</si>
  <si>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</si>
  <si>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</si>
  <si>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</si>
  <si>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</si>
  <si>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</si>
  <si>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</si>
  <si>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</si>
  <si>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</si>
  <si>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</si>
  <si>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</si>
  <si>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</si>
  <si>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</si>
  <si>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</si>
  <si>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</si>
  <si>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</si>
  <si>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</si>
  <si>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</si>
  <si>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</si>
  <si>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</si>
  <si>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</si>
  <si>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</si>
  <si>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</si>
  <si>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</si>
  <si>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</si>
  <si>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</si>
  <si>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</si>
  <si>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</si>
  <si>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</si>
  <si>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</si>
  <si>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</si>
  <si>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</si>
  <si>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</si>
  <si>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</si>
  <si>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</si>
  <si>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</si>
  <si>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</si>
  <si>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</si>
  <si>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</si>
  <si>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</si>
  <si>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</si>
  <si>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</si>
  <si>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</si>
  <si>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</si>
  <si>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</si>
  <si>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</si>
  <si>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</si>
  <si>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</si>
  <si>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</si>
  <si>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</si>
  <si>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</si>
  <si>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</si>
  <si>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</si>
  <si>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</si>
  <si>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</si>
  <si>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</si>
  <si>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</si>
  <si>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</si>
  <si>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</si>
  <si>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</si>
  <si>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</si>
  <si>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</si>
  <si>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</si>
  <si>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</si>
  <si>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</si>
  <si>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</si>
  <si>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</si>
  <si>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</si>
  <si>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</si>
  <si>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</si>
  <si>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</si>
  <si>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</si>
  <si>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</si>
  <si>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</si>
  <si>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</si>
  <si>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</si>
  <si>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</si>
  <si>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</si>
  <si>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</si>
  <si>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</si>
  <si>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</si>
  <si>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</si>
  <si>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</si>
  <si>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</si>
  <si>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</si>
  <si>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</si>
  <si>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</si>
  <si>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</si>
  <si>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</si>
  <si>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</si>
  <si>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</si>
  <si>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</si>
  <si>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</si>
  <si>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</si>
  <si>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</si>
  <si>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</si>
  <si>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</si>
  <si>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</si>
  <si>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</si>
  <si>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</si>
  <si>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</si>
  <si>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</si>
  <si>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</si>
  <si>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</si>
  <si>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</si>
  <si>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</si>
  <si>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</si>
  <si>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</si>
  <si>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</si>
  <si>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</si>
  <si>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</si>
  <si>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</si>
  <si>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</si>
  <si>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</si>
  <si>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</si>
  <si>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</si>
  <si>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</si>
  <si>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</si>
  <si>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</si>
  <si>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</si>
  <si>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</si>
  <si>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</si>
  <si>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</si>
  <si>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</si>
  <si>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</si>
  <si>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</si>
  <si>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</si>
  <si>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</si>
  <si>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</si>
  <si>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</si>
  <si>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</si>
  <si>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</si>
  <si>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</si>
  <si>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</si>
  <si>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</si>
  <si>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</si>
  <si>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</si>
  <si>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</si>
  <si>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</si>
  <si>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</si>
  <si>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</si>
  <si>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</si>
  <si>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</si>
  <si>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</si>
  <si>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</si>
  <si>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</si>
  <si>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</si>
  <si>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</si>
  <si>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</si>
  <si>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</si>
  <si>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</si>
  <si>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</si>
  <si>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</si>
  <si>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</si>
  <si>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</si>
  <si>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</si>
  <si>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</si>
  <si>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</si>
  <si>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</si>
  <si>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</si>
  <si>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</si>
  <si>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</si>
  <si>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</si>
  <si>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</si>
  <si>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</si>
  <si>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</si>
  <si>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</si>
  <si>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</si>
  <si>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</si>
  <si>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</si>
  <si>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</si>
  <si>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</si>
  <si>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</si>
  <si>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</si>
  <si>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</si>
  <si>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</si>
  <si>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</si>
  <si>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</si>
  <si>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</si>
  <si>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</si>
  <si>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</si>
  <si>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</si>
  <si>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</si>
  <si>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</si>
  <si>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</si>
  <si>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</si>
  <si>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</si>
  <si>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</si>
  <si>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</si>
  <si>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</si>
  <si>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</si>
  <si>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</si>
  <si>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</si>
  <si>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</si>
  <si>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</si>
  <si>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</si>
  <si>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</si>
  <si>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</si>
  <si>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</si>
  <si>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</si>
  <si>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</si>
  <si>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</si>
  <si>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</si>
  <si>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</si>
  <si>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</si>
  <si>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</si>
  <si>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</si>
  <si>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</si>
  <si>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</si>
  <si>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</si>
  <si>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</si>
  <si>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</si>
  <si>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</si>
  <si>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</si>
  <si>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</si>
  <si>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</si>
  <si>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</si>
  <si>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</si>
  <si>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</si>
  <si>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</si>
  <si>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</si>
  <si>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</si>
  <si>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</si>
  <si>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</si>
  <si>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</si>
  <si>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</si>
  <si>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</si>
  <si>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</si>
  <si>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</si>
  <si>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</si>
  <si>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</si>
  <si>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</si>
  <si>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</si>
  <si>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</si>
  <si>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</si>
  <si>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</si>
  <si>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</si>
  <si>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</si>
  <si>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</si>
  <si>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</si>
  <si>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</si>
  <si>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</si>
  <si>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</si>
  <si>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</si>
  <si>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</si>
  <si>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</si>
  <si>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</si>
  <si>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</si>
  <si>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</si>
  <si>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</si>
  <si>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</si>
  <si>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</si>
  <si>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</si>
  <si>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</si>
  <si>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</si>
  <si>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</si>
  <si>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</si>
  <si>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</si>
  <si>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</si>
  <si>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</si>
  <si>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</si>
  <si>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</si>
  <si>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</si>
  <si>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</si>
  <si>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</si>
  <si>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</si>
  <si>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</si>
  <si>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</si>
  <si>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</si>
  <si>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</si>
  <si>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</si>
  <si>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</si>
  <si>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</si>
  <si>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</si>
  <si>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</si>
  <si>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</si>
  <si>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</si>
  <si>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</si>
  <si>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</si>
  <si>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</si>
  <si>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</si>
  <si>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</si>
  <si>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</si>
  <si>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</si>
  <si>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</si>
  <si>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</si>
  <si>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</si>
  <si>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</si>
  <si>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</si>
  <si>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</si>
  <si>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</si>
  <si>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</si>
  <si>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</si>
  <si>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</si>
  <si>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</si>
  <si>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</si>
  <si>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</si>
  <si>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</si>
  <si>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</si>
  <si>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</si>
  <si>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</si>
  <si>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</si>
  <si>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</si>
  <si>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</si>
  <si>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</si>
  <si>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</si>
  <si>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</si>
  <si>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</si>
  <si>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</si>
  <si>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</si>
  <si>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</si>
  <si>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</si>
  <si>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</si>
  <si>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</si>
  <si>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</si>
  <si>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</si>
  <si>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</si>
  <si>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</si>
  <si>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</si>
  <si>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</si>
  <si>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</si>
  <si>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</si>
  <si>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</si>
  <si>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</si>
  <si>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</si>
  <si>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</si>
  <si>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</si>
  <si>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</si>
  <si>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</si>
  <si>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</si>
  <si>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</si>
  <si>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</si>
  <si>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</si>
  <si>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</si>
  <si>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</si>
  <si>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</si>
  <si>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</si>
  <si>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</si>
  <si>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</si>
  <si>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</si>
  <si>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</si>
  <si>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</si>
  <si>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</si>
  <si>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</si>
  <si>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</si>
  <si>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</si>
  <si>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</si>
  <si>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</si>
  <si>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</si>
  <si>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</si>
  <si>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</si>
  <si>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</si>
  <si>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</si>
  <si>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</si>
  <si>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</si>
  <si>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</si>
  <si>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</si>
  <si>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</si>
  <si>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</si>
  <si>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</si>
  <si>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</si>
  <si>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</si>
  <si>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</si>
  <si>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</si>
  <si>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</si>
  <si>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</si>
  <si>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</si>
  <si>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</si>
  <si>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</si>
  <si>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</si>
  <si>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</si>
  <si>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</si>
  <si>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</si>
  <si>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</si>
  <si>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</si>
  <si>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</si>
  <si>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</si>
  <si>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</si>
  <si>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</si>
  <si>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</si>
  <si>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</si>
  <si>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</si>
  <si>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</si>
  <si>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</si>
  <si>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</si>
  <si>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</si>
  <si>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</si>
  <si>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</si>
  <si>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</si>
  <si>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</si>
  <si>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</si>
  <si>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</si>
  <si>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</si>
  <si>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</si>
  <si>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</si>
  <si>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</si>
  <si>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</si>
  <si>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</si>
  <si>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</si>
  <si>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</si>
  <si>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</si>
  <si>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</si>
  <si>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</si>
  <si>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</si>
  <si>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</si>
  <si>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</si>
  <si>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</si>
  <si>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</si>
  <si>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</si>
  <si>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</si>
  <si>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</si>
  <si>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</si>
  <si>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</si>
  <si>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</si>
  <si>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</si>
  <si>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</si>
  <si>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</si>
  <si>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</si>
  <si>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</si>
  <si>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</si>
  <si>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</si>
  <si>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</si>
  <si>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</si>
  <si>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</si>
  <si>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</si>
  <si>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</si>
  <si>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</si>
  <si>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</si>
  <si>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</si>
  <si>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</si>
  <si>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</si>
  <si>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</si>
  <si>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</si>
  <si>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</si>
  <si>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</si>
  <si>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</si>
  <si>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</si>
  <si>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</si>
  <si>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</si>
  <si>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</si>
  <si>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</si>
  <si>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</si>
  <si>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</si>
  <si>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</si>
  <si>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</si>
  <si>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</si>
  <si>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</si>
  <si>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</si>
  <si>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</si>
  <si>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</si>
  <si>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</si>
  <si>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</si>
  <si>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</si>
  <si>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</si>
  <si>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</si>
  <si>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</si>
  <si>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</si>
  <si>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</si>
  <si>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</si>
  <si>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</si>
  <si>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</si>
  <si>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</si>
  <si>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</si>
  <si>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</si>
  <si>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</si>
  <si>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</si>
  <si>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</si>
  <si>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</si>
  <si>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</si>
  <si>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</si>
  <si>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</si>
  <si>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</si>
  <si>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</si>
  <si>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</si>
  <si>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</si>
  <si>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</si>
  <si>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</si>
  <si>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</si>
  <si>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</si>
  <si>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</si>
  <si>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</si>
  <si>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</si>
  <si>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</si>
  <si>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</si>
  <si>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</si>
  <si>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</si>
  <si>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</si>
  <si>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</si>
  <si>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</si>
  <si>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</si>
  <si>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</si>
  <si>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</si>
  <si>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</si>
  <si>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</si>
  <si>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</si>
  <si>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</si>
  <si>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</si>
  <si>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</si>
  <si>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</si>
  <si>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</si>
  <si>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</si>
  <si>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</si>
  <si>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</si>
  <si>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</si>
  <si>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</si>
  <si>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</si>
  <si>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</si>
  <si>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</si>
  <si>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</si>
  <si>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</si>
  <si>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</si>
  <si>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</si>
  <si>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</si>
  <si>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</si>
  <si>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</si>
  <si>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</si>
  <si>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</si>
  <si>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</si>
  <si>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</si>
  <si>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</si>
  <si>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</si>
  <si>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</si>
  <si>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</si>
  <si>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</si>
  <si>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</si>
  <si>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</si>
  <si>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</si>
  <si>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</si>
  <si>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</si>
  <si>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</si>
  <si>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</si>
  <si>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</si>
  <si>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</si>
  <si>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</si>
  <si>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</si>
  <si>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</si>
  <si>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</si>
  <si>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</si>
  <si>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</si>
  <si>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</si>
  <si>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</si>
  <si>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</si>
  <si>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</si>
  <si>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</si>
  <si>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</si>
  <si>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</si>
  <si>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</si>
  <si>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</si>
  <si>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</si>
  <si>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</si>
  <si>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</si>
  <si>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</si>
  <si>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</si>
  <si>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</si>
  <si>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</si>
  <si>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</si>
  <si>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</si>
  <si>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</si>
  <si>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</si>
  <si>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</si>
  <si>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</si>
  <si>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</si>
  <si>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</si>
  <si>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</si>
  <si>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</si>
  <si>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</si>
  <si>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</si>
  <si>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</si>
  <si>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</si>
  <si>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</si>
  <si>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</si>
  <si>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</si>
  <si>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</si>
  <si>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</si>
  <si>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</si>
  <si>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</si>
  <si>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</si>
  <si>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</si>
  <si>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</si>
  <si>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</si>
  <si>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</si>
  <si>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</si>
  <si>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</si>
  <si>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</si>
  <si>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</si>
  <si>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</si>
  <si>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</si>
  <si>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</si>
  <si>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</si>
  <si>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</si>
  <si>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</si>
  <si>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</si>
  <si>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</si>
  <si>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</si>
  <si>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</si>
  <si>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</si>
  <si>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</si>
  <si>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</si>
  <si>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</si>
  <si>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</si>
  <si>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</si>
  <si>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</si>
  <si>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</si>
  <si>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</si>
  <si>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</si>
  <si>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</si>
  <si>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</si>
  <si>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</si>
  <si>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</si>
  <si>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</si>
  <si>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</si>
  <si>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</si>
  <si>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</si>
  <si>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</si>
  <si>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</si>
  <si>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</si>
  <si>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</si>
  <si>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</si>
  <si>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</si>
  <si>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</si>
  <si>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</si>
  <si>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</si>
  <si>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</si>
  <si>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</si>
  <si>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</si>
  <si>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</si>
  <si>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</si>
  <si>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</si>
  <si>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</si>
  <si>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</si>
  <si>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</si>
  <si>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</si>
  <si>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</si>
  <si>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</si>
  <si>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</si>
  <si>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</si>
  <si>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</si>
  <si>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</si>
  <si>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</si>
  <si>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</si>
  <si>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</si>
  <si>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</si>
  <si>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</si>
  <si>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</si>
  <si>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</si>
  <si>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</si>
  <si>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</si>
  <si>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</si>
  <si>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</si>
  <si>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</si>
  <si>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</si>
  <si>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</si>
  <si>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</si>
  <si>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</si>
  <si>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</si>
  <si>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</si>
  <si>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</si>
  <si>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</si>
  <si>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</si>
  <si>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</si>
  <si>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</si>
  <si>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</si>
  <si>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</si>
  <si>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</si>
  <si>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</si>
  <si>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</si>
  <si>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</si>
  <si>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</si>
  <si>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</si>
  <si>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</si>
  <si>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</si>
  <si>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</si>
  <si>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</si>
  <si>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</si>
  <si>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</si>
  <si>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</si>
  <si>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</si>
  <si>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</si>
  <si>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</si>
  <si>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</si>
  <si>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</si>
  <si>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</si>
  <si>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</si>
  <si>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</si>
  <si>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</si>
  <si>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</si>
  <si>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</si>
  <si>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</si>
  <si>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</si>
  <si>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</si>
  <si>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</si>
  <si>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</si>
  <si>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</si>
  <si>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</si>
  <si>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</si>
  <si>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</si>
  <si>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</si>
  <si>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</si>
  <si>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</si>
  <si>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</si>
  <si>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</si>
  <si>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</si>
  <si>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</si>
  <si>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</si>
  <si>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</si>
  <si>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</si>
  <si>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</si>
  <si>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</si>
  <si>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</si>
  <si>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</si>
  <si>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</si>
  <si>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</si>
  <si>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</si>
  <si>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</si>
  <si>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</si>
  <si>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</si>
  <si>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</si>
  <si>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</si>
  <si>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</si>
  <si>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</si>
  <si>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</si>
  <si>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</si>
  <si>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</si>
  <si>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</si>
  <si>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</si>
  <si>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</si>
  <si>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</si>
  <si>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</si>
  <si>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</si>
  <si>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</si>
  <si>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</si>
  <si>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</si>
  <si>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</si>
  <si>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</si>
  <si>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</si>
  <si>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</si>
  <si>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</si>
  <si>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</si>
  <si>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</si>
  <si>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</si>
  <si>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</si>
  <si>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</si>
  <si>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</si>
  <si>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</si>
  <si>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</si>
  <si>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</si>
  <si>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</si>
  <si>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</si>
  <si>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</si>
  <si>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</si>
  <si>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</si>
  <si>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</si>
  <si>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</si>
  <si>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</si>
  <si>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</si>
  <si>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</si>
  <si>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</si>
  <si>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</si>
  <si>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</si>
  <si>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</si>
  <si>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</si>
  <si>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</si>
  <si>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</si>
  <si>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</si>
  <si>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</si>
  <si>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</si>
  <si>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</si>
  <si>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</si>
  <si>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</si>
  <si>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</si>
  <si>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</si>
  <si>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</si>
  <si>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</si>
  <si>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</si>
  <si>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</si>
  <si>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</si>
  <si>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</si>
  <si>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</si>
  <si>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</si>
  <si>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</si>
  <si>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</si>
  <si>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</si>
  <si>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</si>
  <si>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</si>
  <si>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</si>
  <si>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</si>
  <si>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</si>
  <si>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</si>
  <si>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</si>
  <si>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</si>
  <si>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</si>
  <si>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</si>
  <si>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</si>
  <si>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</si>
  <si>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</si>
  <si>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</si>
  <si>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</si>
  <si>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</si>
  <si>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</si>
  <si>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</si>
  <si>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</si>
  <si>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</si>
  <si>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</si>
  <si>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</si>
  <si>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</si>
  <si>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</si>
  <si>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</si>
  <si>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</si>
  <si>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</si>
  <si>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</si>
  <si>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</si>
  <si>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</si>
  <si>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</si>
  <si>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</si>
  <si>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</si>
  <si>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</si>
  <si>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</si>
  <si>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</si>
  <si>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</si>
  <si>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</si>
  <si>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</si>
  <si>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</si>
  <si>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</si>
  <si>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</si>
  <si>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</si>
  <si>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</si>
  <si>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</si>
  <si>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</si>
  <si>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</si>
  <si>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</si>
  <si>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</si>
  <si>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</si>
  <si>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</si>
  <si>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</si>
  <si>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</si>
  <si>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</si>
  <si>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</si>
  <si>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</si>
  <si>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</si>
  <si>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</si>
  <si>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</si>
  <si>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</si>
  <si>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</si>
  <si>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</si>
  <si>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</si>
  <si>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</si>
  <si>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</si>
  <si>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</si>
  <si>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</si>
  <si>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</si>
  <si>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</si>
  <si>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</si>
  <si>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</si>
  <si>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</si>
  <si>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</si>
  <si>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</si>
  <si>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</si>
  <si>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</si>
  <si>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</si>
  <si>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</si>
  <si>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</si>
  <si>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</si>
  <si>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</si>
  <si>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</si>
  <si>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</si>
  <si>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</si>
  <si>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</si>
  <si>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</si>
  <si>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</si>
  <si>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</si>
  <si>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</si>
  <si>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</si>
  <si>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</si>
  <si>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</si>
  <si>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</si>
  <si>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</si>
  <si>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</si>
  <si>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</si>
  <si>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</si>
  <si>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</si>
  <si>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</si>
  <si>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</si>
  <si>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</si>
  <si>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</si>
  <si>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</si>
  <si>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</si>
  <si>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</si>
  <si>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</si>
  <si>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</si>
  <si>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</si>
  <si>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</si>
  <si>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</si>
  <si>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</si>
  <si>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</si>
  <si>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</si>
  <si>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</si>
  <si>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</si>
  <si>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</si>
  <si>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</si>
  <si>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</si>
  <si>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</si>
  <si>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</si>
  <si>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</si>
  <si>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</si>
  <si>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</si>
  <si>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</si>
  <si>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</si>
  <si>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</si>
  <si>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</si>
  <si>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</si>
  <si>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</si>
  <si>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</si>
  <si>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</si>
  <si>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</si>
  <si>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</si>
  <si>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</si>
  <si>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</si>
  <si>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</si>
  <si>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</si>
  <si>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</si>
  <si>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</si>
  <si>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</si>
  <si>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</si>
  <si>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</si>
  <si>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</si>
  <si>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</si>
  <si>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</si>
  <si>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</si>
  <si>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</si>
  <si>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</si>
  <si>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</si>
  <si>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</si>
  <si>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</si>
  <si>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</si>
  <si>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</si>
  <si>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</si>
  <si>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</si>
  <si>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</si>
  <si>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</si>
  <si>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</si>
  <si>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</si>
  <si>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</si>
  <si>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</si>
  <si>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</si>
  <si>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</si>
  <si>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</si>
  <si>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</si>
  <si>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</si>
  <si>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</si>
  <si>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</si>
  <si>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</si>
  <si>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</si>
  <si>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</si>
  <si>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</si>
  <si>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</si>
  <si>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</si>
  <si>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</si>
  <si>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</si>
  <si>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</si>
  <si>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</si>
  <si>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</si>
  <si>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</si>
  <si>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</si>
  <si>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</si>
  <si>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</si>
  <si>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</si>
  <si>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</si>
  <si>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</si>
  <si>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</si>
  <si>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</si>
  <si>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</si>
  <si>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</si>
  <si>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</si>
  <si>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</si>
  <si>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</si>
  <si>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</si>
  <si>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</si>
  <si>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</si>
  <si>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</si>
  <si>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</si>
  <si>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</si>
  <si>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</si>
  <si>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</si>
  <si>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</si>
  <si>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</si>
  <si>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</si>
  <si>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</si>
  <si>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</si>
  <si>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</si>
  <si>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</si>
  <si>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</si>
  <si>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</si>
  <si>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</si>
  <si>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</si>
  <si>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</si>
  <si>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</si>
  <si>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</si>
  <si>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</si>
  <si>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</si>
  <si>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</si>
  <si>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</si>
  <si>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</si>
  <si>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</si>
  <si>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</si>
  <si>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</si>
  <si>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</si>
  <si>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</si>
  <si>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</si>
  <si>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</si>
  <si>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</si>
  <si>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</si>
  <si>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</si>
  <si>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</si>
  <si>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</si>
  <si>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</si>
  <si>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</si>
  <si>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</si>
  <si>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</si>
  <si>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</si>
  <si>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</si>
  <si>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</si>
  <si>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</si>
  <si>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</si>
  <si>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</si>
  <si>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</si>
  <si>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</si>
  <si>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</si>
  <si>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</si>
  <si>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</si>
  <si>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</si>
  <si>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</si>
  <si>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</si>
  <si>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</si>
  <si>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</si>
  <si>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</si>
  <si>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</si>
  <si>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</si>
  <si>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</si>
  <si>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</si>
  <si>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</si>
  <si>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</si>
  <si>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</si>
  <si>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</si>
  <si>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</si>
  <si>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</si>
  <si>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</si>
  <si>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</si>
  <si>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</si>
  <si>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</si>
  <si>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</si>
  <si>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</si>
  <si>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</si>
  <si>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</si>
  <si>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</si>
  <si>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</si>
  <si>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</si>
  <si>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</si>
  <si>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</si>
  <si>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</si>
  <si>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</si>
  <si>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</si>
  <si>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</si>
  <si>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</si>
  <si>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</si>
  <si>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</si>
  <si>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</si>
  <si>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</si>
  <si>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</si>
  <si>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</si>
  <si>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</si>
  <si>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</si>
  <si>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</si>
  <si>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</si>
  <si>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</si>
  <si>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</si>
  <si>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</si>
  <si>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</si>
  <si>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</si>
  <si>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</si>
  <si>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</si>
  <si>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</si>
  <si>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</si>
  <si>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</si>
  <si>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</si>
  <si>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</si>
  <si>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</si>
  <si>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</si>
  <si>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</si>
  <si>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</si>
  <si>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</si>
  <si>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</si>
  <si>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</si>
  <si>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</si>
  <si>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</si>
  <si>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</si>
  <si>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</si>
  <si>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</si>
  <si>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</si>
  <si>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</si>
  <si>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</si>
  <si>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</si>
  <si>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</si>
  <si>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</si>
  <si>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</si>
  <si>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</si>
  <si>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</si>
  <si>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</si>
  <si>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</si>
  <si>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</si>
  <si>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</si>
  <si>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</si>
  <si>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</si>
  <si>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</si>
  <si>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</si>
  <si>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</si>
  <si>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</si>
  <si>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</si>
  <si>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</si>
  <si>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</si>
  <si>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</si>
  <si>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</si>
  <si>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</si>
  <si>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</si>
  <si>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</si>
  <si>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</si>
  <si>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</si>
  <si>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</si>
  <si>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</si>
  <si>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</si>
  <si>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</si>
  <si>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</si>
  <si>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</si>
  <si>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</si>
  <si>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</si>
  <si>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</si>
  <si>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</si>
  <si>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</si>
  <si>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</si>
  <si>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</si>
  <si>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</si>
  <si>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</si>
  <si>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</si>
  <si>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</si>
  <si>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</si>
  <si>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</si>
  <si>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</si>
  <si>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</si>
  <si>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</si>
  <si>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</si>
  <si>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</si>
  <si>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</si>
  <si>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</si>
  <si>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</si>
  <si>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</si>
  <si>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</si>
  <si>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</si>
  <si>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</si>
  <si>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</si>
  <si>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</si>
  <si>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</si>
  <si>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</si>
  <si>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</si>
  <si>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</si>
  <si>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</si>
  <si>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</si>
  <si>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</si>
  <si>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</si>
  <si>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</si>
  <si>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</si>
  <si>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</si>
  <si>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</si>
  <si>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</si>
  <si>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</si>
  <si>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</si>
  <si>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</si>
  <si>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</si>
  <si>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</si>
  <si>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</si>
  <si>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</si>
  <si>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</si>
  <si>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</si>
  <si>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</si>
  <si>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</si>
  <si>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</si>
  <si>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</si>
  <si>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</si>
  <si>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</si>
  <si>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</si>
  <si>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</si>
  <si>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</si>
  <si>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</si>
  <si>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</si>
  <si>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</si>
  <si>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</si>
  <si>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</si>
  <si>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</si>
  <si>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</si>
  <si>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</si>
  <si>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</si>
  <si>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</si>
  <si>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</si>
  <si>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</si>
  <si>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</si>
  <si>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</si>
  <si>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</si>
  <si>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</si>
  <si>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</si>
  <si>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</si>
  <si>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</si>
  <si>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</si>
  <si>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</si>
  <si>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</si>
  <si>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</si>
  <si>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</si>
  <si>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</si>
  <si>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</si>
  <si>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</si>
  <si>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</si>
  <si>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</si>
  <si>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</si>
  <si>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</si>
  <si>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</si>
  <si>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</si>
  <si>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</si>
  <si>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</si>
  <si>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</si>
  <si>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</si>
  <si>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</si>
  <si>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</si>
  <si>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</si>
  <si>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</si>
  <si>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</si>
  <si>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</si>
  <si>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</si>
  <si>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</si>
  <si>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</si>
  <si>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</si>
  <si>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</si>
  <si>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</si>
  <si>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</si>
  <si>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</si>
  <si>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</si>
  <si>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</si>
  <si>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</si>
  <si>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</si>
  <si>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</si>
  <si>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</si>
  <si>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</si>
  <si>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</si>
  <si>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</si>
  <si>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</si>
  <si>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</si>
  <si>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</si>
  <si>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</si>
  <si>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</si>
  <si>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</si>
  <si>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</si>
  <si>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</si>
  <si>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</si>
  <si>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</si>
  <si>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</si>
  <si>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</si>
  <si>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</si>
  <si>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</si>
  <si>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</si>
  <si>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</si>
  <si>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</si>
  <si>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</si>
  <si>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</si>
  <si>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</si>
  <si>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</si>
  <si>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</si>
  <si>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</si>
  <si>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</si>
  <si>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</si>
  <si>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</si>
  <si>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</si>
  <si>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</si>
  <si>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</si>
  <si>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</si>
  <si>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</si>
  <si>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</si>
  <si>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</si>
  <si>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</si>
  <si>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</si>
  <si>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</si>
  <si>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</si>
  <si>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</si>
  <si>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</si>
  <si>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</si>
  <si>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</si>
  <si>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</si>
  <si>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</si>
  <si>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</si>
  <si>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</si>
  <si>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</si>
  <si>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</si>
  <si>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</si>
  <si>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</si>
  <si>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</si>
  <si>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</si>
  <si>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</si>
  <si>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</si>
  <si>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</si>
  <si>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</si>
  <si>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</si>
  <si>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</si>
  <si>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</si>
  <si>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</si>
  <si>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</si>
  <si>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</si>
  <si>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</si>
  <si>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</si>
  <si>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</si>
  <si>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</si>
  <si>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</si>
  <si>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</si>
  <si>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</si>
  <si>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</si>
  <si>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</si>
  <si>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</si>
  <si>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</si>
  <si>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</si>
  <si>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</si>
  <si>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</si>
  <si>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</si>
  <si>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</si>
  <si>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</si>
  <si>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</si>
  <si>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</si>
  <si>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</si>
  <si>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</si>
  <si>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</si>
  <si>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</si>
  <si>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</si>
  <si>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</si>
  <si>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</si>
  <si>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</si>
  <si>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</si>
  <si>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</si>
  <si>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</si>
  <si>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</si>
  <si>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</si>
  <si>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</si>
  <si>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</si>
  <si>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</si>
  <si>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</si>
  <si>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</si>
  <si>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</si>
  <si>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</si>
  <si>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</si>
  <si>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</si>
  <si>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</si>
  <si>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</si>
  <si>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</si>
  <si>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</si>
  <si>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</si>
  <si>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</si>
  <si>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</si>
  <si>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</si>
  <si>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</si>
  <si>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</si>
  <si>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</si>
  <si>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</si>
  <si>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</si>
  <si>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</si>
  <si>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</si>
  <si>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</si>
  <si>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</si>
  <si>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</si>
  <si>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</si>
  <si>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</si>
  <si>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</si>
  <si>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</si>
  <si>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</si>
  <si>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</si>
  <si>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</si>
  <si>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</si>
  <si>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</si>
  <si>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</si>
  <si>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</si>
  <si>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</si>
  <si>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</si>
  <si>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</si>
  <si>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</si>
  <si>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</si>
  <si>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</si>
  <si>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</si>
  <si>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</si>
  <si>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</si>
  <si>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</si>
  <si>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</si>
  <si>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</si>
  <si>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</si>
  <si>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</si>
  <si>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</si>
  <si>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</si>
  <si>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</si>
  <si>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</si>
  <si>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</si>
  <si>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</si>
  <si>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</si>
  <si>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</si>
  <si>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</si>
  <si>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</si>
  <si>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</si>
  <si>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</si>
  <si>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</si>
  <si>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</si>
  <si>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</si>
  <si>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</si>
  <si>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</si>
  <si>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</si>
  <si>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</si>
  <si>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</si>
  <si>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</si>
  <si>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</si>
  <si>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</si>
  <si>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</si>
  <si>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</si>
  <si>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</si>
  <si>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</si>
  <si>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</si>
  <si>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</si>
  <si>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</si>
  <si>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</si>
  <si>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</si>
  <si>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</si>
  <si>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</si>
  <si>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</si>
  <si>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</si>
  <si>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</si>
  <si>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</si>
  <si>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</si>
  <si>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</si>
  <si>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</si>
  <si>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</si>
  <si>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</si>
  <si>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</si>
  <si>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</si>
  <si>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</si>
  <si>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</si>
  <si>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</si>
  <si>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</si>
  <si>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</si>
  <si>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</si>
  <si>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</si>
  <si>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</si>
  <si>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</si>
  <si>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</si>
  <si>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</si>
  <si>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</si>
  <si>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</si>
  <si>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</si>
  <si>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</si>
  <si>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</si>
  <si>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</si>
  <si>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</si>
  <si>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</si>
  <si>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</si>
  <si>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</si>
  <si>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</si>
  <si>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</si>
  <si>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</si>
  <si>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</si>
  <si>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</si>
  <si>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</si>
  <si>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</si>
  <si>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</si>
  <si>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</si>
  <si>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</si>
  <si>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</si>
  <si>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</si>
  <si>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</si>
  <si>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</si>
  <si>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</si>
  <si>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</si>
  <si>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</si>
  <si>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</si>
  <si>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</si>
  <si>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</si>
  <si>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</si>
  <si>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</si>
  <si>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</si>
  <si>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</si>
  <si>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</si>
  <si>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</si>
  <si>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</si>
  <si>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</si>
  <si>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</si>
  <si>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</si>
  <si>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</si>
  <si>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</si>
  <si>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</si>
  <si>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</si>
  <si>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</si>
  <si>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</si>
  <si>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</si>
  <si>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</si>
  <si>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</si>
  <si>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</si>
  <si>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</si>
  <si>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</si>
  <si>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</si>
  <si>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</si>
  <si>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</si>
  <si>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</si>
  <si>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</si>
  <si>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</si>
  <si>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</si>
  <si>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</si>
  <si>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</si>
  <si>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</si>
  <si>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</si>
  <si>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</si>
  <si>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</si>
  <si>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</si>
  <si>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</si>
  <si>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</si>
  <si>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</si>
  <si>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</si>
  <si>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</si>
  <si>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</si>
  <si>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</si>
  <si>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</si>
  <si>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</si>
  <si>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</si>
  <si>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</si>
  <si>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</si>
  <si>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</si>
  <si>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</si>
  <si>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</si>
  <si>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</si>
  <si>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</si>
  <si>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</si>
  <si>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</si>
  <si>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</si>
  <si>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</si>
  <si>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</si>
  <si>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</si>
  <si>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</si>
  <si>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</si>
  <si>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</si>
  <si>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</si>
  <si>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</si>
  <si>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</si>
  <si>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</si>
  <si>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</si>
  <si>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</si>
  <si>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</si>
  <si>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</si>
  <si>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</si>
  <si>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</si>
  <si>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</si>
  <si>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</si>
  <si>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</si>
  <si>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</si>
  <si>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</si>
  <si>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</si>
  <si>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</si>
  <si>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</si>
  <si>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</si>
  <si>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</si>
  <si>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</si>
  <si>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</si>
  <si>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</si>
  <si>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</si>
  <si>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</si>
  <si>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</si>
  <si>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</si>
  <si>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</si>
  <si>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</si>
  <si>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</si>
  <si>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</si>
  <si>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</si>
  <si>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</si>
  <si>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</si>
  <si>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</si>
  <si>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</si>
  <si>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</si>
  <si>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</si>
  <si>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</si>
  <si>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</si>
  <si>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</si>
  <si>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</si>
  <si>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</si>
  <si>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</si>
  <si>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</si>
  <si>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</si>
  <si>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</si>
  <si>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</si>
  <si>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</si>
  <si>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</si>
  <si>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</si>
  <si>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</si>
  <si>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</si>
  <si>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</si>
  <si>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</si>
  <si>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</si>
  <si>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</si>
  <si>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</si>
  <si>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</si>
  <si>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</si>
  <si>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</si>
  <si>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</si>
  <si>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</si>
  <si>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</si>
  <si>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</si>
  <si>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</si>
  <si>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</si>
  <si>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</si>
  <si>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</si>
  <si>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</si>
  <si>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</si>
  <si>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</si>
  <si>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</si>
  <si>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</si>
  <si>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</si>
  <si>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</si>
  <si>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</si>
  <si>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</si>
  <si>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</si>
  <si>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</si>
  <si>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</si>
  <si>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</si>
  <si>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</si>
  <si>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</si>
  <si>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</si>
  <si>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</si>
  <si>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</si>
  <si>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</si>
  <si>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</si>
  <si>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</si>
  <si>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</si>
  <si>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</si>
  <si>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</si>
  <si>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</si>
  <si>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</si>
  <si>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</si>
  <si>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</si>
  <si>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</si>
  <si>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</si>
  <si>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</si>
  <si>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</si>
  <si>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</si>
  <si>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</si>
  <si>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</si>
  <si>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</si>
  <si>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</si>
  <si>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</si>
  <si>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</si>
  <si>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</si>
  <si>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</si>
  <si>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</si>
  <si>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</si>
  <si>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</si>
  <si>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</si>
  <si>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</si>
  <si>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</si>
  <si>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</si>
  <si>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</si>
  <si>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</si>
  <si>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</si>
  <si>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</si>
  <si>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</si>
  <si>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</si>
  <si>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</si>
  <si>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</si>
  <si>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</si>
  <si>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</si>
  <si>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</si>
  <si>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</si>
  <si>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</si>
  <si>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</si>
  <si>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</si>
  <si>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</si>
  <si>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</si>
  <si>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</si>
  <si>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</si>
  <si>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</si>
  <si>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</si>
  <si>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</si>
  <si>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</si>
  <si>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</si>
  <si>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</si>
  <si>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</si>
  <si>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</si>
  <si>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</si>
  <si>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</si>
  <si>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</si>
  <si>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</si>
  <si>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</si>
  <si>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</si>
  <si>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</si>
  <si>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</si>
  <si>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</si>
  <si>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</si>
  <si>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</si>
  <si>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</si>
  <si>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</si>
  <si>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</si>
  <si>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</si>
  <si>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</si>
  <si>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</si>
  <si>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</si>
  <si>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</si>
  <si>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</si>
  <si>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</si>
  <si>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</si>
  <si>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</si>
  <si>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</si>
  <si>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</si>
  <si>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</si>
  <si>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</si>
  <si>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</si>
  <si>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</si>
  <si>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</si>
  <si>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</si>
  <si>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</si>
  <si>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</si>
  <si>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</si>
  <si>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</si>
  <si>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</si>
  <si>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</si>
  <si>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</si>
  <si>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</si>
  <si>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</si>
  <si>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</si>
  <si>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</si>
  <si>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</si>
  <si>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</si>
  <si>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</si>
  <si>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</si>
  <si>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</si>
  <si>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</si>
  <si>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</si>
  <si>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</si>
  <si>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</si>
  <si>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</si>
  <si>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</si>
  <si>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</si>
  <si>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</si>
  <si>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</si>
  <si>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</si>
  <si>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</si>
  <si>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</si>
  <si>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</si>
  <si>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</si>
  <si>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</si>
  <si>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</si>
  <si>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</si>
  <si>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</si>
  <si>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</si>
  <si>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</si>
  <si>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</si>
  <si>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</si>
  <si>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</si>
  <si>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</si>
  <si>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</si>
  <si>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</si>
  <si>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</si>
  <si>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</si>
  <si>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</si>
  <si>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</si>
  <si>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</si>
  <si>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</si>
  <si>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</si>
  <si>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</si>
  <si>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</si>
  <si>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</si>
  <si>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</si>
  <si>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</si>
  <si>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</si>
  <si>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</si>
  <si>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</si>
  <si>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</si>
  <si>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</si>
  <si>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</si>
  <si>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</si>
  <si>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</si>
  <si>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</si>
  <si>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</si>
  <si>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</si>
  <si>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</si>
  <si>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</si>
  <si>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</si>
  <si>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</si>
  <si>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</si>
  <si>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</si>
  <si>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</si>
  <si>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</si>
  <si>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</si>
  <si>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</si>
  <si>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</si>
  <si>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</si>
  <si>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</si>
  <si>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</si>
  <si>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</si>
  <si>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</si>
  <si>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</si>
  <si>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</si>
  <si>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</si>
  <si>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</si>
  <si>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</si>
  <si>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</si>
  <si>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</si>
  <si>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</si>
  <si>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</si>
  <si>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</si>
  <si>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</si>
  <si>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</si>
  <si>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</si>
  <si>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</si>
  <si>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</si>
  <si>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</si>
  <si>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</si>
  <si>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</si>
  <si>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</si>
  <si>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</si>
  <si>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</si>
  <si>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</si>
  <si>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</si>
  <si>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</si>
  <si>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</si>
  <si>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</si>
  <si>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</si>
  <si>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</si>
  <si>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</si>
  <si>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</si>
  <si>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</si>
  <si>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</si>
  <si>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</si>
  <si>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</si>
  <si>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</si>
  <si>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</si>
  <si>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</si>
  <si>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</si>
  <si>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</si>
  <si>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</si>
  <si>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</si>
  <si>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</si>
  <si>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</si>
  <si>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</si>
  <si>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</si>
  <si>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</si>
  <si>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</si>
  <si>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</si>
  <si>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</si>
  <si>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</si>
  <si>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</si>
  <si>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</si>
  <si>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</si>
  <si>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</si>
  <si>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</si>
  <si>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</si>
  <si>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</si>
  <si>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</si>
  <si>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</si>
  <si>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</si>
  <si>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</si>
  <si>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</si>
  <si>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</si>
  <si>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</si>
  <si>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</si>
  <si>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</si>
  <si>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</si>
  <si>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</si>
  <si>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</si>
  <si>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</si>
  <si>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</si>
  <si>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</si>
  <si>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</si>
  <si>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</si>
  <si>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</si>
  <si>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</si>
  <si>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</si>
  <si>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</si>
  <si>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</si>
  <si>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</si>
  <si>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</si>
  <si>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</si>
  <si>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</si>
  <si>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</si>
  <si>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</si>
  <si>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</si>
  <si>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</si>
  <si>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</si>
  <si>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</si>
  <si>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</si>
  <si>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</si>
  <si>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</si>
  <si>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</si>
  <si>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</si>
  <si>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</si>
  <si>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</si>
  <si>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</si>
  <si>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</si>
  <si>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</si>
  <si>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</si>
  <si>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</si>
  <si>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</si>
  <si>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</si>
  <si>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</si>
  <si>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</si>
  <si>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</si>
  <si>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</si>
  <si>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</si>
  <si>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</si>
  <si>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</si>
  <si>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</si>
  <si>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</si>
  <si>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</si>
  <si>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</si>
  <si>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</si>
  <si>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</si>
  <si>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</si>
  <si>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</si>
  <si>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</si>
  <si>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</si>
  <si>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</si>
  <si>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</si>
  <si>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</si>
  <si>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</si>
  <si>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</si>
  <si>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</si>
  <si>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</si>
  <si>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</si>
  <si>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</si>
  <si>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</si>
  <si>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</si>
  <si>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</si>
  <si>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</si>
  <si>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</si>
  <si>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</si>
  <si>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</si>
  <si>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</si>
  <si>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</si>
  <si>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</si>
  <si>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</si>
  <si>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</si>
  <si>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</si>
  <si>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</si>
  <si>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</si>
  <si>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</si>
  <si>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</si>
  <si>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</si>
  <si>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</si>
  <si>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</si>
  <si>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</si>
  <si>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</si>
  <si>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</si>
  <si>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</si>
  <si>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</si>
  <si>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</si>
  <si>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</si>
  <si>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</si>
  <si>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</si>
  <si>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</si>
  <si>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</si>
  <si>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</si>
  <si>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</si>
  <si>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</si>
  <si>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</si>
  <si>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</si>
  <si>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</si>
  <si>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</si>
  <si>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</si>
  <si>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</si>
  <si>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</si>
  <si>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</si>
  <si>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</si>
  <si>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</si>
  <si>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</si>
  <si>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</si>
  <si>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</si>
  <si>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</si>
  <si>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</si>
  <si>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</si>
  <si>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</si>
  <si>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</si>
  <si>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</si>
  <si>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</si>
  <si>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</si>
  <si>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</si>
  <si>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</si>
  <si>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</si>
  <si>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</si>
  <si>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</si>
  <si>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</si>
  <si>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</si>
  <si>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</si>
  <si>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</si>
  <si>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</si>
  <si>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</si>
  <si>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</si>
  <si>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</si>
  <si>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</si>
  <si>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</si>
  <si>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</si>
  <si>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</si>
  <si>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</si>
  <si>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</si>
  <si>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</si>
  <si>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</si>
  <si>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</si>
  <si>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</si>
  <si>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</si>
  <si>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</si>
  <si>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</si>
  <si>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</si>
  <si>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</si>
  <si>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</si>
  <si>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</si>
  <si>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</si>
  <si>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</si>
  <si>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</si>
  <si>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</si>
  <si>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</si>
  <si>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</si>
  <si>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</si>
  <si>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</si>
  <si>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</si>
  <si>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</si>
  <si>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</si>
  <si>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</si>
  <si>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</si>
  <si>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</si>
  <si>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</si>
  <si>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</si>
  <si>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</si>
  <si>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</si>
  <si>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</si>
  <si>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</si>
  <si>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</si>
  <si>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</si>
  <si>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</si>
  <si>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</si>
  <si>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</si>
  <si>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</si>
  <si>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</si>
  <si>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</si>
  <si>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</si>
  <si>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</si>
  <si>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</si>
  <si>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</si>
  <si>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</si>
  <si>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</si>
  <si>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</si>
  <si>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</si>
  <si>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</si>
  <si>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</si>
  <si>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</si>
  <si>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</si>
  <si>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</si>
  <si>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</si>
  <si>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</si>
  <si>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</si>
  <si>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</si>
  <si>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</si>
  <si>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</si>
  <si>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</si>
  <si>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</si>
  <si>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</si>
  <si>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</si>
  <si>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</si>
  <si>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</si>
  <si>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</si>
  <si>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</si>
  <si>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</si>
  <si>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</si>
  <si>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</si>
  <si>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</si>
  <si>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</si>
  <si>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</si>
  <si>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</si>
  <si>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</si>
  <si>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</si>
  <si>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</si>
  <si>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</si>
  <si>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</si>
  <si>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</si>
  <si>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</si>
  <si>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</si>
  <si>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</si>
  <si>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</si>
  <si>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</si>
  <si>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</si>
  <si>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</si>
  <si>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</si>
  <si>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</si>
  <si>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</si>
  <si>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</si>
  <si>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</si>
  <si>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</si>
  <si>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</si>
  <si>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</si>
  <si>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</si>
  <si>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</si>
  <si>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</si>
  <si>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</si>
  <si>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</si>
  <si>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</si>
  <si>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</si>
  <si>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</si>
  <si>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</si>
  <si>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</si>
  <si>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</si>
  <si>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</si>
  <si>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</si>
  <si>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</si>
  <si>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</si>
  <si>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</si>
  <si>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</si>
  <si>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</si>
  <si>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</si>
  <si>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</si>
  <si>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</si>
  <si>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</si>
  <si>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</si>
  <si>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</si>
  <si>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</si>
  <si>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</si>
  <si>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</si>
  <si>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</si>
  <si>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</si>
  <si>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</si>
  <si>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</si>
  <si>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</si>
  <si>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</si>
  <si>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</si>
  <si>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</si>
  <si>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</si>
  <si>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</si>
  <si>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</si>
  <si>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</si>
  <si>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</si>
  <si>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</si>
  <si>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</si>
  <si>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</si>
  <si>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</si>
  <si>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</si>
  <si>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</si>
  <si>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</si>
  <si>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</si>
  <si>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</si>
  <si>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</si>
  <si>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</si>
  <si>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</si>
  <si>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</si>
  <si>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</si>
  <si>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</si>
  <si>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</si>
  <si>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</si>
  <si>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</si>
  <si>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</si>
  <si>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</si>
  <si>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</si>
  <si>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</si>
  <si>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</si>
  <si>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</si>
  <si>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</si>
  <si>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</si>
  <si>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</si>
  <si>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</si>
  <si>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</si>
  <si>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</si>
  <si>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</si>
  <si>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</si>
  <si>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</si>
  <si>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</si>
  <si>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</si>
  <si>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</si>
  <si>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</si>
  <si>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</si>
  <si>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</si>
  <si>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</si>
  <si>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</si>
  <si>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</si>
  <si>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</si>
  <si>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</si>
  <si>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</si>
  <si>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</si>
  <si>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</si>
  <si>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</si>
  <si>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</si>
  <si>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</si>
  <si>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</si>
  <si>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</si>
  <si>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</si>
  <si>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</si>
  <si>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</si>
  <si>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</si>
  <si>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</si>
  <si>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</si>
  <si>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</si>
  <si>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</si>
  <si>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</si>
  <si>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</si>
  <si>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</si>
  <si>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</si>
  <si>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</si>
  <si>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</si>
  <si>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</si>
  <si>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</si>
  <si>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</si>
  <si>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</si>
  <si>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</si>
  <si>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</si>
  <si>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</si>
  <si>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</si>
  <si>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</si>
  <si>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</si>
  <si>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</si>
  <si>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</si>
  <si>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</si>
  <si>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</si>
  <si>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</si>
  <si>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</si>
  <si>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</si>
  <si>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</si>
  <si>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</si>
  <si>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</si>
  <si>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</si>
  <si>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</si>
  <si>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</si>
  <si>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</si>
  <si>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</si>
  <si>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</si>
  <si>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</si>
  <si>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</si>
  <si>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</si>
  <si>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</si>
  <si>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</si>
  <si>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</si>
  <si>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</si>
  <si>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</si>
  <si>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</si>
  <si>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</si>
  <si>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</si>
  <si>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</si>
  <si>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</si>
  <si>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</si>
  <si>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</si>
  <si>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</si>
  <si>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</si>
  <si>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</si>
  <si>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</si>
  <si>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</si>
  <si>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</si>
  <si>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</si>
  <si>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</si>
  <si>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</si>
  <si>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</si>
  <si>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</si>
  <si>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</si>
  <si>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</si>
  <si>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</si>
  <si>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</si>
  <si>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</si>
  <si>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</si>
  <si>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</si>
  <si>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</si>
  <si>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</si>
  <si>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</si>
  <si>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</si>
  <si>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</si>
  <si>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</si>
  <si>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</si>
  <si>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</si>
  <si>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</si>
  <si>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</si>
  <si>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</si>
  <si>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</si>
  <si>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</si>
  <si>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</si>
  <si>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</si>
  <si>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</si>
  <si>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</si>
  <si>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</si>
  <si>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</si>
  <si>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</si>
  <si>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</si>
  <si>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</si>
  <si>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</si>
  <si>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</si>
  <si>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</si>
  <si>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</si>
  <si>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</si>
  <si>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</si>
  <si>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</si>
  <si>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</si>
  <si>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</si>
  <si>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</si>
  <si>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</si>
  <si>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</si>
  <si>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</si>
  <si>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</si>
  <si>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</si>
  <si>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</si>
  <si>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</si>
  <si>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</si>
  <si>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</si>
  <si>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</si>
  <si>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</si>
  <si>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</si>
  <si>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</si>
  <si>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</si>
  <si>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</si>
  <si>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</si>
  <si>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</si>
  <si>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</si>
  <si>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</si>
  <si>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</si>
  <si>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</si>
  <si>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</si>
  <si>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</si>
  <si>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</si>
  <si>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</si>
  <si>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</si>
  <si>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</si>
  <si>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</si>
  <si>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</si>
  <si>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</si>
  <si>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</si>
  <si>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</si>
  <si>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</si>
  <si>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</si>
  <si>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</si>
  <si>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</si>
  <si>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</si>
  <si>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</si>
  <si>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</si>
  <si>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</si>
  <si>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</si>
  <si>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</si>
  <si>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</si>
  <si>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</si>
  <si>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</si>
  <si>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</si>
  <si>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</si>
  <si>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</si>
  <si>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</si>
  <si>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</si>
  <si>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</si>
  <si>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</si>
  <si>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</si>
  <si>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</si>
  <si>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</si>
  <si>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</si>
  <si>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</si>
  <si>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</si>
  <si>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</si>
  <si>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</si>
  <si>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</si>
  <si>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</si>
  <si>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</si>
  <si>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</si>
  <si>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</si>
  <si>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</si>
  <si>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</si>
  <si>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</si>
  <si>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</si>
  <si>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</si>
  <si>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</si>
  <si>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</si>
  <si>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</si>
  <si>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</si>
  <si>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</si>
  <si>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</si>
  <si>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</si>
  <si>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</si>
  <si>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</si>
  <si>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</si>
  <si>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</si>
  <si>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</si>
  <si>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</si>
  <si>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</si>
  <si>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</si>
  <si>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</si>
  <si>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</si>
  <si>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</si>
  <si>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</si>
  <si>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</si>
  <si>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</si>
  <si>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</si>
  <si>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</si>
  <si>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</si>
  <si>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</si>
  <si>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</si>
  <si>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</si>
  <si>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</si>
  <si>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</si>
  <si>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</si>
  <si>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</si>
  <si>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</si>
  <si>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</si>
  <si>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</si>
  <si>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</si>
  <si>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</si>
  <si>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</si>
  <si>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</si>
  <si>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</si>
  <si>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</si>
  <si>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</si>
  <si>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</si>
  <si>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</si>
  <si>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</si>
  <si>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</si>
  <si>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</si>
  <si>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</si>
  <si>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</si>
  <si>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</si>
  <si>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</si>
  <si>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</si>
  <si>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</si>
  <si>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</si>
  <si>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</si>
  <si>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</si>
  <si>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</si>
  <si>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</si>
  <si>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</si>
  <si>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</si>
  <si>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</si>
  <si>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</si>
  <si>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</si>
  <si>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</si>
  <si>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</si>
  <si>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</si>
  <si>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</si>
  <si>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</si>
  <si>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</si>
  <si>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</si>
  <si>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</si>
  <si>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</si>
  <si>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</si>
  <si>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</si>
  <si>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</si>
  <si>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</si>
  <si>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</si>
  <si>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</si>
  <si>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</si>
  <si>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</si>
  <si>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</si>
  <si>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</si>
  <si>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</si>
  <si>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</si>
  <si>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</si>
  <si>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</si>
  <si>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</si>
  <si>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</si>
  <si>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</si>
  <si>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</si>
  <si>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</si>
  <si>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</si>
  <si>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</si>
  <si>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</si>
  <si>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</si>
  <si>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</si>
  <si>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</si>
  <si>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</si>
  <si>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</si>
  <si>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</si>
  <si>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</si>
  <si>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</si>
  <si>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</si>
  <si>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</si>
  <si>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</si>
  <si>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</si>
  <si>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</si>
  <si>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</si>
  <si>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</si>
  <si>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</si>
  <si>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</si>
  <si>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</si>
  <si>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</si>
  <si>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</si>
  <si>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</si>
  <si>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</si>
  <si>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</si>
  <si>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</si>
  <si>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</si>
  <si>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</si>
  <si>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</si>
  <si>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</si>
  <si>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</si>
  <si>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</si>
  <si>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</si>
  <si>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</si>
  <si>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</si>
  <si>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</si>
  <si>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</si>
  <si>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</si>
  <si>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</si>
  <si>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</si>
  <si>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</si>
  <si>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</si>
  <si>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</si>
  <si>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</si>
  <si>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</si>
  <si>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</si>
  <si>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</si>
  <si>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</si>
  <si>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</si>
  <si>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</si>
  <si>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</si>
  <si>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</si>
  <si>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</si>
  <si>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</si>
  <si>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</si>
  <si>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</si>
  <si>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</si>
  <si>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</si>
  <si>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</si>
  <si>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</si>
  <si>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</si>
  <si>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</si>
  <si>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</si>
  <si>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</si>
  <si>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</si>
  <si>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</si>
  <si>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</si>
  <si>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</si>
  <si>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</si>
  <si>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</si>
  <si>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</si>
  <si>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</si>
  <si>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</si>
  <si>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</si>
  <si>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</si>
  <si>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</si>
  <si>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</si>
  <si>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</si>
  <si>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</si>
  <si>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</si>
  <si>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</si>
  <si>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</si>
  <si>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</si>
  <si>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</si>
  <si>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</si>
  <si>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</si>
  <si>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</si>
  <si>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</si>
  <si>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</si>
  <si>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</si>
  <si>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</si>
  <si>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</si>
  <si>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</si>
  <si>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</si>
  <si>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</si>
  <si>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</si>
  <si>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</si>
  <si>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</si>
  <si>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</si>
  <si>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</si>
  <si>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</si>
  <si>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</si>
  <si>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</si>
  <si>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</si>
  <si>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</si>
  <si>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</si>
  <si>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</si>
  <si>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</si>
  <si>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</si>
  <si>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</si>
  <si>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</si>
  <si>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</si>
  <si>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</si>
  <si>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</si>
  <si>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</si>
  <si>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</si>
  <si>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</si>
  <si>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</si>
  <si>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</si>
  <si>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</si>
  <si>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</si>
  <si>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</si>
  <si>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</si>
  <si>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</si>
  <si>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</si>
  <si>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</si>
  <si>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</si>
  <si>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</si>
  <si>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</si>
  <si>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</si>
  <si>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</si>
  <si>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</si>
  <si>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</si>
  <si>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</si>
  <si>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</si>
  <si>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</si>
  <si>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</si>
  <si>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</si>
  <si>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</si>
  <si>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</si>
  <si>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</si>
  <si>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</si>
  <si>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</si>
  <si>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</si>
  <si>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</si>
  <si>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</si>
  <si>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</si>
  <si>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</si>
  <si>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</si>
  <si>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</si>
  <si>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</si>
  <si>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</si>
  <si>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</si>
  <si>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</si>
  <si>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</si>
  <si>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</si>
  <si>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</si>
  <si>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</si>
  <si>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</si>
  <si>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</si>
  <si>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</si>
  <si>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</si>
  <si>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</si>
  <si>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</si>
  <si>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</si>
  <si>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</si>
  <si>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</si>
  <si>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</si>
  <si>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</si>
  <si>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</si>
  <si>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</si>
  <si>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</si>
  <si>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</si>
  <si>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</si>
  <si>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</si>
  <si>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</si>
  <si>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</si>
  <si>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</si>
  <si>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</si>
  <si>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</si>
  <si>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</si>
  <si>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</si>
  <si>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</si>
  <si>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</si>
  <si>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</si>
  <si>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</si>
  <si>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</si>
  <si>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</si>
  <si>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</si>
  <si>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</si>
  <si>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</si>
  <si>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</si>
  <si>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</si>
  <si>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</si>
  <si>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</si>
  <si>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</si>
  <si>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</si>
  <si>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</si>
  <si>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</si>
  <si>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</si>
  <si>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</si>
  <si>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</si>
  <si>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</si>
  <si>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</si>
  <si>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</si>
  <si>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</si>
  <si>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</si>
  <si>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</si>
  <si>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</si>
  <si>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</si>
  <si>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</si>
  <si>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</si>
  <si>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</si>
  <si>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</si>
  <si>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</si>
  <si>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</si>
  <si>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</si>
  <si>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</si>
  <si>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</si>
  <si>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</si>
  <si>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</si>
  <si>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</si>
  <si>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</si>
  <si>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</si>
  <si>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</si>
  <si>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</si>
  <si>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</si>
  <si>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</si>
  <si>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</si>
  <si>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</si>
  <si>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</si>
  <si>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</si>
  <si>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</si>
  <si>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</si>
  <si>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</si>
  <si>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</si>
  <si>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</si>
  <si>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</si>
  <si>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</si>
  <si>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</si>
  <si>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</si>
  <si>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</si>
  <si>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</si>
  <si>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</si>
  <si>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</si>
  <si>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</si>
  <si>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</si>
  <si>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</si>
  <si>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</si>
  <si>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</si>
  <si>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</si>
  <si>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</si>
  <si>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</si>
  <si>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</si>
  <si>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</si>
  <si>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</si>
  <si>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</si>
  <si>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</si>
  <si>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</si>
  <si>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</si>
  <si>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</si>
  <si>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</si>
  <si>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</si>
  <si>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</si>
  <si>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</si>
  <si>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</si>
  <si>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</si>
  <si>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</si>
  <si>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</si>
  <si>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</si>
  <si>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</si>
  <si>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</si>
  <si>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</si>
  <si>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</si>
  <si>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</si>
  <si>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</si>
  <si>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</si>
  <si>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</si>
  <si>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</si>
  <si>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</si>
  <si>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</si>
  <si>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</si>
  <si>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</si>
  <si>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</si>
  <si>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</si>
  <si>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</si>
  <si>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</si>
  <si>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</si>
  <si>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</si>
  <si>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</si>
  <si>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</si>
  <si>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</si>
  <si>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</si>
  <si>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</si>
  <si>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</si>
  <si>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</si>
  <si>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</si>
  <si>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</si>
  <si>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</si>
  <si>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</si>
  <si>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</si>
  <si>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</si>
  <si>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</si>
  <si>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</si>
  <si>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</si>
  <si>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</si>
  <si>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</si>
  <si>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</si>
  <si>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</si>
  <si>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</si>
  <si>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</si>
  <si>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</si>
  <si>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</si>
  <si>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</si>
  <si>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</si>
  <si>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</si>
  <si>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</si>
  <si>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</si>
  <si>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</si>
  <si>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</si>
  <si>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</si>
  <si>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</si>
  <si>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</si>
  <si>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</si>
  <si>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</si>
  <si>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</si>
  <si>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</si>
  <si>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</si>
  <si>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</si>
  <si>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</si>
  <si>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</si>
  <si>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</si>
  <si>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</si>
  <si>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</si>
  <si>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</si>
  <si>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</si>
  <si>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</si>
  <si>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</si>
  <si>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</si>
  <si>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</si>
  <si>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</si>
  <si>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</si>
  <si>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</si>
  <si>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</si>
  <si>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</si>
  <si>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</si>
  <si>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</si>
  <si>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</si>
  <si>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</si>
  <si>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</si>
  <si>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</si>
  <si>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</si>
  <si>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</si>
  <si>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</si>
  <si>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</si>
  <si>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</si>
  <si>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</si>
  <si>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</si>
  <si>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</si>
  <si>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</si>
  <si>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</si>
  <si>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</si>
  <si>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</si>
  <si>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</si>
  <si>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</si>
  <si>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</si>
  <si>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</si>
  <si>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</si>
  <si>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</si>
  <si>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</si>
  <si>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</si>
  <si>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</si>
  <si>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</si>
  <si>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</si>
  <si>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</si>
  <si>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</si>
  <si>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</si>
  <si>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</si>
  <si>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</si>
  <si>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</si>
  <si>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</si>
  <si>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</si>
  <si>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</si>
  <si>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</si>
  <si>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</si>
  <si>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</si>
  <si>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</si>
  <si>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</si>
  <si>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</si>
  <si>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</si>
  <si>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</si>
  <si>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</si>
  <si>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</si>
  <si>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</si>
  <si>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</si>
  <si>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</si>
  <si>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</si>
  <si>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</si>
  <si>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</si>
  <si>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</si>
  <si>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</si>
  <si>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</si>
  <si>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</si>
  <si>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</si>
  <si>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</si>
  <si>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</si>
  <si>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</si>
  <si>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</si>
  <si>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</si>
  <si>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</si>
  <si>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</si>
  <si>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</si>
  <si>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</si>
  <si>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</si>
  <si>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</si>
  <si>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</si>
  <si>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</si>
  <si>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</si>
  <si>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</si>
  <si>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</si>
  <si>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</si>
  <si>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</si>
  <si>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</si>
  <si>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</si>
  <si>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</si>
  <si>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</si>
  <si>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</si>
  <si>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</si>
  <si>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</si>
  <si>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</si>
  <si>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</si>
  <si>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</si>
  <si>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</si>
  <si>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</si>
  <si>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</si>
  <si>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</si>
  <si>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</si>
  <si>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</si>
  <si>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</si>
  <si>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</si>
  <si>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</si>
  <si>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</si>
  <si>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</si>
  <si>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</si>
  <si>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</si>
  <si>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</si>
  <si>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</si>
  <si>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</si>
  <si>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</si>
  <si>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</si>
  <si>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</si>
  <si>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</si>
  <si>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</si>
  <si>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</si>
  <si>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</si>
  <si>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</si>
  <si>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</si>
  <si>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</si>
  <si>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</si>
  <si>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</si>
  <si>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</si>
  <si>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</si>
  <si>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</si>
  <si>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</si>
  <si>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</si>
  <si>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</si>
  <si>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</si>
  <si>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</si>
  <si>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</si>
  <si>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</si>
  <si>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</si>
  <si>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</si>
  <si>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</si>
  <si>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</si>
  <si>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</si>
  <si>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</si>
  <si>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</si>
  <si>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</si>
  <si>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</si>
  <si>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</si>
  <si>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</si>
  <si>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</si>
  <si>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</si>
  <si>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</si>
  <si>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</si>
  <si>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</si>
  <si>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</si>
  <si>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</si>
  <si>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</si>
  <si>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</si>
  <si>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</si>
  <si>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</si>
  <si>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</si>
  <si>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</si>
  <si>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</si>
  <si>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</si>
  <si>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</si>
  <si>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</si>
  <si>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</si>
  <si>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</si>
  <si>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</si>
  <si>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</si>
  <si>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</si>
  <si>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</si>
  <si>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</si>
  <si>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</si>
  <si>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</si>
  <si>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</si>
  <si>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</si>
  <si>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</si>
  <si>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</si>
  <si>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</si>
  <si>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</si>
  <si>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</si>
  <si>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</si>
  <si>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</si>
  <si>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</si>
  <si>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</si>
  <si>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</si>
  <si>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</si>
  <si>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</si>
  <si>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</si>
  <si>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</si>
  <si>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</si>
  <si>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</si>
  <si>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</si>
  <si>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</si>
  <si>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</si>
  <si>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</si>
  <si>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</si>
  <si>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</si>
  <si>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</si>
  <si>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</si>
  <si>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</si>
  <si>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</si>
  <si>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</si>
  <si>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</si>
  <si>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</si>
  <si>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</si>
  <si>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</si>
  <si>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</si>
  <si>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</si>
  <si>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</si>
  <si>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</si>
  <si>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</si>
  <si>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</si>
  <si>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</si>
  <si>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</si>
  <si>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</si>
  <si>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</si>
  <si>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</si>
  <si>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</si>
  <si>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</si>
  <si>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</si>
  <si>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</si>
  <si>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</si>
  <si>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</si>
  <si>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</si>
  <si>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</si>
  <si>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</si>
  <si>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</si>
  <si>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</si>
  <si>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</si>
  <si>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</si>
  <si>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</si>
  <si>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</si>
  <si>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</si>
  <si>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</si>
  <si>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</si>
  <si>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</si>
  <si>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</si>
  <si>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</si>
  <si>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</si>
  <si>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</si>
  <si>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</si>
  <si>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</si>
  <si>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</si>
  <si>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</si>
  <si>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</si>
  <si>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</si>
  <si>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</si>
  <si>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</si>
  <si>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</si>
  <si>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</si>
  <si>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</si>
  <si>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</si>
  <si>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</si>
  <si>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</si>
  <si>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</si>
  <si>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</si>
  <si>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</si>
  <si>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</si>
  <si>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</si>
  <si>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</si>
  <si>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</si>
  <si>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</si>
  <si>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</si>
  <si>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</si>
  <si>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</si>
  <si>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</si>
  <si>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</si>
  <si>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</si>
  <si>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</si>
  <si>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</si>
  <si>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</si>
  <si>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</si>
  <si>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</si>
  <si>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</si>
  <si>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</si>
  <si>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</si>
  <si>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</si>
  <si>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</si>
  <si>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</si>
  <si>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</si>
  <si>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</si>
  <si>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</si>
  <si>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</si>
  <si>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</si>
  <si>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</si>
  <si>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</si>
  <si>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</si>
  <si>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</si>
  <si>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</si>
  <si>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</si>
  <si>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</si>
  <si>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</si>
  <si>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</si>
  <si>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</si>
  <si>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</si>
  <si>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</si>
  <si>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</si>
  <si>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</si>
  <si>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</si>
  <si>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</si>
  <si>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</si>
  <si>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</si>
  <si>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</si>
  <si>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</si>
  <si>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</si>
  <si>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</si>
  <si>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</si>
  <si>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</si>
  <si>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</si>
  <si>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</si>
  <si>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</si>
  <si>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</si>
  <si>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</si>
  <si>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</si>
  <si>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</si>
  <si>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</si>
  <si>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</si>
  <si>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</si>
  <si>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</si>
  <si>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</si>
  <si>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</si>
  <si>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</si>
  <si>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</si>
  <si>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</si>
  <si>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</si>
  <si>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</si>
  <si>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</si>
  <si>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</si>
  <si>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</si>
  <si>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</si>
  <si>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</si>
  <si>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</si>
  <si>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</si>
  <si>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</si>
  <si>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</si>
  <si>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</si>
  <si>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</si>
  <si>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</si>
  <si>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</si>
  <si>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</si>
  <si>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</si>
  <si>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</si>
  <si>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</si>
  <si>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</si>
  <si>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</si>
  <si>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</si>
  <si>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</si>
  <si>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</si>
  <si>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</si>
  <si>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</si>
  <si>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</si>
  <si>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</si>
  <si>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</si>
  <si>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</si>
  <si>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</si>
  <si>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</si>
  <si>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</si>
  <si>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</si>
  <si>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</si>
  <si>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</si>
  <si>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</si>
  <si>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</si>
  <si>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</si>
  <si>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</si>
  <si>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</si>
  <si>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</si>
  <si>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</si>
  <si>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</si>
  <si>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</si>
  <si>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</si>
  <si>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</si>
  <si>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</si>
  <si>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</si>
  <si>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</si>
  <si>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</si>
  <si>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</si>
  <si>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</si>
  <si>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</si>
  <si>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</si>
  <si>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</si>
  <si>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</si>
  <si>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</si>
  <si>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</si>
  <si>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</si>
  <si>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</si>
  <si>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</si>
  <si>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</si>
  <si>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</si>
  <si>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</si>
  <si>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</si>
  <si>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</si>
  <si>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</si>
  <si>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</si>
  <si>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</si>
  <si>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</si>
  <si>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</si>
  <si>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</si>
  <si>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</si>
  <si>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</si>
  <si>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</si>
  <si>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</si>
  <si>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</si>
  <si>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</si>
  <si>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</si>
  <si>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</si>
  <si>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</si>
  <si>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</si>
  <si>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</si>
  <si>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</si>
  <si>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</si>
  <si>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</si>
  <si>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</si>
  <si>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</si>
  <si>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</si>
  <si>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</si>
  <si>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</si>
  <si>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</si>
  <si>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</si>
  <si>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</si>
  <si>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</si>
  <si>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</si>
  <si>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</si>
  <si>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</si>
  <si>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</si>
  <si>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</si>
  <si>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</si>
  <si>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</si>
  <si>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</si>
  <si>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</si>
  <si>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</si>
  <si>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</si>
  <si>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</si>
  <si>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</si>
  <si>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</si>
  <si>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</si>
  <si>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</si>
  <si>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</si>
  <si>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</si>
  <si>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</si>
  <si>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</si>
  <si>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</si>
  <si>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</si>
  <si>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</si>
  <si>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</si>
  <si>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</si>
  <si>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</si>
  <si>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</si>
  <si>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</si>
  <si>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</si>
  <si>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</si>
  <si>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</si>
  <si>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</si>
  <si>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</si>
  <si>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</si>
  <si>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</si>
  <si>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</si>
  <si>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</si>
  <si>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</si>
  <si>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</si>
  <si>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</si>
  <si>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</si>
  <si>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</si>
  <si>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</si>
  <si>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</si>
  <si>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</si>
  <si>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</si>
  <si>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</si>
  <si>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</si>
  <si>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</si>
  <si>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</si>
  <si>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</si>
  <si>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</si>
  <si>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</si>
  <si>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</si>
  <si>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</si>
  <si>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</si>
  <si>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</si>
  <si>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</si>
  <si>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</si>
  <si>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</si>
  <si>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</si>
  <si>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</si>
  <si>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</si>
  <si>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</si>
  <si>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</si>
  <si>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</si>
  <si>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</si>
  <si>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</si>
  <si>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</si>
  <si>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</si>
  <si>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</si>
  <si>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</si>
  <si>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</si>
  <si>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</si>
  <si>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</si>
  <si>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</si>
  <si>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</si>
  <si>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</si>
  <si>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</si>
  <si>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</si>
  <si>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</si>
  <si>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</si>
  <si>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</si>
  <si>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</si>
  <si>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</si>
  <si>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</si>
  <si>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</si>
  <si>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</si>
  <si>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</si>
  <si>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</si>
  <si>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</si>
  <si>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</si>
  <si>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</si>
  <si>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</si>
  <si>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</si>
  <si>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</si>
  <si>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</si>
  <si>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</si>
  <si>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</si>
  <si>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</si>
  <si>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</si>
  <si>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</si>
  <si>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</si>
  <si>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</si>
  <si>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</si>
  <si>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</si>
  <si>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</si>
  <si>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</si>
  <si>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</si>
  <si>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</si>
  <si>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</si>
  <si>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</si>
  <si>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</si>
  <si>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</si>
  <si>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</si>
  <si>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</si>
  <si>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</si>
  <si>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</si>
  <si>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地上</t>
  </si>
  <si>
    <t>地下</t>
  </si>
  <si>
    <t>序号</t>
  </si>
  <si>
    <t>项目名称</t>
  </si>
  <si>
    <r>
      <t>建筑面积（万平方米</t>
    </r>
    <r>
      <rPr>
        <sz val="11"/>
        <color rgb="FF000000"/>
        <rFont val="楷体"/>
        <family val="3"/>
        <charset val="134"/>
      </rPr>
      <t>）</t>
    </r>
  </si>
  <si>
    <t>合计</t>
  </si>
  <si>
    <t>其中地上</t>
  </si>
  <si>
    <t>其中地下</t>
  </si>
  <si>
    <t>职工</t>
  </si>
  <si>
    <t>住房</t>
  </si>
  <si>
    <r>
      <t>170.23</t>
    </r>
    <r>
      <rPr>
        <sz val="11"/>
        <color theme="1"/>
        <rFont val="楷体"/>
        <family val="3"/>
        <charset val="134"/>
      </rPr>
      <t>万平方米</t>
    </r>
  </si>
  <si>
    <t>住宅</t>
  </si>
  <si>
    <t>住宅居用配套</t>
  </si>
  <si>
    <t>住宅人防</t>
  </si>
  <si>
    <t>住宅地下其他</t>
  </si>
  <si>
    <t>住宅车库</t>
  </si>
  <si>
    <t>丙类库房</t>
  </si>
  <si>
    <t>安置房</t>
  </si>
  <si>
    <r>
      <t>4.57</t>
    </r>
    <r>
      <rPr>
        <sz val="11"/>
        <color theme="1"/>
        <rFont val="楷体"/>
        <family val="3"/>
        <charset val="134"/>
      </rPr>
      <t>万平方米</t>
    </r>
  </si>
  <si>
    <t>安置房居用配套</t>
  </si>
  <si>
    <t>安置房人防</t>
  </si>
  <si>
    <t>安置房地下其他</t>
  </si>
  <si>
    <t>安置房车库</t>
  </si>
  <si>
    <t>安置房丙类库房</t>
  </si>
  <si>
    <r>
      <t>为居用服务的公服配套</t>
    </r>
    <r>
      <rPr>
        <sz val="11"/>
        <color theme="1"/>
        <rFont val="Arial Narrow"/>
        <family val="2"/>
      </rPr>
      <t>14.85</t>
    </r>
    <r>
      <rPr>
        <sz val="11"/>
        <color theme="1"/>
        <rFont val="楷体"/>
        <family val="3"/>
        <charset val="134"/>
      </rPr>
      <t>万平方米</t>
    </r>
  </si>
  <si>
    <t>住宅地块公服配套</t>
  </si>
  <si>
    <t>商业地块公服配套地上</t>
  </si>
  <si>
    <t>学校</t>
  </si>
  <si>
    <t>幼儿园</t>
  </si>
  <si>
    <r>
      <t>工勤宿舍</t>
    </r>
    <r>
      <rPr>
        <sz val="11"/>
        <color theme="1"/>
        <rFont val="Arial Narrow"/>
        <family val="2"/>
      </rPr>
      <t>2.08</t>
    </r>
    <r>
      <rPr>
        <sz val="11"/>
        <color theme="1"/>
        <rFont val="楷体"/>
        <family val="3"/>
        <charset val="134"/>
      </rPr>
      <t>万平方米</t>
    </r>
  </si>
  <si>
    <r>
      <t>千配商业</t>
    </r>
    <r>
      <rPr>
        <sz val="11"/>
        <color theme="1"/>
        <rFont val="Arial Narrow"/>
        <family val="2"/>
      </rPr>
      <t>1.62</t>
    </r>
    <r>
      <rPr>
        <sz val="11"/>
        <color theme="1"/>
        <rFont val="楷体"/>
        <family val="3"/>
        <charset val="134"/>
      </rPr>
      <t>万平方米</t>
    </r>
  </si>
  <si>
    <t>配套</t>
  </si>
  <si>
    <r>
      <t>32.17</t>
    </r>
    <r>
      <rPr>
        <sz val="11"/>
        <color theme="1"/>
        <rFont val="楷体"/>
        <family val="3"/>
        <charset val="134"/>
      </rPr>
      <t>万平方米</t>
    </r>
  </si>
  <si>
    <t>住宅地块增配商业</t>
  </si>
  <si>
    <r>
      <t>C03C05C08</t>
    </r>
    <r>
      <rPr>
        <sz val="11"/>
        <color rgb="FF000000"/>
        <rFont val="楷体"/>
        <family val="3"/>
        <charset val="134"/>
      </rPr>
      <t>商业</t>
    </r>
  </si>
  <si>
    <t>增配商业</t>
  </si>
  <si>
    <t>增配商业车库及人防</t>
  </si>
  <si>
    <t>能源站</t>
  </si>
  <si>
    <r>
      <t>C0508</t>
    </r>
    <r>
      <rPr>
        <sz val="11"/>
        <color rgb="FF000000"/>
        <rFont val="楷体"/>
        <family val="3"/>
        <charset val="134"/>
      </rPr>
      <t>周边连廊</t>
    </r>
  </si>
  <si>
    <r>
      <t>有偿移交邮局</t>
    </r>
    <r>
      <rPr>
        <sz val="10.5"/>
        <color rgb="FF000000"/>
        <rFont val="Arial Narrow"/>
        <family val="2"/>
      </rPr>
      <t xml:space="preserve"> </t>
    </r>
    <r>
      <rPr>
        <sz val="11"/>
        <color rgb="FF000000"/>
        <rFont val="楷体"/>
        <family val="3"/>
        <charset val="134"/>
      </rPr>
      <t>地上</t>
    </r>
    <r>
      <rPr>
        <sz val="11"/>
        <color theme="1"/>
        <rFont val="Arial Narrow"/>
        <family val="2"/>
      </rPr>
      <t>0.02</t>
    </r>
    <r>
      <rPr>
        <sz val="11"/>
        <color theme="1"/>
        <rFont val="楷体"/>
        <family val="3"/>
        <charset val="134"/>
      </rPr>
      <t>万平方米</t>
    </r>
  </si>
  <si>
    <r>
      <t>居用和商业公用公服配套</t>
    </r>
    <r>
      <rPr>
        <sz val="11"/>
        <color theme="1"/>
        <rFont val="Arial Narrow"/>
        <family val="2"/>
      </rPr>
      <t>0.09</t>
    </r>
    <r>
      <rPr>
        <sz val="11"/>
        <color theme="1"/>
        <rFont val="楷体"/>
        <family val="3"/>
        <charset val="134"/>
      </rPr>
      <t>万平方米</t>
    </r>
  </si>
  <si>
    <t>北京城市副中心住房项目业态建设面积统计表</t>
    <phoneticPr fontId="134" type="noConversion"/>
  </si>
  <si>
    <t>总投资金额及相关政策依据</t>
  </si>
  <si>
    <t>事项</t>
  </si>
  <si>
    <t>投资依据</t>
  </si>
  <si>
    <t>立项金额</t>
  </si>
  <si>
    <r>
      <t>(</t>
    </r>
    <r>
      <rPr>
        <b/>
        <sz val="11"/>
        <color rgb="FF000000"/>
        <rFont val="楷体"/>
        <family val="3"/>
        <charset val="134"/>
      </rPr>
      <t>亿元</t>
    </r>
    <r>
      <rPr>
        <b/>
        <sz val="11"/>
        <color rgb="FF000000"/>
        <rFont val="Times New Roman"/>
        <family val="1"/>
      </rPr>
      <t>)</t>
    </r>
  </si>
  <si>
    <t>北京城市副中心职工住房项目</t>
  </si>
  <si>
    <t>北京城市副中心管理委员会关于北京城市副中心住房项目核准的批复及立项申请文件</t>
  </si>
  <si>
    <r>
      <t>北京城市副中心住房项目北侧</t>
    </r>
    <r>
      <rPr>
        <sz val="11"/>
        <color rgb="FF000000"/>
        <rFont val="Arial Narrow"/>
        <family val="2"/>
      </rPr>
      <t>8</t>
    </r>
    <r>
      <rPr>
        <sz val="11"/>
        <color rgb="FF000000"/>
        <rFont val="仿宋_GB2312"/>
        <family val="3"/>
        <charset val="134"/>
      </rPr>
      <t>条支路道路工程建设项目</t>
    </r>
  </si>
  <si>
    <r>
      <t>1.</t>
    </r>
    <r>
      <rPr>
        <sz val="11"/>
        <color rgb="FF000000"/>
        <rFont val="仿宋_GB2312"/>
        <family val="3"/>
        <charset val="134"/>
      </rPr>
      <t>关于副中心职工周转房六合村项目红线范围内支路建设相关工作的请示</t>
    </r>
    <r>
      <rPr>
        <sz val="11"/>
        <color rgb="FF000000"/>
        <rFont val="Arial Narrow"/>
        <family val="2"/>
      </rPr>
      <t>-</t>
    </r>
    <r>
      <rPr>
        <sz val="11"/>
        <color rgb="FF000000"/>
        <rFont val="仿宋_GB2312"/>
        <family val="3"/>
        <charset val="134"/>
      </rPr>
      <t>京行建办文</t>
    </r>
    <r>
      <rPr>
        <sz val="11"/>
        <color rgb="FF000000"/>
        <rFont val="楷体_GB2312"/>
        <charset val="134"/>
      </rPr>
      <t>〔</t>
    </r>
    <r>
      <rPr>
        <sz val="11"/>
        <color rgb="FF000000"/>
        <rFont val="Arial Narrow"/>
        <family val="2"/>
      </rPr>
      <t>2019</t>
    </r>
    <r>
      <rPr>
        <sz val="11"/>
        <color rgb="FF000000"/>
        <rFont val="楷体_GB2312"/>
        <charset val="134"/>
      </rPr>
      <t>〕</t>
    </r>
    <r>
      <rPr>
        <sz val="11"/>
        <color rgb="FF000000"/>
        <rFont val="Arial Narrow"/>
        <family val="2"/>
      </rPr>
      <t>50</t>
    </r>
    <r>
      <rPr>
        <sz val="11"/>
        <color rgb="FF000000"/>
        <rFont val="仿宋_GB2312"/>
        <family val="3"/>
        <charset val="134"/>
      </rPr>
      <t>号</t>
    </r>
  </si>
  <si>
    <r>
      <t>2.</t>
    </r>
    <r>
      <rPr>
        <sz val="11"/>
        <color rgb="FF000000"/>
        <rFont val="仿宋_GB2312"/>
        <family val="3"/>
        <charset val="134"/>
      </rPr>
      <t>北京城市副中心住房项目北侧</t>
    </r>
    <r>
      <rPr>
        <sz val="11"/>
        <color rgb="FF000000"/>
        <rFont val="Arial Narrow"/>
        <family val="2"/>
      </rPr>
      <t>8</t>
    </r>
    <r>
      <rPr>
        <sz val="11"/>
        <color rgb="FF000000"/>
        <rFont val="仿宋_GB2312"/>
        <family val="3"/>
        <charset val="134"/>
      </rPr>
      <t>条支路道路工程建设项目核准的批复及立项申请文件</t>
    </r>
  </si>
  <si>
    <t>能源站投资建设</t>
  </si>
  <si>
    <t>《关于北京城市副中心住房项目近期重点工作事项的请示》及批示意见</t>
  </si>
  <si>
    <t>包含在立项中</t>
  </si>
  <si>
    <t>红线外变配电工程</t>
  </si>
  <si>
    <r>
      <t>1.</t>
    </r>
    <r>
      <rPr>
        <sz val="11"/>
        <color rgb="FF000000"/>
        <rFont val="仿宋_GB2312"/>
        <family val="3"/>
        <charset val="134"/>
      </rPr>
      <t>《关于研究市保障性住房建设投资中心有关工作的意见》</t>
    </r>
  </si>
  <si>
    <r>
      <t>2.</t>
    </r>
    <r>
      <rPr>
        <sz val="11"/>
        <color rgb="FF000000"/>
        <rFont val="仿宋_GB2312"/>
        <family val="3"/>
        <charset val="134"/>
      </rPr>
      <t>《关于城市副中心住房项目配套市政道路规划建设有关工作的请示》及批示意见</t>
    </r>
  </si>
  <si>
    <t>临时雨污水</t>
  </si>
  <si>
    <r>
      <t>《北京城市副中心建设领导小组机关搬迁工作指挥部第</t>
    </r>
    <r>
      <rPr>
        <sz val="11"/>
        <color rgb="FF000000"/>
        <rFont val="Arial Narrow"/>
        <family val="2"/>
      </rPr>
      <t>2023</t>
    </r>
    <r>
      <rPr>
        <sz val="11"/>
        <color rgb="FF000000"/>
        <rFont val="仿宋_GB2312"/>
        <family val="3"/>
        <charset val="134"/>
      </rPr>
      <t>年</t>
    </r>
    <r>
      <rPr>
        <sz val="11"/>
        <color rgb="FF000000"/>
        <rFont val="Arial Narrow"/>
        <family val="2"/>
      </rPr>
      <t>37</t>
    </r>
    <r>
      <rPr>
        <sz val="11"/>
        <color rgb="FF000000"/>
        <rFont val="仿宋_GB2312"/>
        <family val="3"/>
        <charset val="134"/>
      </rPr>
      <t>号专题会议纪要》</t>
    </r>
  </si>
  <si>
    <t>航油管线改迁</t>
  </si>
  <si>
    <t>配置空调</t>
  </si>
  <si>
    <r>
      <t>《北京城市副中心建设领导小组机关搬迁工作指挥部</t>
    </r>
    <r>
      <rPr>
        <sz val="11"/>
        <color rgb="FF000000"/>
        <rFont val="Arial Narrow"/>
        <family val="2"/>
      </rPr>
      <t>2023</t>
    </r>
    <r>
      <rPr>
        <sz val="11"/>
        <color rgb="FF000000"/>
        <rFont val="仿宋_GB2312"/>
        <family val="3"/>
        <charset val="134"/>
      </rPr>
      <t>年</t>
    </r>
    <r>
      <rPr>
        <sz val="11"/>
        <color rgb="FF000000"/>
        <rFont val="Arial Narrow"/>
        <family val="2"/>
      </rPr>
      <t>3</t>
    </r>
    <r>
      <rPr>
        <sz val="11"/>
        <color rgb="FF000000"/>
        <rFont val="仿宋_GB2312"/>
        <family val="3"/>
        <charset val="134"/>
      </rPr>
      <t>号会议纪要》</t>
    </r>
    <r>
      <rPr>
        <sz val="11"/>
        <color rgb="FF000000"/>
        <rFont val="Arial Narrow"/>
        <family val="2"/>
      </rPr>
      <t>2023</t>
    </r>
    <r>
      <rPr>
        <sz val="11"/>
        <color rgb="FF000000"/>
        <rFont val="仿宋_GB2312"/>
        <family val="3"/>
        <charset val="134"/>
      </rPr>
      <t>年</t>
    </r>
    <r>
      <rPr>
        <sz val="11"/>
        <color rgb="FF000000"/>
        <rFont val="Arial Narrow"/>
        <family val="2"/>
      </rPr>
      <t>7</t>
    </r>
    <r>
      <rPr>
        <sz val="11"/>
        <color rgb="FF000000"/>
        <rFont val="仿宋_GB2312"/>
        <family val="3"/>
        <charset val="134"/>
      </rPr>
      <t>月</t>
    </r>
    <r>
      <rPr>
        <sz val="11"/>
        <color rgb="FF000000"/>
        <rFont val="Arial Narrow"/>
        <family val="2"/>
      </rPr>
      <t>14</t>
    </r>
    <r>
      <rPr>
        <sz val="11"/>
        <color rgb="FF000000"/>
        <rFont val="仿宋_GB2312"/>
        <family val="3"/>
        <charset val="134"/>
      </rPr>
      <t>日</t>
    </r>
  </si>
  <si>
    <t>北京城市副中心住房项目总投资与动态成本对比表</t>
    <phoneticPr fontId="134" type="noConversion"/>
  </si>
  <si>
    <t>立项</t>
  </si>
  <si>
    <t>面积</t>
  </si>
  <si>
    <r>
      <t>(</t>
    </r>
    <r>
      <rPr>
        <b/>
        <sz val="11"/>
        <color rgb="FF000000"/>
        <rFont val="仿宋_GB2312"/>
        <family val="3"/>
        <charset val="134"/>
      </rPr>
      <t>万</t>
    </r>
    <r>
      <rPr>
        <sz val="10"/>
        <color rgb="FF000000"/>
        <rFont val="仿宋_GB2312"/>
        <family val="3"/>
        <charset val="134"/>
      </rPr>
      <t>平方米</t>
    </r>
    <r>
      <rPr>
        <sz val="10"/>
        <color rgb="FF000000"/>
        <rFont val="Arial Narrow"/>
        <family val="2"/>
      </rPr>
      <t>)</t>
    </r>
  </si>
  <si>
    <t>规证及图测面积</t>
  </si>
  <si>
    <t>总投资</t>
  </si>
  <si>
    <t>动态成本</t>
  </si>
  <si>
    <r>
      <t>-</t>
    </r>
    <r>
      <rPr>
        <sz val="10"/>
        <color rgb="FF000000"/>
        <rFont val="仿宋_GB2312"/>
        <family val="3"/>
        <charset val="134"/>
      </rPr>
      <t>差异</t>
    </r>
    <r>
      <rPr>
        <b/>
        <sz val="11"/>
        <color rgb="FF000000"/>
        <rFont val="仿宋_GB2312"/>
        <family val="3"/>
        <charset val="134"/>
      </rPr>
      <t>（亿元）</t>
    </r>
  </si>
  <si>
    <t>单方</t>
  </si>
  <si>
    <t>金额</t>
  </si>
  <si>
    <r>
      <t> (</t>
    </r>
    <r>
      <rPr>
        <b/>
        <sz val="11"/>
        <color rgb="FF000000"/>
        <rFont val="仿宋_GB2312"/>
        <family val="3"/>
        <charset val="134"/>
      </rPr>
      <t>亿元</t>
    </r>
    <r>
      <rPr>
        <sz val="10"/>
        <color rgb="FF000000"/>
        <rFont val="Arial Narrow"/>
        <family val="2"/>
      </rPr>
      <t>)</t>
    </r>
  </si>
  <si>
    <t>一</t>
  </si>
  <si>
    <t>土地费</t>
  </si>
  <si>
    <t>北京宋庄文化创意产业集聚区土地一级开发项目</t>
  </si>
  <si>
    <t>北京市通州区潞城镇棚户区改造土地开发项目</t>
  </si>
  <si>
    <t>土地出让金（不含住宅及产权车库）</t>
  </si>
  <si>
    <t>契税、印花税</t>
  </si>
  <si>
    <t>二</t>
  </si>
  <si>
    <t>红线外大市政费用</t>
  </si>
  <si>
    <t>北部八条支路</t>
  </si>
  <si>
    <t>红线外电力</t>
  </si>
  <si>
    <t>临时雨污水、航油管线</t>
  </si>
  <si>
    <t>三</t>
  </si>
  <si>
    <t>红线内建安工程费</t>
  </si>
  <si>
    <t>前期及其他费用</t>
  </si>
  <si>
    <t>建安工程费</t>
  </si>
  <si>
    <t>四</t>
  </si>
  <si>
    <t>预备费</t>
  </si>
  <si>
    <t>五</t>
  </si>
  <si>
    <t>建设期贷款利息</t>
  </si>
  <si>
    <t>六</t>
  </si>
  <si>
    <t>职工住房增加空调</t>
  </si>
  <si>
    <t>北京城市副中心住房项目资产原始成本统计表</t>
  </si>
  <si>
    <r>
      <t>建筑面积（万</t>
    </r>
    <r>
      <rPr>
        <sz val="11"/>
        <color rgb="FF000000"/>
        <rFont val="仿宋_GB2312"/>
        <family val="3"/>
        <charset val="134"/>
      </rPr>
      <t>平方米</t>
    </r>
    <r>
      <rPr>
        <sz val="11"/>
        <color rgb="FF000000"/>
        <rFont val="楷体"/>
        <family val="3"/>
        <charset val="134"/>
      </rPr>
      <t>）</t>
    </r>
  </si>
  <si>
    <t>总投资（亿元）</t>
  </si>
  <si>
    <t>其中</t>
  </si>
  <si>
    <t>土地成本</t>
  </si>
  <si>
    <t>土地出让金</t>
  </si>
  <si>
    <t>大市政</t>
  </si>
  <si>
    <t>财务成本</t>
  </si>
  <si>
    <t>职工住房</t>
  </si>
  <si>
    <t>职工住房居用配套</t>
  </si>
  <si>
    <t>1.2.1</t>
  </si>
  <si>
    <t>职工住房人防</t>
  </si>
  <si>
    <t>1.2.2</t>
  </si>
  <si>
    <t>职工住房地下其他</t>
  </si>
  <si>
    <t>职工住房地下车库</t>
  </si>
  <si>
    <t>职工住房地下丙类库房</t>
  </si>
  <si>
    <t>2.2.1</t>
  </si>
  <si>
    <t>2.2.2</t>
  </si>
  <si>
    <t>安置房地下车库</t>
  </si>
  <si>
    <t>公服设施</t>
  </si>
  <si>
    <t>工勤宿舍</t>
  </si>
  <si>
    <t>千配商业</t>
  </si>
  <si>
    <t>商业合计</t>
  </si>
  <si>
    <r>
      <t>有偿移交邮局</t>
    </r>
    <r>
      <rPr>
        <sz val="11"/>
        <color rgb="FF000000"/>
        <rFont val="Arial Narrow"/>
        <family val="2"/>
      </rPr>
      <t xml:space="preserve"> </t>
    </r>
    <r>
      <rPr>
        <sz val="11"/>
        <color rgb="FF000000"/>
        <rFont val="楷体"/>
        <family val="3"/>
        <charset val="134"/>
      </rPr>
      <t>地上</t>
    </r>
  </si>
  <si>
    <t>居用和商业公用公服配套</t>
  </si>
  <si>
    <t>环卫设施</t>
  </si>
  <si>
    <t>土地面积（㎡）</t>
  </si>
  <si>
    <t>出让部分</t>
  </si>
  <si>
    <t>划拨部分</t>
  </si>
  <si>
    <t>容积率</t>
  </si>
  <si>
    <t>楼号</t>
  </si>
  <si>
    <t>总建筑面积（㎡）</t>
  </si>
  <si>
    <t>地上建筑面积（㎡）</t>
  </si>
  <si>
    <t>地下建筑面积（㎡）</t>
  </si>
  <si>
    <t>人防</t>
  </si>
  <si>
    <t>设备用房</t>
  </si>
  <si>
    <t>人防工程</t>
  </si>
  <si>
    <t>人防通道及口部面积</t>
  </si>
  <si>
    <t>-</t>
  </si>
  <si>
    <t>B201#住宅楼</t>
    <phoneticPr fontId="134" type="noConversion"/>
  </si>
  <si>
    <t>B202#住宅楼</t>
    <phoneticPr fontId="134" type="noConversion"/>
  </si>
  <si>
    <t>B203#住宅楼</t>
    <phoneticPr fontId="134" type="noConversion"/>
  </si>
  <si>
    <t>B204#住宅楼</t>
    <phoneticPr fontId="134" type="noConversion"/>
  </si>
  <si>
    <t>B205#住宅楼</t>
    <phoneticPr fontId="134" type="noConversion"/>
  </si>
  <si>
    <t>B206#住宅楼</t>
    <phoneticPr fontId="134" type="noConversion"/>
  </si>
  <si>
    <t>B207#配套楼</t>
    <phoneticPr fontId="134" type="noConversion"/>
  </si>
  <si>
    <t>D2#地下车库</t>
    <phoneticPr fontId="134" type="noConversion"/>
  </si>
  <si>
    <t>合计</t>
    <phoneticPr fontId="134" type="noConversion"/>
  </si>
  <si>
    <t>安置房</t>
    <phoneticPr fontId="134" type="noConversion"/>
  </si>
  <si>
    <t>套数</t>
    <phoneticPr fontId="134" type="noConversion"/>
  </si>
  <si>
    <t>自行车库</t>
    <phoneticPr fontId="134" type="noConversion"/>
  </si>
  <si>
    <t>仓储用房（丙2类）</t>
    <phoneticPr fontId="134" type="noConversion"/>
  </si>
  <si>
    <t>增配商业</t>
    <phoneticPr fontId="134" type="noConversion"/>
  </si>
  <si>
    <t>公共服务设施（再生资源回收站）</t>
    <phoneticPr fontId="134" type="noConversion"/>
  </si>
  <si>
    <t>汽车库出入口及其他</t>
    <phoneticPr fontId="134" type="noConversion"/>
  </si>
  <si>
    <t>人防工程</t>
    <phoneticPr fontId="134" type="noConversion"/>
  </si>
  <si>
    <t>非人防汽车库</t>
    <phoneticPr fontId="134" type="noConversion"/>
  </si>
  <si>
    <t>B201#住宅楼（1号楼）</t>
    <phoneticPr fontId="134" type="noConversion"/>
  </si>
  <si>
    <t>B202#住宅楼（2号楼）</t>
    <phoneticPr fontId="134" type="noConversion"/>
  </si>
  <si>
    <t>B203#住宅楼（3号楼）</t>
    <phoneticPr fontId="134" type="noConversion"/>
  </si>
  <si>
    <t>B204#住宅楼（5号楼）</t>
    <phoneticPr fontId="134" type="noConversion"/>
  </si>
  <si>
    <t>B205#住宅楼（6号楼）</t>
    <phoneticPr fontId="134" type="noConversion"/>
  </si>
  <si>
    <t>B206#住宅楼（7号楼）</t>
    <phoneticPr fontId="134" type="noConversion"/>
  </si>
  <si>
    <t>B207#配套楼（4号楼）</t>
    <phoneticPr fontId="134" type="noConversion"/>
  </si>
  <si>
    <t>D2#地下车库</t>
    <phoneticPr fontId="134" type="noConversion"/>
  </si>
  <si>
    <t>楼层</t>
    <phoneticPr fontId="134" type="noConversion"/>
  </si>
  <si>
    <r>
      <t>1</t>
    </r>
    <r>
      <rPr>
        <sz val="11"/>
        <color theme="1"/>
        <rFont val="DengXian"/>
        <charset val="134"/>
        <scheme val="minor"/>
      </rPr>
      <t>0（-2）</t>
    </r>
    <phoneticPr fontId="134" type="noConversion"/>
  </si>
  <si>
    <t>屋面附属用房面积</t>
    <phoneticPr fontId="134" type="noConversion"/>
  </si>
  <si>
    <t>8（-3）</t>
    <phoneticPr fontId="134" type="noConversion"/>
  </si>
  <si>
    <t>8（-2）</t>
    <phoneticPr fontId="134" type="noConversion"/>
  </si>
  <si>
    <r>
      <t>1</t>
    </r>
    <r>
      <rPr>
        <sz val="11"/>
        <color theme="1"/>
        <rFont val="DengXian"/>
        <charset val="134"/>
        <scheme val="minor"/>
      </rPr>
      <t>0（-2）</t>
    </r>
    <phoneticPr fontId="134" type="noConversion"/>
  </si>
  <si>
    <t>-</t>
    <phoneticPr fontId="134" type="noConversion"/>
  </si>
  <si>
    <t>全项目分摊</t>
    <phoneticPr fontId="134" type="noConversion"/>
  </si>
  <si>
    <t xml:space="preserve">B-02#地块（安置房）综合技术经济指标                          </t>
  </si>
  <si>
    <t>项目</t>
  </si>
  <si>
    <t>计量单位</t>
  </si>
  <si>
    <t xml:space="preserve"> </t>
  </si>
  <si>
    <t>备注</t>
  </si>
  <si>
    <t xml:space="preserve">     01：住宅建设用地面积</t>
  </si>
  <si>
    <t>m2</t>
  </si>
  <si>
    <t xml:space="preserve">     02：技术指标</t>
  </si>
  <si>
    <t xml:space="preserve">         总建筑面积</t>
  </si>
  <si>
    <t>（1）地上建筑面积</t>
  </si>
  <si>
    <t>安置房建筑</t>
  </si>
  <si>
    <t>阳台按全面积计算</t>
  </si>
  <si>
    <t>公共服务设施</t>
  </si>
  <si>
    <t>配套商业</t>
  </si>
  <si>
    <t>其他地上建筑</t>
  </si>
  <si>
    <t>m3</t>
  </si>
  <si>
    <t>地面人行及车行出入口等</t>
  </si>
  <si>
    <t>（2）地下建筑面积</t>
  </si>
  <si>
    <t>自行车库</t>
  </si>
  <si>
    <t>仓储用房</t>
  </si>
  <si>
    <t>汽车库</t>
  </si>
  <si>
    <t xml:space="preserve">     03：容积率</t>
  </si>
  <si>
    <t xml:space="preserve">     04：居住人数</t>
  </si>
  <si>
    <t>人</t>
  </si>
  <si>
    <t xml:space="preserve">     05：户均人口</t>
  </si>
  <si>
    <t>人/户</t>
  </si>
  <si>
    <t xml:space="preserve">     06：居住户数</t>
  </si>
  <si>
    <t>户</t>
  </si>
  <si>
    <t xml:space="preserve">     07：建筑高度</t>
  </si>
  <si>
    <t>m</t>
  </si>
  <si>
    <t>从周围市政道路低点计算</t>
  </si>
  <si>
    <t xml:space="preserve">     08：建筑层数</t>
  </si>
  <si>
    <t xml:space="preserve">  地上</t>
  </si>
  <si>
    <t>层</t>
  </si>
  <si>
    <t xml:space="preserve">  地下</t>
  </si>
  <si>
    <t xml:space="preserve">     09：停车数量</t>
  </si>
  <si>
    <t>机动车停车位</t>
  </si>
  <si>
    <t>辆</t>
  </si>
  <si>
    <t>1.04辆/户，配套按照6.5辆/千㎡</t>
  </si>
  <si>
    <t>(1)地面停车数量</t>
  </si>
  <si>
    <t>(2)地下停车数量</t>
  </si>
  <si>
    <t>自行车车位</t>
  </si>
  <si>
    <t>2辆/户，配套按照40辆/千㎡</t>
  </si>
  <si>
    <t xml:space="preserve">     10：绿地率</t>
  </si>
  <si>
    <t>大区统一计算，含代征绿地</t>
  </si>
  <si>
    <t xml:space="preserve">     11：基底建筑面积</t>
  </si>
  <si>
    <t xml:space="preserve">     12：建筑密度</t>
  </si>
  <si>
    <t xml:space="preserve">     13：建筑套密度（毛）</t>
  </si>
  <si>
    <t>套/hm2</t>
  </si>
  <si>
    <t>地上</t>
    <phoneticPr fontId="134" type="noConversion"/>
  </si>
  <si>
    <t>地下</t>
    <phoneticPr fontId="134" type="noConversion"/>
  </si>
  <si>
    <t>合计</t>
    <phoneticPr fontId="134" type="noConversion"/>
  </si>
  <si>
    <t>合计</t>
    <phoneticPr fontId="134" type="noConversion"/>
  </si>
  <si>
    <t>土地面积</t>
    <phoneticPr fontId="134" type="noConversion"/>
  </si>
  <si>
    <t>核定资产</t>
  </si>
  <si>
    <t>房地产市场价值</t>
  </si>
  <si>
    <t>北京市</t>
  </si>
  <si>
    <t>企业</t>
  </si>
  <si>
    <t>取值比例/单价</t>
    <phoneticPr fontId="134" type="noConversion"/>
  </si>
  <si>
    <t>备注</t>
    <phoneticPr fontId="134" type="noConversion"/>
  </si>
  <si>
    <t>一</t>
    <phoneticPr fontId="134" type="noConversion"/>
  </si>
  <si>
    <t>土地成本</t>
    <phoneticPr fontId="134" type="noConversion"/>
  </si>
  <si>
    <t>土地补偿款</t>
    <phoneticPr fontId="134" type="noConversion"/>
  </si>
  <si>
    <t>二</t>
    <phoneticPr fontId="134" type="noConversion"/>
  </si>
  <si>
    <t>建设成本</t>
    <phoneticPr fontId="134" type="noConversion"/>
  </si>
  <si>
    <t>主体建安工程费及红线内基础设施建设费</t>
    <phoneticPr fontId="134" type="noConversion"/>
  </si>
  <si>
    <t>三</t>
    <phoneticPr fontId="134" type="noConversion"/>
  </si>
  <si>
    <t>管理费用</t>
    <phoneticPr fontId="134" type="noConversion"/>
  </si>
  <si>
    <t>四</t>
    <phoneticPr fontId="134" type="noConversion"/>
  </si>
  <si>
    <t>财务费用</t>
    <phoneticPr fontId="134" type="noConversion"/>
  </si>
  <si>
    <t>五</t>
    <phoneticPr fontId="134" type="noConversion"/>
  </si>
  <si>
    <t>销售税费</t>
    <phoneticPr fontId="134" type="noConversion"/>
  </si>
  <si>
    <t>序号</t>
    <phoneticPr fontId="134" type="noConversion"/>
  </si>
  <si>
    <t>六</t>
    <phoneticPr fontId="134" type="noConversion"/>
  </si>
  <si>
    <t>开发利润</t>
    <phoneticPr fontId="134" type="noConversion"/>
  </si>
  <si>
    <t>安置房开发成本价值</t>
    <phoneticPr fontId="134" type="noConversion"/>
  </si>
  <si>
    <t>七</t>
    <phoneticPr fontId="134" type="noConversion"/>
  </si>
  <si>
    <t>销售总价（万元）</t>
    <phoneticPr fontId="134" type="noConversion"/>
  </si>
  <si>
    <t>销售单价（元/平方米）</t>
    <phoneticPr fontId="134" type="noConversion"/>
  </si>
  <si>
    <t>一至六项之和。</t>
    <phoneticPr fontId="134" type="noConversion"/>
  </si>
  <si>
    <t>指该类房地产开发项目在正常条件下房地产开发企业所能获得的平均利润，本项目为保障性住房，参照《经济适用住房价格管理办法》利润取 3%。以土地成本、建设成本之和为基数。</t>
    <phoneticPr fontId="134" type="noConversion"/>
  </si>
  <si>
    <t>1 至 2 项之和</t>
    <phoneticPr fontId="134" type="noConversion"/>
  </si>
  <si>
    <t>划拨</t>
    <phoneticPr fontId="134" type="noConversion"/>
  </si>
  <si>
    <t>出让</t>
    <phoneticPr fontId="134" type="noConversion"/>
  </si>
  <si>
    <t>合计</t>
    <phoneticPr fontId="134" type="noConversion"/>
  </si>
  <si>
    <t>是</t>
  </si>
  <si>
    <t>安置房</t>
    <phoneticPr fontId="7" type="noConversion"/>
  </si>
  <si>
    <t>成新度</t>
  </si>
  <si>
    <t>成本法</t>
  </si>
  <si>
    <t>未包含在土地购买价格中</t>
  </si>
  <si>
    <t>已包含在土地取得成本中</t>
  </si>
  <si>
    <t>全部缴纳</t>
  </si>
  <si>
    <t>地下车库</t>
    <phoneticPr fontId="7" type="noConversion"/>
  </si>
  <si>
    <t>地下仓储</t>
    <phoneticPr fontId="7" type="noConversion"/>
  </si>
  <si>
    <t>《北京城市副中心住房项目潞苑南大街北侧地块土地开发建设补偿协议之补充协议（一） 二〇二〇年六月》</t>
    <rPh sb="1" eb="2">
      <t>bei jing s</t>
    </rPh>
    <rPh sb="3" eb="4">
      <t>cheng shi</t>
    </rPh>
    <rPh sb="5" eb="6">
      <t>fu zhong xin</t>
    </rPh>
    <rPh sb="8" eb="9">
      <t>zhu fang</t>
    </rPh>
    <rPh sb="10" eb="11">
      <t>xiang mu</t>
    </rPh>
    <rPh sb="12" eb="13">
      <t>lu yuan nan da jie</t>
    </rPh>
    <rPh sb="13" eb="14">
      <t>yuan</t>
    </rPh>
    <rPh sb="14" eb="15">
      <t>nan da jie</t>
    </rPh>
    <rPh sb="17" eb="18">
      <t>bei ce</t>
    </rPh>
    <rPh sb="19" eb="20">
      <t>di kuai</t>
    </rPh>
    <rPh sb="21" eb="22">
      <t>tu di</t>
    </rPh>
    <rPh sb="23" eb="24">
      <t>kai fa</t>
    </rPh>
    <rPh sb="25" eb="26">
      <t>jian she</t>
    </rPh>
    <rPh sb="27" eb="28">
      <t>bu chang</t>
    </rPh>
    <rPh sb="29" eb="30">
      <t>xie yi</t>
    </rPh>
    <rPh sb="31" eb="32">
      <t>zhi</t>
    </rPh>
    <rPh sb="32" eb="33">
      <t>bu chong xie yi</t>
    </rPh>
    <rPh sb="37" eb="38">
      <t>yi</t>
    </rPh>
    <rPh sb="40" eb="41">
      <t>er</t>
    </rPh>
    <rPh sb="42" eb="43">
      <t>er</t>
    </rPh>
    <rPh sb="44" eb="45">
      <t>nian</t>
    </rPh>
    <rPh sb="45" eb="46">
      <t>liu yue</t>
    </rPh>
    <phoneticPr fontId="134" type="noConversion"/>
  </si>
  <si>
    <t>《北京城市副中心住房项目潞苑南大街北侧地块土地开发建设补偿协议 二〇一八年十一月》</t>
    <rPh sb="1" eb="2">
      <t>bei jing s</t>
    </rPh>
    <rPh sb="3" eb="4">
      <t>cheng shi</t>
    </rPh>
    <rPh sb="5" eb="6">
      <t>fu zhong xin</t>
    </rPh>
    <rPh sb="8" eb="9">
      <t>zhu fang</t>
    </rPh>
    <rPh sb="10" eb="11">
      <t>xiang mu</t>
    </rPh>
    <rPh sb="12" eb="13">
      <t>lu yuan nan da jie</t>
    </rPh>
    <rPh sb="13" eb="14">
      <t>yuan</t>
    </rPh>
    <rPh sb="14" eb="15">
      <t>nan da jie</t>
    </rPh>
    <rPh sb="17" eb="18">
      <t>bei ce</t>
    </rPh>
    <rPh sb="19" eb="20">
      <t>di kuai</t>
    </rPh>
    <rPh sb="21" eb="22">
      <t>tu di</t>
    </rPh>
    <rPh sb="23" eb="24">
      <t>kai fa</t>
    </rPh>
    <rPh sb="25" eb="26">
      <t>jian she</t>
    </rPh>
    <rPh sb="27" eb="28">
      <t>bu chang</t>
    </rPh>
    <rPh sb="29" eb="30">
      <t>xie yi</t>
    </rPh>
    <rPh sb="32" eb="33">
      <t>er</t>
    </rPh>
    <rPh sb="34" eb="35">
      <t>yi</t>
    </rPh>
    <rPh sb="35" eb="36">
      <t>ba</t>
    </rPh>
    <rPh sb="36" eb="37">
      <t>nian</t>
    </rPh>
    <rPh sb="37" eb="38">
      <t>shi yi</t>
    </rPh>
    <phoneticPr fontId="134" type="noConversion"/>
  </si>
  <si>
    <t>一级开发项目</t>
    <rPh sb="0" eb="1">
      <t>yi ji kai fa</t>
    </rPh>
    <rPh sb="4" eb="5">
      <t>xiang mu</t>
    </rPh>
    <phoneticPr fontId="134" type="noConversion"/>
  </si>
  <si>
    <t>北京通州宋庄文化创意产业集聚区A、B、C土地一级开发项目</t>
    <rPh sb="0" eb="1">
      <t>bei jing</t>
    </rPh>
    <rPh sb="2" eb="3">
      <t>tong zhou</t>
    </rPh>
    <rPh sb="4" eb="5">
      <t>song zhaung</t>
    </rPh>
    <rPh sb="6" eb="7">
      <t>wen hua</t>
    </rPh>
    <rPh sb="8" eb="9">
      <t>chaung yi</t>
    </rPh>
    <rPh sb="10" eb="11">
      <t>chan ye</t>
    </rPh>
    <rPh sb="12" eb="13">
      <t>ji ju qu</t>
    </rPh>
    <rPh sb="20" eb="21">
      <t>tu di</t>
    </rPh>
    <rPh sb="22" eb="23">
      <t>yi ji kai fa</t>
    </rPh>
    <rPh sb="26" eb="27">
      <t>xiang mu</t>
    </rPh>
    <phoneticPr fontId="134" type="noConversion"/>
  </si>
  <si>
    <t>本项目</t>
    <rPh sb="0" eb="1">
      <t>ben xiang mu</t>
    </rPh>
    <phoneticPr fontId="134" type="noConversion"/>
  </si>
  <si>
    <t>城市副中心住房项目北侧地块</t>
    <rPh sb="0" eb="1">
      <t>cheng shi</t>
    </rPh>
    <rPh sb="2" eb="3">
      <t>fu zhong xin</t>
    </rPh>
    <rPh sb="5" eb="6">
      <t>zhu fang</t>
    </rPh>
    <rPh sb="7" eb="8">
      <t>xiang mu</t>
    </rPh>
    <rPh sb="9" eb="10">
      <t>bei ce di kuai</t>
    </rPh>
    <phoneticPr fontId="134" type="noConversion"/>
  </si>
  <si>
    <t>A1、A2、A3、B1、B2、B3、C1、C2、C3</t>
    <phoneticPr fontId="134" type="noConversion"/>
  </si>
  <si>
    <t>名称</t>
    <rPh sb="0" eb="1">
      <t>ming cehng</t>
    </rPh>
    <phoneticPr fontId="134" type="noConversion"/>
  </si>
  <si>
    <t>地块范围</t>
    <rPh sb="0" eb="1">
      <t>di kuai</t>
    </rPh>
    <rPh sb="2" eb="3">
      <t>fan wei</t>
    </rPh>
    <phoneticPr fontId="134" type="noConversion"/>
  </si>
  <si>
    <t>总建筑面积</t>
    <rPh sb="0" eb="1">
      <t>zong jian zhu</t>
    </rPh>
    <rPh sb="3" eb="4">
      <t>mian ji</t>
    </rPh>
    <phoneticPr fontId="134" type="noConversion"/>
  </si>
  <si>
    <t>四至</t>
    <rPh sb="0" eb="1">
      <t>si zhi</t>
    </rPh>
    <phoneticPr fontId="134" type="noConversion"/>
  </si>
  <si>
    <t>东至六合新村、南至潞苑南大街、西至东六环东侧规划道路、北至京榆旧线</t>
    <rPh sb="0" eb="1">
      <t>dong zhi</t>
    </rPh>
    <rPh sb="2" eb="3">
      <t>liu he xin cun</t>
    </rPh>
    <rPh sb="3" eb="4">
      <t>he</t>
    </rPh>
    <rPh sb="4" eb="5">
      <t>xin cun</t>
    </rPh>
    <rPh sb="7" eb="8">
      <t>nan zhi</t>
    </rPh>
    <rPh sb="11" eb="12">
      <t>nan</t>
    </rPh>
    <rPh sb="12" eb="13">
      <t>da jie</t>
    </rPh>
    <rPh sb="15" eb="16">
      <t>xi zhi</t>
    </rPh>
    <rPh sb="17" eb="18">
      <t>dong liu huan</t>
    </rPh>
    <rPh sb="20" eb="21">
      <t>dong ce</t>
    </rPh>
    <rPh sb="22" eb="23">
      <t>gui hua</t>
    </rPh>
    <rPh sb="24" eb="25">
      <t>dao lu</t>
    </rPh>
    <rPh sb="27" eb="28">
      <t>bei zhi</t>
    </rPh>
    <rPh sb="29" eb="30">
      <t>jing</t>
    </rPh>
    <rPh sb="30" eb="31">
      <t>yu shu</t>
    </rPh>
    <rPh sb="31" eb="32">
      <t>jiu</t>
    </rPh>
    <rPh sb="32" eb="33">
      <t>xian</t>
    </rPh>
    <phoneticPr fontId="134" type="noConversion"/>
  </si>
  <si>
    <t>70公顷</t>
    <rPh sb="2" eb="3">
      <t>gong qing</t>
    </rPh>
    <phoneticPr fontId="134" type="noConversion"/>
  </si>
  <si>
    <t>进展</t>
    <rPh sb="0" eb="1">
      <t>jin zhan</t>
    </rPh>
    <phoneticPr fontId="134" type="noConversion"/>
  </si>
  <si>
    <t>实施单位</t>
    <rPh sb="0" eb="1">
      <t>shi hsi</t>
    </rPh>
    <rPh sb="2" eb="3">
      <t>dan wei</t>
    </rPh>
    <phoneticPr fontId="134" type="noConversion"/>
  </si>
  <si>
    <t>宋庄管委会</t>
    <rPh sb="0" eb="1">
      <t>song zhuang</t>
    </rPh>
    <rPh sb="2" eb="3">
      <t>guan wei hui</t>
    </rPh>
    <phoneticPr fontId="134" type="noConversion"/>
  </si>
  <si>
    <t>99.45公顷</t>
    <rPh sb="5" eb="6">
      <t>gong qing</t>
    </rPh>
    <phoneticPr fontId="134" type="noConversion"/>
  </si>
  <si>
    <t>A2、A3地块已完成征地、拆迁，场平地净先交付</t>
    <rPh sb="5" eb="6">
      <t>di kuai</t>
    </rPh>
    <rPh sb="7" eb="8">
      <t>yi jing</t>
    </rPh>
    <rPh sb="8" eb="9">
      <t>wan cehng</t>
    </rPh>
    <rPh sb="10" eb="11">
      <t>zheng di</t>
    </rPh>
    <rPh sb="13" eb="14">
      <t>chai qian</t>
    </rPh>
    <rPh sb="16" eb="17">
      <t>chang di</t>
    </rPh>
    <rPh sb="17" eb="18">
      <t>ping</t>
    </rPh>
    <rPh sb="18" eb="19">
      <t>di</t>
    </rPh>
    <rPh sb="19" eb="20">
      <t>jing</t>
    </rPh>
    <rPh sb="20" eb="21">
      <t>xian</t>
    </rPh>
    <rPh sb="21" eb="22">
      <t>jiao fu</t>
    </rPh>
    <phoneticPr fontId="134" type="noConversion"/>
  </si>
  <si>
    <t>备注</t>
    <rPh sb="0" eb="1">
      <t>bei zhu</t>
    </rPh>
    <phoneticPr fontId="134" type="noConversion"/>
  </si>
  <si>
    <t>A2、A3占地面积27.9公顷</t>
    <rPh sb="5" eb="6">
      <t>zhan</t>
    </rPh>
    <rPh sb="6" eb="7">
      <t>di</t>
    </rPh>
    <rPh sb="7" eb="8">
      <t>mian ji</t>
    </rPh>
    <rPh sb="13" eb="14">
      <t>gong qing</t>
    </rPh>
    <phoneticPr fontId="134" type="noConversion"/>
  </si>
  <si>
    <t>临时三通一平</t>
    <rPh sb="0" eb="1">
      <t>lin shi</t>
    </rPh>
    <rPh sb="2" eb="3">
      <t>san tong</t>
    </rPh>
    <rPh sb="4" eb="5">
      <t>yi ping</t>
    </rPh>
    <rPh sb="5" eb="6">
      <t>ping</t>
    </rPh>
    <phoneticPr fontId="134" type="noConversion"/>
  </si>
  <si>
    <t>其余移交北保</t>
    <rPh sb="0" eb="1">
      <t>qi yu</t>
    </rPh>
    <rPh sb="2" eb="3">
      <t>yi jiao</t>
    </rPh>
    <rPh sb="4" eb="5">
      <t>bei</t>
    </rPh>
    <rPh sb="5" eb="6">
      <t>bao</t>
    </rPh>
    <phoneticPr fontId="134" type="noConversion"/>
  </si>
  <si>
    <t>测算总成本</t>
    <rPh sb="0" eb="1">
      <t>ce suan</t>
    </rPh>
    <rPh sb="2" eb="3">
      <t>zong ce h n ge b n</t>
    </rPh>
    <rPh sb="3" eb="4">
      <t>cehng ben</t>
    </rPh>
    <phoneticPr fontId="134" type="noConversion"/>
  </si>
  <si>
    <t>198580.74万元</t>
    <rPh sb="9" eb="10">
      <t>wan yuan</t>
    </rPh>
    <phoneticPr fontId="134" type="noConversion"/>
  </si>
  <si>
    <t>项目</t>
    <rPh sb="0" eb="1">
      <t>xiang mu</t>
    </rPh>
    <phoneticPr fontId="134" type="noConversion"/>
  </si>
  <si>
    <t>A2、A3地块已完成交接、B2、B3地块已完成征地工作剩余2户住宅未拆迁</t>
    <rPh sb="10" eb="11">
      <t>jiao jie</t>
    </rPh>
    <rPh sb="18" eb="19">
      <t>di kuai</t>
    </rPh>
    <rPh sb="20" eb="21">
      <t>yi jing</t>
    </rPh>
    <rPh sb="21" eb="22">
      <t>wan ch</t>
    </rPh>
    <rPh sb="23" eb="24">
      <t>zheng di</t>
    </rPh>
    <rPh sb="25" eb="26">
      <t>gong zuo</t>
    </rPh>
    <rPh sb="27" eb="28">
      <t>sheng yu</t>
    </rPh>
    <rPh sb="30" eb="31">
      <t>hu</t>
    </rPh>
    <rPh sb="31" eb="32">
      <t>zhu zhai</t>
    </rPh>
    <rPh sb="33" eb="34">
      <t>wei</t>
    </rPh>
    <rPh sb="34" eb="35">
      <t>chai qian</t>
    </rPh>
    <phoneticPr fontId="134" type="noConversion"/>
  </si>
  <si>
    <t>B2、B3占地面积10.32公顷</t>
    <rPh sb="5" eb="6">
      <t>zhan</t>
    </rPh>
    <rPh sb="6" eb="7">
      <t>di</t>
    </rPh>
    <rPh sb="7" eb="8">
      <t>mian ji</t>
    </rPh>
    <rPh sb="14" eb="15">
      <t>gong qing</t>
    </rPh>
    <phoneticPr fontId="134" type="noConversion"/>
  </si>
  <si>
    <t>剔除A1</t>
    <rPh sb="0" eb="1">
      <t>ti chu</t>
    </rPh>
    <phoneticPr fontId="134" type="noConversion"/>
  </si>
  <si>
    <t>实际总成本</t>
    <rPh sb="0" eb="1">
      <t>shi ji</t>
    </rPh>
    <rPh sb="2" eb="3">
      <t>zong ce h n ge b n</t>
    </rPh>
    <rPh sb="3" eb="4">
      <t>cehng ben</t>
    </rPh>
    <phoneticPr fontId="134" type="noConversion"/>
  </si>
  <si>
    <t>剔除A1，预计总成本396739.19万元</t>
    <rPh sb="0" eb="1">
      <t>ti chu</t>
    </rPh>
    <rPh sb="5" eb="6">
      <t>yu ji</t>
    </rPh>
    <rPh sb="7" eb="8">
      <t>zong cehng be</t>
    </rPh>
    <rPh sb="19" eb="20">
      <t>wan yuan</t>
    </rPh>
    <phoneticPr fontId="134" type="noConversion"/>
  </si>
  <si>
    <t>项目分摊成本</t>
    <rPh sb="0" eb="1">
      <t>xiang mu</t>
    </rPh>
    <rPh sb="2" eb="3">
      <t>fen tan</t>
    </rPh>
    <rPh sb="4" eb="5">
      <t>cheng ben</t>
    </rPh>
    <phoneticPr fontId="134" type="noConversion"/>
  </si>
  <si>
    <t>暂按原一级开发建设用地面积比例分摊土地成本</t>
    <rPh sb="0" eb="1">
      <t>zan shi</t>
    </rPh>
    <rPh sb="1" eb="2">
      <t>an</t>
    </rPh>
    <rPh sb="2" eb="3">
      <t>yuan lai</t>
    </rPh>
    <rPh sb="3" eb="4">
      <t>yi ji kai fa</t>
    </rPh>
    <rPh sb="7" eb="8">
      <t>jain she</t>
    </rPh>
    <rPh sb="9" eb="10">
      <t>yong di</t>
    </rPh>
    <rPh sb="11" eb="12">
      <t>mian ji</t>
    </rPh>
    <rPh sb="13" eb="14">
      <t>bi li fen tan</t>
    </rPh>
    <rPh sb="17" eb="18">
      <t>tu di</t>
    </rPh>
    <rPh sb="19" eb="20">
      <t>cheng be</t>
    </rPh>
    <phoneticPr fontId="134" type="noConversion"/>
  </si>
  <si>
    <t>北保承担79.26%</t>
    <rPh sb="0" eb="1">
      <t>bei jing</t>
    </rPh>
    <rPh sb="1" eb="2">
      <t>bao</t>
    </rPh>
    <rPh sb="2" eb="3">
      <t>cheng dan</t>
    </rPh>
    <phoneticPr fontId="134" type="noConversion"/>
  </si>
  <si>
    <t>A2、A3、B2、B3地块建设用地占保障房中心北侧地块比例为</t>
    <rPh sb="11" eb="12">
      <t>di kuai</t>
    </rPh>
    <rPh sb="13" eb="14">
      <t>jian she yong di</t>
    </rPh>
    <rPh sb="17" eb="18">
      <t>zhan</t>
    </rPh>
    <rPh sb="18" eb="19">
      <t>bao zhang ang</t>
    </rPh>
    <rPh sb="20" eb="21">
      <t>fang</t>
    </rPh>
    <rPh sb="21" eb="22">
      <t>zhong xin</t>
    </rPh>
    <rPh sb="23" eb="24">
      <t>bei ce</t>
    </rPh>
    <rPh sb="25" eb="26">
      <t>di kuai</t>
    </rPh>
    <rPh sb="27" eb="28">
      <t>bi li</t>
    </rPh>
    <rPh sb="29" eb="30">
      <t>wei</t>
    </rPh>
    <phoneticPr fontId="134" type="noConversion"/>
  </si>
  <si>
    <t>土地补偿费</t>
    <rPh sb="0" eb="1">
      <t>tu di</t>
    </rPh>
    <rPh sb="2" eb="3">
      <t>bu cahng fei</t>
    </rPh>
    <phoneticPr fontId="134" type="noConversion"/>
  </si>
  <si>
    <t>万元</t>
    <rPh sb="0" eb="1">
      <t>wan yuan</t>
    </rPh>
    <phoneticPr fontId="134" type="noConversion"/>
  </si>
  <si>
    <t>《北京城市副中心住房项目潞苑南大街北侧地块土地开发建设补偿协议之补充协议（二） 二〇二二年六月》</t>
    <rPh sb="1" eb="2">
      <t>bei jing s</t>
    </rPh>
    <rPh sb="3" eb="4">
      <t>cheng shi</t>
    </rPh>
    <rPh sb="5" eb="6">
      <t>fu zhong xin</t>
    </rPh>
    <rPh sb="8" eb="9">
      <t>zhu fang</t>
    </rPh>
    <rPh sb="10" eb="11">
      <t>xiang mu</t>
    </rPh>
    <rPh sb="12" eb="13">
      <t>lu yuan nan da jie</t>
    </rPh>
    <rPh sb="13" eb="14">
      <t>yuan</t>
    </rPh>
    <rPh sb="14" eb="15">
      <t>nan da jie</t>
    </rPh>
    <rPh sb="17" eb="18">
      <t>bei ce</t>
    </rPh>
    <rPh sb="19" eb="20">
      <t>di kuai</t>
    </rPh>
    <rPh sb="21" eb="22">
      <t>tu di</t>
    </rPh>
    <rPh sb="23" eb="24">
      <t>kai fa</t>
    </rPh>
    <rPh sb="25" eb="26">
      <t>jian she</t>
    </rPh>
    <rPh sb="27" eb="28">
      <t>bu chang</t>
    </rPh>
    <rPh sb="29" eb="30">
      <t>xie yi</t>
    </rPh>
    <rPh sb="31" eb="32">
      <t>zhi</t>
    </rPh>
    <rPh sb="32" eb="33">
      <t>bu chong xie yi</t>
    </rPh>
    <rPh sb="37" eb="38">
      <t>er</t>
    </rPh>
    <rPh sb="40" eb="41">
      <t>er</t>
    </rPh>
    <rPh sb="42" eb="43">
      <t>er</t>
    </rPh>
    <rPh sb="43" eb="44">
      <t>er</t>
    </rPh>
    <rPh sb="44" eb="45">
      <t>nian</t>
    </rPh>
    <rPh sb="45" eb="46">
      <t>liu yue</t>
    </rPh>
    <phoneticPr fontId="134" type="noConversion"/>
  </si>
  <si>
    <t>总成本（万元）</t>
    <rPh sb="0" eb="1">
      <t>zong ce h n b g n</t>
    </rPh>
    <rPh sb="1" eb="2">
      <t>cheng ben</t>
    </rPh>
    <rPh sb="4" eb="5">
      <t>wan yaun</t>
    </rPh>
    <phoneticPr fontId="134" type="noConversion"/>
  </si>
  <si>
    <t>含副中心职工周转房、行政办公、派出所、待研究用地等</t>
    <rPh sb="0" eb="1">
      <t>han</t>
    </rPh>
    <rPh sb="1" eb="2">
      <t>fu zhong xin</t>
    </rPh>
    <rPh sb="4" eb="5">
      <t>zhi gong</t>
    </rPh>
    <rPh sb="6" eb="7">
      <t>zhou zhaun fa g n</t>
    </rPh>
    <rPh sb="8" eb="9">
      <t>fang</t>
    </rPh>
    <rPh sb="10" eb="11">
      <t>xing zheng</t>
    </rPh>
    <rPh sb="12" eb="13">
      <t>ban gong</t>
    </rPh>
    <rPh sb="15" eb="16">
      <t>pai chu suo</t>
    </rPh>
    <rPh sb="19" eb="20">
      <t>dai</t>
    </rPh>
    <rPh sb="20" eb="21">
      <t>yan jiu</t>
    </rPh>
    <rPh sb="22" eb="23">
      <t>yong di</t>
    </rPh>
    <rPh sb="24" eb="25">
      <t>deng</t>
    </rPh>
    <phoneticPr fontId="134" type="noConversion"/>
  </si>
  <si>
    <t>《北京城市副中心住房项目潞苑南大街北侧地块土地开发建设补偿协议之补充协议（三） 二〇二二年十一月》</t>
    <rPh sb="1" eb="2">
      <t>bei jing s</t>
    </rPh>
    <rPh sb="3" eb="4">
      <t>cheng shi</t>
    </rPh>
    <rPh sb="5" eb="6">
      <t>fu zhong xin</t>
    </rPh>
    <rPh sb="8" eb="9">
      <t>zhu fang</t>
    </rPh>
    <rPh sb="10" eb="11">
      <t>xiang mu</t>
    </rPh>
    <rPh sb="12" eb="13">
      <t>lu yuan nan da jie</t>
    </rPh>
    <rPh sb="13" eb="14">
      <t>yuan</t>
    </rPh>
    <rPh sb="14" eb="15">
      <t>nan da jie</t>
    </rPh>
    <rPh sb="17" eb="18">
      <t>bei ce</t>
    </rPh>
    <rPh sb="19" eb="20">
      <t>di kuai</t>
    </rPh>
    <rPh sb="21" eb="22">
      <t>tu di</t>
    </rPh>
    <rPh sb="23" eb="24">
      <t>kai fa</t>
    </rPh>
    <rPh sb="25" eb="26">
      <t>jian she</t>
    </rPh>
    <rPh sb="27" eb="28">
      <t>bu chang</t>
    </rPh>
    <rPh sb="29" eb="30">
      <t>xie yi</t>
    </rPh>
    <rPh sb="31" eb="32">
      <t>zhi</t>
    </rPh>
    <rPh sb="32" eb="33">
      <t>bu chong xie yi</t>
    </rPh>
    <rPh sb="37" eb="38">
      <t>san</t>
    </rPh>
    <rPh sb="40" eb="41">
      <t>er</t>
    </rPh>
    <rPh sb="42" eb="43">
      <t>er</t>
    </rPh>
    <rPh sb="43" eb="44">
      <t>er</t>
    </rPh>
    <rPh sb="44" eb="45">
      <t>nian</t>
    </rPh>
    <rPh sb="45" eb="46">
      <t>shi yi</t>
    </rPh>
    <phoneticPr fontId="134" type="noConversion"/>
  </si>
  <si>
    <t>合同编号：京通规自综【合】字（2022）10号</t>
    <rPh sb="0" eb="1">
      <t>he tong</t>
    </rPh>
    <rPh sb="2" eb="3">
      <t>bian hao</t>
    </rPh>
    <rPh sb="5" eb="6">
      <t>jing</t>
    </rPh>
    <rPh sb="6" eb="7">
      <t>tong</t>
    </rPh>
    <rPh sb="7" eb="8">
      <t>gui hua</t>
    </rPh>
    <rPh sb="8" eb="9">
      <t>zi</t>
    </rPh>
    <rPh sb="9" eb="10">
      <t>zong he</t>
    </rPh>
    <rPh sb="11" eb="12">
      <t>he</t>
    </rPh>
    <rPh sb="13" eb="14">
      <t>zi</t>
    </rPh>
    <rPh sb="22" eb="23">
      <t>hao</t>
    </rPh>
    <phoneticPr fontId="134" type="noConversion"/>
  </si>
  <si>
    <t>A2、A3、B2、B3、C2、C3地块建设用地均已完成征地、拆迁工作</t>
    <rPh sb="17" eb="18">
      <t>di kuai</t>
    </rPh>
    <rPh sb="19" eb="20">
      <t>jian she</t>
    </rPh>
    <rPh sb="21" eb="22">
      <t>yong di</t>
    </rPh>
    <rPh sb="23" eb="24">
      <t>jun</t>
    </rPh>
    <rPh sb="24" eb="25">
      <t>yi jing</t>
    </rPh>
    <rPh sb="25" eb="26">
      <t>wan ch</t>
    </rPh>
    <rPh sb="27" eb="28">
      <t>zheng di</t>
    </rPh>
    <rPh sb="30" eb="31">
      <t>chai qian</t>
    </rPh>
    <rPh sb="32" eb="33">
      <t>gong zuo</t>
    </rPh>
    <phoneticPr fontId="134" type="noConversion"/>
  </si>
  <si>
    <t>A2、A3、B2、B3、C2、C3</t>
    <phoneticPr fontId="134" type="noConversion"/>
  </si>
  <si>
    <t>应分摊总成本（元）</t>
    <rPh sb="0" eb="1">
      <t>ying</t>
    </rPh>
    <rPh sb="1" eb="2">
      <t>fen tan</t>
    </rPh>
    <rPh sb="3" eb="4">
      <t>zong cheng ben</t>
    </rPh>
    <rPh sb="7" eb="8">
      <t>yaun</t>
    </rPh>
    <phoneticPr fontId="134" type="noConversion"/>
  </si>
  <si>
    <t>单价</t>
    <rPh sb="0" eb="1">
      <t>dan jia</t>
    </rPh>
    <phoneticPr fontId="134" type="noConversion"/>
  </si>
  <si>
    <t>实施单元</t>
    <phoneticPr fontId="134" type="noConversion"/>
  </si>
  <si>
    <t>地块编号</t>
    <rPh sb="0" eb="1">
      <t>di kuai</t>
    </rPh>
    <rPh sb="2" eb="3">
      <t>bian hao</t>
    </rPh>
    <phoneticPr fontId="134" type="noConversion"/>
  </si>
  <si>
    <t>用地代号</t>
    <rPh sb="0" eb="1">
      <t>yong di</t>
    </rPh>
    <rPh sb="2" eb="3">
      <t>dai hao</t>
    </rPh>
    <phoneticPr fontId="134" type="noConversion"/>
  </si>
  <si>
    <t>用地面积（公顷）</t>
    <rPh sb="0" eb="1">
      <t>yong di mian ji</t>
    </rPh>
    <rPh sb="5" eb="6">
      <t>gong qing</t>
    </rPh>
    <phoneticPr fontId="134" type="noConversion"/>
  </si>
  <si>
    <t>容积率</t>
    <rPh sb="0" eb="1">
      <t>rong ji lü</t>
    </rPh>
    <phoneticPr fontId="134" type="noConversion"/>
  </si>
  <si>
    <t>建筑规模（万平方米）</t>
    <rPh sb="0" eb="1">
      <t>jian zhu</t>
    </rPh>
    <rPh sb="2" eb="3">
      <t>gui mo</t>
    </rPh>
    <rPh sb="5" eb="6">
      <t>wan</t>
    </rPh>
    <rPh sb="6" eb="7">
      <t>ping fang mi</t>
    </rPh>
    <phoneticPr fontId="134" type="noConversion"/>
  </si>
  <si>
    <t>建筑高度（米）</t>
    <rPh sb="0" eb="1">
      <t>jian zhu</t>
    </rPh>
    <rPh sb="2" eb="3">
      <t>gao du</t>
    </rPh>
    <rPh sb="5" eb="6">
      <t>mi</t>
    </rPh>
    <phoneticPr fontId="134" type="noConversion"/>
  </si>
  <si>
    <t>FZX-0701-0012</t>
    <phoneticPr fontId="134" type="noConversion"/>
  </si>
  <si>
    <t>FZX-0701-0013</t>
    <phoneticPr fontId="134" type="noConversion"/>
  </si>
  <si>
    <t>FZX-0701-0014</t>
  </si>
  <si>
    <t>FZX-0701-0018</t>
  </si>
  <si>
    <t>FZX-0701-0019</t>
  </si>
  <si>
    <t>FZX-0701-0020</t>
  </si>
  <si>
    <t>FZX-0701-0021</t>
  </si>
  <si>
    <t>FZX-0701-0015</t>
    <phoneticPr fontId="134" type="noConversion"/>
  </si>
  <si>
    <t>FZX-0701-0016</t>
    <phoneticPr fontId="134" type="noConversion"/>
  </si>
  <si>
    <t>FZX-0701-0022</t>
    <phoneticPr fontId="134" type="noConversion"/>
  </si>
  <si>
    <t>R2</t>
    <phoneticPr fontId="134" type="noConversion"/>
  </si>
  <si>
    <t>A334</t>
    <phoneticPr fontId="134" type="noConversion"/>
  </si>
  <si>
    <t>U22</t>
    <phoneticPr fontId="134" type="noConversion"/>
  </si>
  <si>
    <t>A实施单元</t>
    <rPh sb="1" eb="2">
      <t>shi shi</t>
    </rPh>
    <rPh sb="3" eb="4">
      <t>dan yuan</t>
    </rPh>
    <phoneticPr fontId="134" type="noConversion"/>
  </si>
  <si>
    <t>小计</t>
    <rPh sb="0" eb="1">
      <t>xiao ji</t>
    </rPh>
    <rPh sb="1" eb="2">
      <t>ji suan</t>
    </rPh>
    <phoneticPr fontId="134" type="noConversion"/>
  </si>
  <si>
    <t>36米，局部45米</t>
    <rPh sb="2" eb="3">
      <t>mi</t>
    </rPh>
    <rPh sb="4" eb="5">
      <t>ju bu</t>
    </rPh>
    <rPh sb="8" eb="9">
      <t>mi</t>
    </rPh>
    <phoneticPr fontId="134" type="noConversion"/>
  </si>
  <si>
    <t>兼容商业服务设施；兼容5G楼面宏基站</t>
    <rPh sb="0" eb="1">
      <t>jian rong</t>
    </rPh>
    <rPh sb="2" eb="3">
      <t>shagn ye</t>
    </rPh>
    <rPh sb="4" eb="5">
      <t>fu wu</t>
    </rPh>
    <rPh sb="6" eb="7">
      <t>she shi</t>
    </rPh>
    <rPh sb="9" eb="10">
      <t>jian rong</t>
    </rPh>
    <rPh sb="13" eb="14">
      <t>lou m</t>
    </rPh>
    <rPh sb="15" eb="16">
      <t>hon j</t>
    </rPh>
    <rPh sb="17" eb="18">
      <t>zhan</t>
    </rPh>
    <phoneticPr fontId="134" type="noConversion"/>
  </si>
  <si>
    <t>规划幼儿园</t>
    <rPh sb="0" eb="1">
      <t>gui hua</t>
    </rPh>
    <rPh sb="2" eb="3">
      <t>you er yuan</t>
    </rPh>
    <phoneticPr fontId="134" type="noConversion"/>
  </si>
  <si>
    <t>规划密闭式垃圾清洁站</t>
    <rPh sb="0" eb="1">
      <t>gui hua</t>
    </rPh>
    <rPh sb="2" eb="3">
      <t>mi bi shi</t>
    </rPh>
    <rPh sb="5" eb="6">
      <t>la ji</t>
    </rPh>
    <rPh sb="7" eb="8">
      <t>qing jie zhan</t>
    </rPh>
    <phoneticPr fontId="134" type="noConversion"/>
  </si>
  <si>
    <t>FZX-0701-0027</t>
    <phoneticPr fontId="134" type="noConversion"/>
  </si>
  <si>
    <t>FZX-0701-0028</t>
    <phoneticPr fontId="134" type="noConversion"/>
  </si>
  <si>
    <t>FZX-0701-0031</t>
    <phoneticPr fontId="134" type="noConversion"/>
  </si>
  <si>
    <t>FZX-0701-0032</t>
    <phoneticPr fontId="134" type="noConversion"/>
  </si>
  <si>
    <t>FZX-0701-0033</t>
    <phoneticPr fontId="134" type="noConversion"/>
  </si>
  <si>
    <t>FZX-0701-0034</t>
    <phoneticPr fontId="134" type="noConversion"/>
  </si>
  <si>
    <t>FZX-0701-0029</t>
    <phoneticPr fontId="134" type="noConversion"/>
  </si>
  <si>
    <t>兼容商业服务设施；兼容5G楼面宏基站3座</t>
    <rPh sb="0" eb="1">
      <t>jian rong</t>
    </rPh>
    <rPh sb="2" eb="3">
      <t>shagn ye</t>
    </rPh>
    <rPh sb="4" eb="5">
      <t>fu wu</t>
    </rPh>
    <rPh sb="6" eb="7">
      <t>she shi</t>
    </rPh>
    <rPh sb="9" eb="10">
      <t>jian rong</t>
    </rPh>
    <rPh sb="13" eb="14">
      <t>lou m</t>
    </rPh>
    <rPh sb="15" eb="16">
      <t>hon j</t>
    </rPh>
    <rPh sb="17" eb="18">
      <t>zhan</t>
    </rPh>
    <rPh sb="19" eb="20">
      <t>zuo</t>
    </rPh>
    <phoneticPr fontId="134" type="noConversion"/>
  </si>
  <si>
    <t>B实施单元</t>
    <rPh sb="1" eb="2">
      <t>shi shi</t>
    </rPh>
    <rPh sb="3" eb="4">
      <t>dan yuan</t>
    </rPh>
    <phoneticPr fontId="134" type="noConversion"/>
  </si>
  <si>
    <t>FZX-0701-0037</t>
    <phoneticPr fontId="134" type="noConversion"/>
  </si>
  <si>
    <t>FZX-0701-0038</t>
    <phoneticPr fontId="134" type="noConversion"/>
  </si>
  <si>
    <t>FZX-0701-0041</t>
    <phoneticPr fontId="134" type="noConversion"/>
  </si>
  <si>
    <t>FZX-0701-0040</t>
    <phoneticPr fontId="134" type="noConversion"/>
  </si>
  <si>
    <t>FZX-0701-0043</t>
    <phoneticPr fontId="134" type="noConversion"/>
  </si>
  <si>
    <t>A1</t>
    <phoneticPr fontId="134" type="noConversion"/>
  </si>
  <si>
    <t>A333</t>
    <phoneticPr fontId="134" type="noConversion"/>
  </si>
  <si>
    <t>C实施单元</t>
    <rPh sb="1" eb="2">
      <t>shi shi</t>
    </rPh>
    <rPh sb="3" eb="4">
      <t>dan yuan</t>
    </rPh>
    <phoneticPr fontId="134" type="noConversion"/>
  </si>
  <si>
    <t>北部合计</t>
    <rPh sb="0" eb="1">
      <t>bei bu</t>
    </rPh>
    <rPh sb="2" eb="3">
      <t>he ji</t>
    </rPh>
    <rPh sb="3" eb="4">
      <t>ji suan</t>
    </rPh>
    <phoneticPr fontId="134" type="noConversion"/>
  </si>
  <si>
    <t>项目性质</t>
    <rPh sb="0" eb="1">
      <t>xiang mu</t>
    </rPh>
    <rPh sb="2" eb="3">
      <t>xing zhi</t>
    </rPh>
    <phoneticPr fontId="134" type="noConversion"/>
  </si>
  <si>
    <t>B201#住宅楼</t>
    <rPh sb="5" eb="6">
      <t>zhu zhai lou</t>
    </rPh>
    <phoneticPr fontId="134" type="noConversion"/>
  </si>
  <si>
    <t>建筑面积</t>
    <rPh sb="0" eb="1">
      <t>jian zhu</t>
    </rPh>
    <rPh sb="2" eb="3">
      <t>mian ji</t>
    </rPh>
    <phoneticPr fontId="134" type="noConversion"/>
  </si>
  <si>
    <t>地上</t>
    <rPh sb="0" eb="1">
      <t>di shang</t>
    </rPh>
    <phoneticPr fontId="134" type="noConversion"/>
  </si>
  <si>
    <t>地下</t>
    <rPh sb="0" eb="1">
      <t>di xa</t>
    </rPh>
    <phoneticPr fontId="134" type="noConversion"/>
  </si>
  <si>
    <t>安置房</t>
    <rPh sb="0" eb="1">
      <t>an zhi fang</t>
    </rPh>
    <phoneticPr fontId="134" type="noConversion"/>
  </si>
  <si>
    <t>自行车库</t>
    <rPh sb="0" eb="1">
      <t>zi xing che ku</t>
    </rPh>
    <phoneticPr fontId="134" type="noConversion"/>
  </si>
  <si>
    <t>B202#住宅楼</t>
    <rPh sb="5" eb="6">
      <t>zhu zhai lou</t>
    </rPh>
    <phoneticPr fontId="134" type="noConversion"/>
  </si>
  <si>
    <t>仓储用房（丙2类）</t>
    <rPh sb="0" eb="1">
      <t>cnag chu yong fang</t>
    </rPh>
    <rPh sb="5" eb="6">
      <t>bing</t>
    </rPh>
    <rPh sb="7" eb="8">
      <t>lei</t>
    </rPh>
    <phoneticPr fontId="134" type="noConversion"/>
  </si>
  <si>
    <t>B203#住宅楼</t>
    <rPh sb="5" eb="6">
      <t>zhu zhai lou</t>
    </rPh>
    <phoneticPr fontId="134" type="noConversion"/>
  </si>
  <si>
    <t>B204#住宅楼</t>
    <rPh sb="5" eb="6">
      <t>zhu zhai lou</t>
    </rPh>
    <phoneticPr fontId="134" type="noConversion"/>
  </si>
  <si>
    <t>B205#住宅楼</t>
    <rPh sb="5" eb="6">
      <t>zhu zhai lou</t>
    </rPh>
    <phoneticPr fontId="134" type="noConversion"/>
  </si>
  <si>
    <t>B206#住宅楼</t>
    <rPh sb="5" eb="6">
      <t>zhu zhai lou</t>
    </rPh>
    <phoneticPr fontId="134" type="noConversion"/>
  </si>
  <si>
    <t>B401#住宅楼</t>
    <rPh sb="5" eb="6">
      <t>zhu zhai lou</t>
    </rPh>
    <phoneticPr fontId="134" type="noConversion"/>
  </si>
  <si>
    <t>住房</t>
    <rPh sb="0" eb="1">
      <t>zhu fang</t>
    </rPh>
    <phoneticPr fontId="134" type="noConversion"/>
  </si>
  <si>
    <t>公共服务设施</t>
    <rPh sb="0" eb="1">
      <t>gong gong fu wu shehi</t>
    </rPh>
    <rPh sb="4" eb="5">
      <t>she shi</t>
    </rPh>
    <phoneticPr fontId="134" type="noConversion"/>
  </si>
  <si>
    <t>周转房（非住宅功能）</t>
    <rPh sb="0" eb="1">
      <t>zhou zhuan fng</t>
    </rPh>
    <rPh sb="4" eb="5">
      <t>fei</t>
    </rPh>
    <rPh sb="5" eb="6">
      <t>zhu zhai</t>
    </rPh>
    <rPh sb="7" eb="8">
      <t>gong neng</t>
    </rPh>
    <phoneticPr fontId="134" type="noConversion"/>
  </si>
  <si>
    <t>B地块二标段</t>
    <rPh sb="1" eb="2">
      <t>di kuai</t>
    </rPh>
    <rPh sb="3" eb="4">
      <t>er biao duan</t>
    </rPh>
    <phoneticPr fontId="134" type="noConversion"/>
  </si>
  <si>
    <t>B402#住宅楼</t>
    <rPh sb="5" eb="6">
      <t>zhu zhai lou</t>
    </rPh>
    <phoneticPr fontId="134" type="noConversion"/>
  </si>
  <si>
    <t>住宅附属用房</t>
    <rPh sb="0" eb="1">
      <t>zhu zhai</t>
    </rPh>
    <rPh sb="2" eb="3">
      <t>fu shu</t>
    </rPh>
    <rPh sb="4" eb="5">
      <t>yong fang</t>
    </rPh>
    <phoneticPr fontId="134" type="noConversion"/>
  </si>
  <si>
    <t>B403#住宅楼</t>
    <rPh sb="5" eb="6">
      <t>zhu zhai lou</t>
    </rPh>
    <phoneticPr fontId="134" type="noConversion"/>
  </si>
  <si>
    <t>商业附属用房</t>
    <rPh sb="0" eb="1">
      <t>shang ye</t>
    </rPh>
    <rPh sb="2" eb="3">
      <t>fu shu</t>
    </rPh>
    <rPh sb="4" eb="5">
      <t>yong fang</t>
    </rPh>
    <phoneticPr fontId="134" type="noConversion"/>
  </si>
  <si>
    <t>B404#住宅楼</t>
    <rPh sb="5" eb="6">
      <t>zhu zhai lou</t>
    </rPh>
    <phoneticPr fontId="134" type="noConversion"/>
  </si>
  <si>
    <t>B601#住宅楼</t>
    <rPh sb="5" eb="6">
      <t>zhu zhai lou</t>
    </rPh>
    <phoneticPr fontId="134" type="noConversion"/>
  </si>
  <si>
    <t>增配商业</t>
    <rPh sb="0" eb="1">
      <t>zeng</t>
    </rPh>
    <rPh sb="1" eb="2">
      <t>pei tao</t>
    </rPh>
    <rPh sb="2" eb="3">
      <t>shang ye</t>
    </rPh>
    <phoneticPr fontId="134" type="noConversion"/>
  </si>
  <si>
    <t>仓储用房（丙2类）</t>
    <rPh sb="0" eb="1">
      <t>cang chu</t>
    </rPh>
    <rPh sb="2" eb="3">
      <t>yong fang</t>
    </rPh>
    <phoneticPr fontId="134" type="noConversion"/>
  </si>
  <si>
    <t>B602#住宅楼</t>
    <phoneticPr fontId="134" type="noConversion"/>
  </si>
  <si>
    <t>B603#住宅楼</t>
    <phoneticPr fontId="134" type="noConversion"/>
  </si>
  <si>
    <t>B604#住宅楼</t>
    <phoneticPr fontId="134" type="noConversion"/>
  </si>
  <si>
    <t>B701#住宅楼</t>
    <phoneticPr fontId="134" type="noConversion"/>
  </si>
  <si>
    <t>B702#住宅楼</t>
    <phoneticPr fontId="134" type="noConversion"/>
  </si>
  <si>
    <t>B703#住宅楼</t>
    <phoneticPr fontId="134" type="noConversion"/>
  </si>
  <si>
    <t>人防工程</t>
    <rPh sb="0" eb="1">
      <t>ren fang</t>
    </rPh>
    <rPh sb="2" eb="3">
      <t>gong cehng</t>
    </rPh>
    <phoneticPr fontId="134" type="noConversion"/>
  </si>
  <si>
    <t>B704#住宅楼</t>
    <phoneticPr fontId="134" type="noConversion"/>
  </si>
  <si>
    <t>B207#配套楼</t>
    <rPh sb="5" eb="6">
      <t>pei tao</t>
    </rPh>
    <phoneticPr fontId="134" type="noConversion"/>
  </si>
  <si>
    <t>D2#地下车库</t>
    <rPh sb="3" eb="4">
      <t>di xia</t>
    </rPh>
    <rPh sb="5" eb="6">
      <t>ceh ku</t>
    </rPh>
    <phoneticPr fontId="134" type="noConversion"/>
  </si>
  <si>
    <t>汽车库出入口及其他</t>
    <rPh sb="0" eb="1">
      <t>qi che</t>
    </rPh>
    <rPh sb="2" eb="3">
      <t>ku</t>
    </rPh>
    <rPh sb="3" eb="4">
      <t>chu ru kou</t>
    </rPh>
    <rPh sb="6" eb="7">
      <t>ji</t>
    </rPh>
    <rPh sb="7" eb="8">
      <t>qi ta</t>
    </rPh>
    <phoneticPr fontId="134" type="noConversion"/>
  </si>
  <si>
    <t>非人防汽车库</t>
    <rPh sb="0" eb="1">
      <t>fei</t>
    </rPh>
    <rPh sb="1" eb="2">
      <t>ren fang</t>
    </rPh>
    <rPh sb="3" eb="4">
      <t>qi che ku</t>
    </rPh>
    <phoneticPr fontId="134" type="noConversion"/>
  </si>
  <si>
    <t>设备用房</t>
    <rPh sb="0" eb="1">
      <t>she bei</t>
    </rPh>
    <rPh sb="2" eb="3">
      <t>yong fang</t>
    </rPh>
    <phoneticPr fontId="134" type="noConversion"/>
  </si>
  <si>
    <t>D4#地下车库</t>
    <rPh sb="3" eb="4">
      <t>di xia</t>
    </rPh>
    <rPh sb="5" eb="6">
      <t>ceh ku</t>
    </rPh>
    <phoneticPr fontId="134" type="noConversion"/>
  </si>
  <si>
    <t>B605#配套楼</t>
    <rPh sb="5" eb="6">
      <t>pei tao lou</t>
    </rPh>
    <rPh sb="7" eb="8">
      <t>lou</t>
    </rPh>
    <phoneticPr fontId="134" type="noConversion"/>
  </si>
  <si>
    <t>D6#地下车库</t>
    <rPh sb="3" eb="4">
      <t>di xia</t>
    </rPh>
    <rPh sb="5" eb="6">
      <t>ceh ku</t>
    </rPh>
    <phoneticPr fontId="134" type="noConversion"/>
  </si>
  <si>
    <t>B705#配套楼</t>
    <rPh sb="5" eb="6">
      <t>pei tao lou</t>
    </rPh>
    <rPh sb="7" eb="8">
      <t>lou</t>
    </rPh>
    <phoneticPr fontId="134" type="noConversion"/>
  </si>
  <si>
    <t>D7#地下车库</t>
    <rPh sb="3" eb="4">
      <t>di xia</t>
    </rPh>
    <rPh sb="5" eb="6">
      <t>ceh ku</t>
    </rPh>
    <phoneticPr fontId="134" type="noConversion"/>
  </si>
  <si>
    <t>B08#幼儿园</t>
    <rPh sb="4" eb="5">
      <t>you er yuan</t>
    </rPh>
    <phoneticPr fontId="134" type="noConversion"/>
  </si>
  <si>
    <t>幼儿园</t>
    <rPh sb="0" eb="1">
      <t>you er yuan</t>
    </rPh>
    <phoneticPr fontId="134" type="noConversion"/>
  </si>
  <si>
    <t>幼儿园配套用房</t>
    <rPh sb="0" eb="1">
      <t>you ey r</t>
    </rPh>
    <rPh sb="3" eb="4">
      <t>pei tao</t>
    </rPh>
    <rPh sb="5" eb="6">
      <t>yong fang</t>
    </rPh>
    <phoneticPr fontId="134" type="noConversion"/>
  </si>
  <si>
    <t>合计</t>
    <rPh sb="0" eb="1">
      <t>he ji</t>
    </rPh>
    <phoneticPr fontId="134" type="noConversion"/>
  </si>
  <si>
    <t>B地块一标段</t>
    <rPh sb="1" eb="2">
      <t>di kuai</t>
    </rPh>
    <rPh sb="3" eb="4">
      <t>yi</t>
    </rPh>
    <phoneticPr fontId="134" type="noConversion"/>
  </si>
  <si>
    <r>
      <rPr>
        <sz val="11"/>
        <color theme="1"/>
        <rFont val="楷体"/>
        <family val="3"/>
        <charset val="134"/>
      </rPr>
      <t>区域</t>
    </r>
  </si>
  <si>
    <r>
      <rPr>
        <sz val="11"/>
        <color theme="1"/>
        <rFont val="楷体"/>
        <family val="3"/>
        <charset val="134"/>
      </rPr>
      <t>地上可经营面积</t>
    </r>
  </si>
  <si>
    <r>
      <rPr>
        <sz val="11"/>
        <color theme="1"/>
        <rFont val="楷体"/>
        <family val="3"/>
        <charset val="134"/>
      </rPr>
      <t>地下可经营面积</t>
    </r>
  </si>
  <si>
    <t>有偿移交</t>
  </si>
  <si>
    <r>
      <rPr>
        <sz val="11"/>
        <color theme="1"/>
        <rFont val="楷体"/>
        <family val="3"/>
        <charset val="134"/>
      </rPr>
      <t>无偿移交配套</t>
    </r>
  </si>
  <si>
    <r>
      <rPr>
        <sz val="11"/>
        <color theme="1"/>
        <rFont val="楷体"/>
        <family val="3"/>
        <charset val="134"/>
      </rPr>
      <t>合计</t>
    </r>
  </si>
  <si>
    <r>
      <rPr>
        <sz val="11"/>
        <color theme="1"/>
        <rFont val="楷体"/>
        <family val="3"/>
        <charset val="134"/>
      </rPr>
      <t>其中人防</t>
    </r>
  </si>
  <si>
    <r>
      <rPr>
        <sz val="11"/>
        <color theme="1"/>
        <rFont val="楷体"/>
        <family val="3"/>
        <charset val="134"/>
      </rPr>
      <t>人防占地上比</t>
    </r>
  </si>
  <si>
    <r>
      <rPr>
        <sz val="11"/>
        <color theme="1"/>
        <rFont val="楷体"/>
        <family val="3"/>
        <charset val="134"/>
      </rPr>
      <t>业态</t>
    </r>
  </si>
  <si>
    <r>
      <rPr>
        <sz val="11"/>
        <color theme="1"/>
        <rFont val="楷体"/>
        <family val="3"/>
        <charset val="134"/>
      </rPr>
      <t>住宅</t>
    </r>
  </si>
  <si>
    <r>
      <rPr>
        <sz val="11"/>
        <color theme="1"/>
        <rFont val="楷体"/>
        <family val="3"/>
        <charset val="134"/>
      </rPr>
      <t>千配商业</t>
    </r>
  </si>
  <si>
    <r>
      <rPr>
        <sz val="11"/>
        <color theme="1"/>
        <rFont val="楷体"/>
        <family val="3"/>
        <charset val="134"/>
      </rPr>
      <t>增配商业</t>
    </r>
  </si>
  <si>
    <r>
      <rPr>
        <sz val="11"/>
        <color theme="1"/>
        <rFont val="楷体"/>
        <family val="3"/>
        <charset val="134"/>
      </rPr>
      <t>宿舍</t>
    </r>
  </si>
  <si>
    <r>
      <rPr>
        <sz val="11"/>
        <color theme="1"/>
        <rFont val="楷体"/>
        <family val="3"/>
        <charset val="134"/>
      </rPr>
      <t>车库</t>
    </r>
  </si>
  <si>
    <r>
      <rPr>
        <sz val="11"/>
        <color theme="1"/>
        <rFont val="楷体"/>
        <family val="3"/>
        <charset val="134"/>
      </rPr>
      <t>储藏室</t>
    </r>
  </si>
  <si>
    <t>邮局</t>
  </si>
  <si>
    <r>
      <rPr>
        <sz val="11"/>
        <color theme="1"/>
        <rFont val="楷体"/>
        <family val="3"/>
        <charset val="134"/>
      </rPr>
      <t>北部</t>
    </r>
  </si>
  <si>
    <r>
      <rPr>
        <sz val="11"/>
        <color theme="1"/>
        <rFont val="Times New Roman"/>
        <family val="1"/>
      </rPr>
      <t>C03</t>
    </r>
    <r>
      <rPr>
        <sz val="11"/>
        <color theme="1"/>
        <rFont val="宋体"/>
        <family val="3"/>
        <charset val="134"/>
      </rPr>
      <t>、</t>
    </r>
    <r>
      <rPr>
        <sz val="11"/>
        <color theme="1"/>
        <rFont val="Times New Roman"/>
        <family val="1"/>
      </rPr>
      <t>C05</t>
    </r>
  </si>
  <si>
    <t>C03</t>
  </si>
  <si>
    <t>C05</t>
  </si>
  <si>
    <t>北部分摊总成本（元）</t>
    <rPh sb="0" eb="1">
      <t>bei bu</t>
    </rPh>
    <rPh sb="2" eb="3">
      <t>fen tan</t>
    </rPh>
    <rPh sb="4" eb="5">
      <t>zong ehn ge ben</t>
    </rPh>
    <rPh sb="5" eb="6">
      <t>cheng ben</t>
    </rPh>
    <rPh sb="8" eb="9">
      <t>yuan</t>
    </rPh>
    <phoneticPr fontId="134" type="noConversion"/>
  </si>
  <si>
    <t>B地块分摊成本（元）</t>
    <rPh sb="1" eb="2">
      <t>di kuai</t>
    </rPh>
    <rPh sb="3" eb="4">
      <t>fen tan</t>
    </rPh>
    <rPh sb="5" eb="6">
      <t>cheng ben</t>
    </rPh>
    <phoneticPr fontId="134" type="noConversion"/>
  </si>
  <si>
    <t>安置房地块分摊成本（元）</t>
    <rPh sb="0" eb="1">
      <t>an zhi fang</t>
    </rPh>
    <rPh sb="3" eb="4">
      <t>di kuai</t>
    </rPh>
    <rPh sb="5" eb="6">
      <t>fen tan</t>
    </rPh>
    <rPh sb="7" eb="8">
      <t>cheng ben</t>
    </rPh>
    <phoneticPr fontId="134" type="noConversion"/>
  </si>
  <si>
    <t>FZX-0701-0026</t>
    <phoneticPr fontId="134" type="noConversion"/>
  </si>
  <si>
    <t>工程假设与预备费</t>
    <phoneticPr fontId="134" type="noConversion"/>
  </si>
  <si>
    <r>
      <t>V</t>
    </r>
    <r>
      <rPr>
        <b/>
        <vertAlign val="subscript"/>
        <sz val="10"/>
        <rFont val="宋体"/>
        <family val="3"/>
        <charset val="134"/>
      </rPr>
      <t>土</t>
    </r>
    <phoneticPr fontId="16" type="noConversion"/>
  </si>
  <si>
    <t>利息：取LPR加浮动点数</t>
  </si>
  <si>
    <t>安贞医院南区</t>
    <phoneticPr fontId="134" type="noConversion"/>
  </si>
  <si>
    <t>工程办行政办公用房北区</t>
    <phoneticPr fontId="134" type="noConversion"/>
  </si>
  <si>
    <t>待研究用地北区</t>
    <phoneticPr fontId="134" type="noConversion"/>
  </si>
  <si>
    <t>派出所</t>
    <phoneticPr fontId="134" type="noConversion"/>
  </si>
  <si>
    <t>一级开发成本</t>
    <phoneticPr fontId="134" type="noConversion"/>
  </si>
  <si>
    <t>安贞医院北区</t>
    <phoneticPr fontId="134" type="noConversion"/>
  </si>
  <si>
    <t>副中心住房项目南区</t>
    <phoneticPr fontId="134" type="noConversion"/>
  </si>
  <si>
    <t>总成本（亿元）</t>
    <phoneticPr fontId="134" type="noConversion"/>
  </si>
  <si>
    <t>由安贞医院支付给宋庄镇政府</t>
    <phoneticPr fontId="134" type="noConversion"/>
  </si>
  <si>
    <t>副中心住房项目北区</t>
    <phoneticPr fontId="134" type="noConversion"/>
  </si>
  <si>
    <t>通州区政府承担</t>
    <phoneticPr fontId="134" type="noConversion"/>
  </si>
  <si>
    <t>地上可经营面积（平方米）</t>
    <phoneticPr fontId="134" type="noConversion"/>
  </si>
  <si>
    <t>一级开发成本（元）</t>
    <rPh sb="0" eb="1">
      <t>yi ji kai fa</t>
    </rPh>
    <rPh sb="4" eb="5">
      <t>cheng bne</t>
    </rPh>
    <phoneticPr fontId="134" type="noConversion"/>
  </si>
  <si>
    <t>成本单价（元/平方米）</t>
    <phoneticPr fontId="134" type="noConversion"/>
  </si>
  <si>
    <t>安置房地下其他</t>
    <phoneticPr fontId="134" type="noConversion"/>
  </si>
  <si>
    <t>安置房</t>
    <phoneticPr fontId="134" type="noConversion"/>
  </si>
  <si>
    <t>地上建筑面积（平方米）</t>
    <phoneticPr fontId="134" type="noConversion"/>
  </si>
  <si>
    <t>各部分分摊比例</t>
    <phoneticPr fontId="134" type="noConversion"/>
  </si>
  <si>
    <t>根据《北京城市副中心住房项目潞苑南大街北侧地块土地开发建设补偿协议》[合同编号：京通规自综（合）字（2022）10号]及其补充协议一、二、三及估价委托人介绍，北京城市副中心住房项目北侧地块应分摊成本3543338940.61元，按B#-02地块内安置房地上建筑面积进行分摊。</t>
    <phoneticPr fontId="134" type="noConversion"/>
  </si>
  <si>
    <t>主要包括市场调研、可行性研究、项目策划、工程勘察、环境影响评价、交通影响评价、规划及建筑设计、建设工程招标、项目测绘，以及施工通水、通电、通路、场地平整和临时用房等房地产开发项目前期工作的必要支出。按照建筑安装工程费的5%-12%计算；根据项目的实际情况，该项费用按建筑安装工程费的10%计取。</t>
    <phoneticPr fontId="134" type="noConversion"/>
  </si>
  <si>
    <t>包括增值税、城市维护建设税·教育费附加、地方教育费附加，增值税按简易计税方式征收率取 5%(含税)，增值税及附加按 5.33%。以安置房开发成本价格为基数。</t>
    <phoneticPr fontId="134" type="noConversion"/>
  </si>
  <si>
    <t>5.33%V</t>
    <phoneticPr fontId="134" type="noConversion"/>
  </si>
  <si>
    <t>折合安置房地上可售住宅建筑面积单价。</t>
    <phoneticPr fontId="134" type="noConversion"/>
  </si>
  <si>
    <t>包括建筑物及附属工程所发生的建筑工程费、安装工程费等费用;城市规划要求配套的道路、给水、排水、电力、通信、燃气、供热等设施的全部或部分建设费用，根据《北京城市副中心住房项目（0701街区）B#地块第二标段建设工程施工合同》安置房所在标段施工合同价格1004058708.88元，建筑规模187433.80平方米，约 5357元/平方米，安置房分摊成本总价=合同总价/合同总规模X安置房及非营业性房产建筑规模。</t>
    <phoneticPr fontId="134" type="noConversion"/>
  </si>
  <si>
    <t>建筑面积（平方米）</t>
    <phoneticPr fontId="134" type="noConversion"/>
  </si>
  <si>
    <t>金额（万元）</t>
    <phoneticPr fontId="134" type="noConversion"/>
  </si>
  <si>
    <t>-</t>
    <phoneticPr fontId="134" type="noConversion"/>
  </si>
  <si>
    <t>八</t>
    <phoneticPr fontId="134" type="noConversion"/>
  </si>
  <si>
    <t>九</t>
    <phoneticPr fontId="134" type="noConversion"/>
  </si>
  <si>
    <t>-</t>
    <phoneticPr fontId="134" type="noConversion"/>
  </si>
  <si>
    <t>-</t>
    <phoneticPr fontId="134" type="noConversion"/>
  </si>
  <si>
    <t>八=七。</t>
    <phoneticPr fontId="134" type="noConversion"/>
  </si>
  <si>
    <t>人防工程</t>
    <phoneticPr fontId="134" type="noConversion"/>
  </si>
  <si>
    <t>指在房地产开发完成或者实现销售之前发生的所有必要费用应计算的利息，根据项目情况，确定估价对象按项目成本的70%贷款，根据《建筑工程施工许可证》[（2023）施（通）建字0119号]及其附件发证日期为2023年12月27日，本次开发建设周期按实际建设周期1年记取;融资成本率 3.58%计取;财务费用以土地成本和建设成本之和为基数。</t>
    <phoneticPr fontId="134" type="noConversion"/>
  </si>
  <si>
    <t>前期费用及其他费用</t>
    <phoneticPr fontId="134" type="noConversion"/>
  </si>
  <si>
    <t>指房地产开发企业为组织和管理房地产开发经营活动的必要支出，包括房地产开发企业的人员工资及福利费、办公费、差旅费等;本项目为保障性住房，参照《经济实用的住房价格管理办法》计价格[2002]2503号，以土地成本和建设成本为基数，按照 2%比例计取。</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</si>
</sst>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quot;安置房&quot;0&quot;套&quot;"/>
    <numFmt numFmtId="197" formatCode="&quot;人防车位&quot;0&quot;个&quot;"/>
    <numFmt numFmtId="198" formatCode="&quot;安置房车库&quot;0&quot;个&quot;"/>
    <numFmt numFmtId="199" formatCode="0.000"/>
    <numFmt numFmtId="200" formatCode="0.0000"/>
  </numFmts>
  <fonts count="308">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Times New Roman"/>
      <family val="1"/>
    </font>
    <font>
      <b/>
      <sz val="9"/>
      <color rgb="FF000000"/>
      <name val="楷体"/>
      <family val="3"/>
      <charset val="134"/>
    </font>
    <font>
      <sz val="10.5"/>
      <color rgb="FF000000"/>
      <name val="楷体"/>
      <family val="3"/>
      <charset val="134"/>
    </font>
    <font>
      <sz val="11"/>
      <color rgb="FF000000"/>
      <name val="楷体"/>
      <family val="3"/>
      <charset val="134"/>
    </font>
    <font>
      <sz val="11"/>
      <color rgb="FF000000"/>
      <name val="Arial Narrow"/>
      <family val="2"/>
    </font>
    <font>
      <sz val="11"/>
      <color theme="1"/>
      <name val="Arial Narrow"/>
      <family val="2"/>
    </font>
    <font>
      <sz val="11"/>
      <color theme="1"/>
      <name val="楷体"/>
      <family val="3"/>
      <charset val="134"/>
    </font>
    <font>
      <sz val="10.5"/>
      <color rgb="FF000000"/>
      <name val="Arial Narrow"/>
      <family val="2"/>
    </font>
    <font>
      <b/>
      <sz val="10.5"/>
      <color rgb="FF000000"/>
      <name val="楷体"/>
      <family val="3"/>
      <charset val="134"/>
    </font>
    <font>
      <b/>
      <sz val="10.5"/>
      <color rgb="FF000000"/>
      <name val="Arial Narrow"/>
      <family val="2"/>
    </font>
    <font>
      <sz val="12"/>
      <color theme="1"/>
      <name val="楷体"/>
      <family val="3"/>
      <charset val="134"/>
    </font>
    <font>
      <b/>
      <sz val="11"/>
      <color rgb="FF000000"/>
      <name val="楷体"/>
      <family val="3"/>
      <charset val="134"/>
    </font>
    <font>
      <b/>
      <sz val="11"/>
      <color rgb="FF000000"/>
      <name val="Times New Roman"/>
      <family val="1"/>
    </font>
    <font>
      <sz val="11"/>
      <color rgb="FF000000"/>
      <name val="仿宋_GB2312"/>
      <family val="3"/>
      <charset val="134"/>
    </font>
    <font>
      <sz val="11"/>
      <color rgb="FF000000"/>
      <name val="楷体_GB2312"/>
      <charset val="134"/>
    </font>
    <font>
      <b/>
      <sz val="11"/>
      <color rgb="FF000000"/>
      <name val="Arial Narrow"/>
      <family val="2"/>
    </font>
    <font>
      <b/>
      <sz val="11"/>
      <color rgb="FF000000"/>
      <name val="仿宋_GB2312"/>
      <family val="3"/>
      <charset val="134"/>
    </font>
    <font>
      <sz val="10"/>
      <color rgb="FF000000"/>
      <name val="Arial Narrow"/>
      <family val="2"/>
    </font>
    <font>
      <sz val="10"/>
      <color rgb="FF000000"/>
      <name val="仿宋_GB2312"/>
      <family val="3"/>
      <charset val="134"/>
    </font>
    <font>
      <b/>
      <sz val="9"/>
      <color rgb="FF000000"/>
      <name val="仿宋_GB2312"/>
      <family val="3"/>
      <charset val="134"/>
    </font>
    <font>
      <b/>
      <sz val="11"/>
      <color theme="0"/>
      <name val="Arial Unicode MS"/>
      <family val="2"/>
      <charset val="134"/>
    </font>
    <font>
      <sz val="11"/>
      <color theme="1"/>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sz val="10"/>
      <name val="Arial Unicode MS"/>
      <family val="2"/>
      <charset val="134"/>
    </font>
    <font>
      <sz val="18"/>
      <name val="黑体"/>
      <family val="3"/>
      <charset val="134"/>
    </font>
    <font>
      <sz val="12"/>
      <name val="黑体"/>
      <family val="3"/>
      <charset val="134"/>
    </font>
    <font>
      <sz val="12"/>
      <color rgb="FF000000"/>
      <name val="黑体"/>
      <family val="3"/>
      <charset val="134"/>
    </font>
    <font>
      <sz val="12"/>
      <color rgb="FFFF0000"/>
      <name val="黑体"/>
      <family val="3"/>
      <charset val="134"/>
    </font>
    <font>
      <sz val="11"/>
      <color rgb="FFFF0000"/>
      <name val="DengXian"/>
      <family val="3"/>
      <charset val="134"/>
      <scheme val="minor"/>
    </font>
    <font>
      <u/>
      <sz val="11"/>
      <color theme="10"/>
      <name val="DengXian"/>
      <family val="4"/>
      <charset val="134"/>
      <scheme val="minor"/>
    </font>
    <font>
      <u/>
      <sz val="11"/>
      <color theme="11"/>
      <name val="DengXian"/>
      <family val="4"/>
      <charset val="134"/>
      <scheme val="minor"/>
    </font>
    <font>
      <sz val="11"/>
      <color rgb="FF000000"/>
      <name val="DengXian"/>
      <family val="4"/>
      <charset val="134"/>
      <scheme val="minor"/>
    </font>
    <font>
      <sz val="11"/>
      <color theme="1"/>
      <name val="Times New Roman"/>
      <family val="1"/>
    </font>
    <font>
      <sz val="9"/>
      <name val="DengXian"/>
      <charset val="134"/>
      <scheme val="minor"/>
    </font>
    <font>
      <sz val="11"/>
      <color theme="1"/>
      <name val="DengXian"/>
      <charset val="134"/>
    </font>
    <font>
      <sz val="10"/>
      <color theme="1"/>
      <name val="DengXian"/>
      <charset val="134"/>
      <scheme val="minor"/>
    </font>
    <font>
      <b/>
      <sz val="10"/>
      <color theme="1"/>
      <name val="DengXian"/>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7D9F1"/>
        <bgColor indexed="64"/>
      </patternFill>
    </fill>
    <fill>
      <patternFill patternType="solid">
        <fgColor rgb="FFBDD7EE"/>
        <bgColor indexed="64"/>
      </patternFill>
    </fill>
    <fill>
      <patternFill patternType="solid">
        <fgColor theme="6" tint="-0.499984740745262"/>
        <bgColor indexed="64"/>
      </patternFill>
    </fill>
    <fill>
      <patternFill patternType="solid">
        <fgColor theme="6" tint="0.79995117038483843"/>
        <bgColor indexed="64"/>
      </patternFill>
    </fill>
    <fill>
      <patternFill patternType="solid">
        <fgColor theme="4" tint="0.79998168889431442"/>
        <bgColor indexed="64"/>
      </patternFill>
    </fill>
    <fill>
      <patternFill patternType="solid">
        <fgColor theme="5" tint="0.59999389629810485"/>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s>
  <cellStyleXfs count="27">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00" fillId="0" borderId="0" applyNumberFormat="0" applyFill="0" applyBorder="0" applyAlignment="0" applyProtection="0">
      <alignment vertical="center"/>
    </xf>
    <xf numFmtId="0" fontId="301"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1"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1"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1" fillId="0" borderId="0" applyNumberFormat="0" applyFill="0" applyBorder="0" applyAlignment="0" applyProtection="0">
      <alignment vertical="center"/>
    </xf>
  </cellStyleXfs>
  <cellXfs count="40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269" fillId="0" borderId="0" xfId="0" applyFont="1" applyAlignment="1">
      <alignment vertical="center" wrapText="1"/>
    </xf>
    <xf numFmtId="0" fontId="272" fillId="22" borderId="43" xfId="0" applyFont="1" applyFill="1" applyBorder="1" applyAlignment="1">
      <alignment horizontal="center" vertical="center" wrapText="1"/>
    </xf>
    <xf numFmtId="0" fontId="272" fillId="0" borderId="56" xfId="0" applyFont="1" applyBorder="1" applyAlignment="1">
      <alignment horizontal="center" vertical="center" wrapText="1"/>
    </xf>
    <xf numFmtId="0" fontId="274" fillId="0" borderId="56" xfId="0" applyFont="1" applyBorder="1" applyAlignment="1">
      <alignment horizontal="center" vertical="center" wrapText="1"/>
    </xf>
    <xf numFmtId="0" fontId="0" fillId="0" borderId="56" xfId="0" applyBorder="1" applyAlignment="1">
      <alignment vertical="center" wrapText="1"/>
    </xf>
    <xf numFmtId="0" fontId="0" fillId="0" borderId="43" xfId="0" applyBorder="1" applyAlignment="1">
      <alignment vertical="center" wrapText="1"/>
    </xf>
    <xf numFmtId="0" fontId="273" fillId="0" borderId="43" xfId="0" applyFont="1" applyBorder="1" applyAlignment="1">
      <alignment horizontal="center" vertical="center" wrapText="1"/>
    </xf>
    <xf numFmtId="0" fontId="276" fillId="0" borderId="43" xfId="0" applyFont="1" applyBorder="1" applyAlignment="1">
      <alignment horizontal="center" vertical="center" wrapText="1"/>
    </xf>
    <xf numFmtId="0" fontId="272" fillId="0" borderId="43" xfId="0" applyFont="1" applyBorder="1" applyAlignment="1">
      <alignment horizontal="center" vertical="center" wrapText="1"/>
    </xf>
    <xf numFmtId="0" fontId="273" fillId="0" borderId="56" xfId="0" applyFont="1" applyBorder="1" applyAlignment="1">
      <alignment horizontal="center" vertical="center" wrapText="1"/>
    </xf>
    <xf numFmtId="0" fontId="273" fillId="0" borderId="81" xfId="0" applyFont="1" applyBorder="1" applyAlignment="1">
      <alignment horizontal="center" vertical="center" wrapText="1"/>
    </xf>
    <xf numFmtId="0" fontId="278" fillId="0" borderId="43" xfId="0" applyFont="1" applyBorder="1" applyAlignment="1">
      <alignment horizontal="center" vertical="center" wrapText="1"/>
    </xf>
    <xf numFmtId="0" fontId="275" fillId="5" borderId="56" xfId="0" applyFont="1" applyFill="1" applyBorder="1" applyAlignment="1">
      <alignment horizontal="center" vertical="center" wrapText="1"/>
    </xf>
    <xf numFmtId="0" fontId="273" fillId="5"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4" fillId="5" borderId="56" xfId="0" applyFont="1" applyFill="1" applyBorder="1" applyAlignment="1">
      <alignment horizontal="center" vertical="center" wrapText="1"/>
    </xf>
    <xf numFmtId="0" fontId="0" fillId="5" borderId="56" xfId="0" applyFill="1" applyBorder="1" applyAlignment="1">
      <alignment vertical="center" wrapText="1"/>
    </xf>
    <xf numFmtId="0" fontId="272" fillId="5" borderId="43" xfId="0" applyFont="1" applyFill="1" applyBorder="1" applyAlignment="1">
      <alignment horizontal="center" vertical="center" wrapText="1"/>
    </xf>
    <xf numFmtId="0" fontId="0" fillId="5" borderId="43" xfId="0" applyFill="1" applyBorder="1" applyAlignment="1">
      <alignment vertical="center" wrapText="1"/>
    </xf>
    <xf numFmtId="0" fontId="279" fillId="0" borderId="0" xfId="0" applyFont="1">
      <alignment vertical="center"/>
    </xf>
    <xf numFmtId="0" fontId="280" fillId="22" borderId="179" xfId="0" applyFont="1" applyFill="1" applyBorder="1" applyAlignment="1">
      <alignment horizontal="center" vertical="center" wrapText="1"/>
    </xf>
    <xf numFmtId="0" fontId="281" fillId="22" borderId="180" xfId="0" applyFont="1" applyFill="1" applyBorder="1" applyAlignment="1">
      <alignment horizontal="center" vertical="center" wrapText="1"/>
    </xf>
    <xf numFmtId="0" fontId="273" fillId="0" borderId="177" xfId="0" applyFont="1" applyBorder="1" applyAlignment="1">
      <alignment horizontal="center" vertical="center" wrapText="1"/>
    </xf>
    <xf numFmtId="0" fontId="282" fillId="0" borderId="180" xfId="0" applyFont="1" applyBorder="1" applyAlignment="1">
      <alignment horizontal="left" vertical="center" wrapText="1"/>
    </xf>
    <xf numFmtId="0" fontId="273" fillId="0" borderId="180" xfId="0" applyFont="1" applyBorder="1" applyAlignment="1">
      <alignment horizontal="center" vertical="center" wrapText="1"/>
    </xf>
    <xf numFmtId="0" fontId="273" fillId="0" borderId="182" xfId="0" applyFont="1" applyBorder="1" applyAlignment="1">
      <alignment horizontal="left" vertical="center" wrapText="1"/>
    </xf>
    <xf numFmtId="0" fontId="273" fillId="0" borderId="180" xfId="0" applyFont="1" applyBorder="1" applyAlignment="1">
      <alignment horizontal="left" vertical="center" wrapText="1"/>
    </xf>
    <xf numFmtId="0" fontId="273" fillId="0" borderId="182" xfId="0" applyFont="1" applyBorder="1" applyAlignment="1">
      <alignment horizontal="center" vertical="center" wrapText="1"/>
    </xf>
    <xf numFmtId="0" fontId="282" fillId="0" borderId="180" xfId="0" applyFont="1" applyBorder="1" applyAlignment="1">
      <alignment horizontal="center" vertical="center" wrapText="1"/>
    </xf>
    <xf numFmtId="0" fontId="284" fillId="0" borderId="180" xfId="0" applyFont="1" applyBorder="1" applyAlignment="1">
      <alignment horizontal="center" vertical="center" wrapText="1"/>
    </xf>
    <xf numFmtId="0" fontId="285" fillId="0" borderId="180" xfId="0" applyFont="1" applyBorder="1" applyAlignment="1">
      <alignment horizontal="left" vertical="center" wrapText="1"/>
    </xf>
    <xf numFmtId="0" fontId="285" fillId="22" borderId="31" xfId="0" applyFont="1" applyFill="1" applyBorder="1" applyAlignment="1">
      <alignment horizontal="center" vertical="center" wrapText="1"/>
    </xf>
    <xf numFmtId="0" fontId="285" fillId="22" borderId="56" xfId="0" applyFont="1" applyFill="1" applyBorder="1" applyAlignment="1">
      <alignment horizontal="center" vertical="center" wrapText="1"/>
    </xf>
    <xf numFmtId="0" fontId="286" fillId="22" borderId="56" xfId="0" applyFont="1" applyFill="1" applyBorder="1" applyAlignment="1">
      <alignment horizontal="center" vertical="center" wrapText="1"/>
    </xf>
    <xf numFmtId="0" fontId="0" fillId="22" borderId="43" xfId="0" applyFill="1" applyBorder="1" applyAlignment="1">
      <alignment vertical="center" wrapText="1"/>
    </xf>
    <xf numFmtId="0" fontId="0" fillId="22" borderId="56" xfId="0" applyFill="1" applyBorder="1" applyAlignment="1">
      <alignment vertical="center" wrapText="1"/>
    </xf>
    <xf numFmtId="0" fontId="286" fillId="22" borderId="43" xfId="0" applyFont="1" applyFill="1" applyBorder="1" applyAlignment="1">
      <alignment horizontal="center" vertical="center" wrapText="1"/>
    </xf>
    <xf numFmtId="0" fontId="285" fillId="0" borderId="81" xfId="0" applyFont="1" applyBorder="1" applyAlignment="1">
      <alignment horizontal="left" vertical="center" wrapText="1"/>
    </xf>
    <xf numFmtId="0" fontId="285" fillId="0" borderId="43" xfId="0" applyFont="1" applyBorder="1" applyAlignment="1">
      <alignment horizontal="left" vertical="center" wrapText="1"/>
    </xf>
    <xf numFmtId="0" fontId="276" fillId="0" borderId="43" xfId="0" applyFont="1" applyBorder="1" applyAlignment="1">
      <alignment horizontal="right" vertical="center" wrapText="1"/>
    </xf>
    <xf numFmtId="0" fontId="276" fillId="0" borderId="43" xfId="0" applyFont="1" applyBorder="1" applyAlignment="1">
      <alignment horizontal="justify" vertical="center"/>
    </xf>
    <xf numFmtId="0" fontId="276" fillId="0" borderId="81" xfId="0" applyFont="1" applyBorder="1" applyAlignment="1">
      <alignment horizontal="center" vertical="center" wrapText="1"/>
    </xf>
    <xf numFmtId="0" fontId="288" fillId="0" borderId="43" xfId="0" applyFont="1" applyBorder="1" applyAlignment="1">
      <alignment horizontal="left" vertical="center" wrapText="1"/>
    </xf>
    <xf numFmtId="0" fontId="285" fillId="0" borderId="81" xfId="0" applyFont="1" applyBorder="1" applyAlignment="1">
      <alignment horizontal="center" vertical="center" wrapText="1"/>
    </xf>
    <xf numFmtId="0" fontId="278" fillId="0" borderId="81" xfId="0" applyFont="1" applyBorder="1" applyAlignment="1">
      <alignment horizontal="center" vertical="center" wrapText="1"/>
    </xf>
    <xf numFmtId="0" fontId="282" fillId="0" borderId="43" xfId="0" applyFont="1" applyBorder="1" applyAlignment="1">
      <alignment horizontal="left" vertical="center" wrapText="1"/>
    </xf>
    <xf numFmtId="0" fontId="278" fillId="0" borderId="43" xfId="0" applyFont="1" applyBorder="1" applyAlignment="1">
      <alignment horizontal="right" vertical="center" wrapText="1"/>
    </xf>
    <xf numFmtId="0" fontId="272" fillId="22" borderId="182" xfId="0" applyFont="1" applyFill="1" applyBorder="1" applyAlignment="1">
      <alignment horizontal="center" vertical="center" wrapText="1"/>
    </xf>
    <xf numFmtId="0" fontId="272" fillId="22" borderId="180" xfId="0" applyFont="1" applyFill="1" applyBorder="1" applyAlignment="1">
      <alignment horizontal="center" vertical="center" wrapText="1"/>
    </xf>
    <xf numFmtId="0" fontId="273" fillId="0" borderId="177" xfId="0" applyFont="1" applyBorder="1" applyAlignment="1">
      <alignment horizontal="left" vertical="center"/>
    </xf>
    <xf numFmtId="0" fontId="272" fillId="0" borderId="180" xfId="0" applyFont="1" applyBorder="1" applyAlignment="1">
      <alignment horizontal="left" vertical="center" wrapText="1"/>
    </xf>
    <xf numFmtId="0" fontId="273" fillId="0" borderId="180" xfId="0" applyFont="1" applyBorder="1" applyAlignment="1">
      <alignment horizontal="center" vertical="center"/>
    </xf>
    <xf numFmtId="0" fontId="272" fillId="0" borderId="184" xfId="0" applyFont="1" applyBorder="1" applyAlignment="1">
      <alignment horizontal="left" vertical="center" wrapText="1"/>
    </xf>
    <xf numFmtId="0" fontId="273" fillId="0" borderId="180" xfId="0" applyFont="1" applyBorder="1" applyAlignment="1">
      <alignment horizontal="justify" vertical="center"/>
    </xf>
    <xf numFmtId="0" fontId="273" fillId="0" borderId="184" xfId="0" applyFont="1" applyBorder="1" applyAlignment="1">
      <alignment horizontal="left" vertical="center" wrapText="1"/>
    </xf>
    <xf numFmtId="0" fontId="276" fillId="0" borderId="177" xfId="0" applyFont="1" applyBorder="1" applyAlignment="1">
      <alignment horizontal="center" vertical="center" wrapText="1"/>
    </xf>
    <xf numFmtId="0" fontId="276" fillId="0" borderId="180" xfId="0" applyFont="1" applyBorder="1" applyAlignment="1">
      <alignment horizontal="center" vertical="center"/>
    </xf>
    <xf numFmtId="0" fontId="280" fillId="0" borderId="180" xfId="0" applyFont="1" applyBorder="1" applyAlignment="1">
      <alignment horizontal="left" vertical="center" wrapText="1"/>
    </xf>
    <xf numFmtId="0" fontId="284" fillId="0" borderId="180" xfId="0" applyFont="1" applyBorder="1" applyAlignment="1">
      <alignment horizontal="center" vertical="center"/>
    </xf>
    <xf numFmtId="0" fontId="273" fillId="5" borderId="177" xfId="0" applyFont="1" applyFill="1" applyBorder="1" applyAlignment="1">
      <alignment horizontal="left" vertical="center"/>
    </xf>
    <xf numFmtId="0" fontId="272" fillId="5" borderId="180" xfId="0" applyFont="1" applyFill="1" applyBorder="1" applyAlignment="1">
      <alignment horizontal="left" vertical="center" wrapText="1"/>
    </xf>
    <xf numFmtId="0" fontId="273" fillId="5" borderId="180" xfId="0" applyFont="1" applyFill="1" applyBorder="1" applyAlignment="1">
      <alignment horizontal="center" vertical="center" wrapText="1"/>
    </xf>
    <xf numFmtId="0" fontId="273" fillId="5" borderId="180" xfId="0" applyFont="1" applyFill="1" applyBorder="1" applyAlignment="1">
      <alignment horizontal="center" vertical="center"/>
    </xf>
    <xf numFmtId="0" fontId="272" fillId="5" borderId="184" xfId="0" applyFont="1" applyFill="1" applyBorder="1" applyAlignment="1">
      <alignment horizontal="left" vertical="center" wrapText="1"/>
    </xf>
    <xf numFmtId="0" fontId="273" fillId="5" borderId="177" xfId="0" applyFont="1" applyFill="1" applyBorder="1" applyAlignment="1">
      <alignment horizontal="center" vertical="center" wrapText="1"/>
    </xf>
    <xf numFmtId="0" fontId="0" fillId="5" borderId="0" xfId="0" applyFill="1">
      <alignment vertical="center"/>
    </xf>
    <xf numFmtId="179" fontId="289" fillId="24" borderId="1" xfId="0" applyNumberFormat="1" applyFont="1" applyFill="1" applyBorder="1" applyAlignment="1">
      <alignment horizontal="center" vertical="center" wrapText="1"/>
    </xf>
    <xf numFmtId="179" fontId="290" fillId="0" borderId="0" xfId="0" applyNumberFormat="1" applyFont="1" applyAlignment="1">
      <alignment horizontal="center" vertical="center" wrapText="1"/>
    </xf>
    <xf numFmtId="179" fontId="291" fillId="24" borderId="1" xfId="0" applyNumberFormat="1" applyFont="1" applyFill="1" applyBorder="1" applyAlignment="1">
      <alignment horizontal="center" vertical="center" wrapText="1"/>
    </xf>
    <xf numFmtId="179" fontId="291" fillId="8" borderId="1" xfId="0" applyNumberFormat="1" applyFont="1" applyFill="1" applyBorder="1" applyAlignment="1">
      <alignment horizontal="center" vertical="center" wrapText="1"/>
    </xf>
    <xf numFmtId="179" fontId="292" fillId="14" borderId="1" xfId="0" applyNumberFormat="1" applyFont="1" applyFill="1" applyBorder="1" applyAlignment="1">
      <alignment horizontal="center" vertical="center" wrapText="1"/>
    </xf>
    <xf numFmtId="179" fontId="292" fillId="25" borderId="1" xfId="0" applyNumberFormat="1" applyFont="1" applyFill="1" applyBorder="1" applyAlignment="1">
      <alignment horizontal="center" vertical="center" wrapText="1"/>
    </xf>
    <xf numFmtId="179" fontId="292" fillId="0" borderId="1" xfId="0" applyNumberFormat="1" applyFont="1" applyBorder="1" applyAlignment="1">
      <alignment horizontal="center" vertical="center" wrapText="1"/>
    </xf>
    <xf numFmtId="179" fontId="293" fillId="0" borderId="1" xfId="0" applyNumberFormat="1" applyFont="1" applyBorder="1" applyAlignment="1">
      <alignment horizontal="center" vertical="center" wrapText="1"/>
    </xf>
    <xf numFmtId="179" fontId="289" fillId="24" borderId="0" xfId="0" applyNumberFormat="1" applyFont="1" applyFill="1" applyBorder="1" applyAlignment="1">
      <alignment horizontal="center" vertical="center" wrapText="1"/>
    </xf>
    <xf numFmtId="179" fontId="291" fillId="24" borderId="15" xfId="0" applyNumberFormat="1" applyFont="1" applyFill="1" applyBorder="1" applyAlignment="1">
      <alignment horizontal="center" vertical="center" wrapText="1"/>
    </xf>
    <xf numFmtId="179" fontId="0" fillId="0" borderId="0" xfId="0" applyNumberFormat="1">
      <alignment vertical="center"/>
    </xf>
    <xf numFmtId="179" fontId="293" fillId="25" borderId="1" xfId="0" applyNumberFormat="1" applyFont="1" applyFill="1" applyBorder="1" applyAlignment="1">
      <alignment horizontal="center" vertical="center" wrapText="1"/>
    </xf>
    <xf numFmtId="0" fontId="0" fillId="0" borderId="1" xfId="0" applyBorder="1" applyAlignment="1">
      <alignment vertical="center"/>
    </xf>
    <xf numFmtId="179" fontId="294" fillId="25" borderId="1" xfId="0" applyNumberFormat="1" applyFont="1" applyFill="1" applyBorder="1" applyAlignment="1">
      <alignment horizontal="center" vertical="center" wrapText="1"/>
    </xf>
    <xf numFmtId="188" fontId="296" fillId="0" borderId="1" xfId="0" applyNumberFormat="1" applyFont="1" applyFill="1" applyBorder="1" applyAlignment="1">
      <alignment horizontal="center" vertical="center" wrapText="1"/>
    </xf>
    <xf numFmtId="187" fontId="296" fillId="0" borderId="1" xfId="0" applyNumberFormat="1" applyFont="1" applyFill="1" applyBorder="1" applyAlignment="1">
      <alignment horizontal="center" vertical="center" wrapText="1"/>
    </xf>
    <xf numFmtId="176" fontId="296" fillId="0" borderId="1" xfId="0" applyNumberFormat="1" applyFont="1" applyFill="1" applyBorder="1" applyAlignment="1">
      <alignment horizontal="center" vertical="center" wrapText="1"/>
    </xf>
    <xf numFmtId="188" fontId="296" fillId="0" borderId="1" xfId="0" applyNumberFormat="1" applyFont="1" applyFill="1" applyBorder="1" applyAlignment="1">
      <alignment horizontal="left" vertical="center" wrapText="1"/>
    </xf>
    <xf numFmtId="181" fontId="296" fillId="0" borderId="1" xfId="0" applyNumberFormat="1" applyFont="1" applyFill="1" applyBorder="1" applyAlignment="1">
      <alignment horizontal="center" vertical="center" wrapText="1"/>
    </xf>
    <xf numFmtId="181" fontId="297" fillId="0" borderId="1" xfId="0" applyNumberFormat="1" applyFont="1" applyFill="1" applyBorder="1" applyAlignment="1">
      <alignment horizontal="center" vertical="center" wrapText="1"/>
    </xf>
    <xf numFmtId="185" fontId="296" fillId="0" borderId="1" xfId="0" applyNumberFormat="1" applyFont="1" applyFill="1" applyBorder="1" applyAlignment="1">
      <alignment horizontal="center" vertical="center" wrapText="1"/>
    </xf>
    <xf numFmtId="9" fontId="298" fillId="0" borderId="1" xfId="0" applyNumberFormat="1" applyFont="1" applyFill="1" applyBorder="1" applyAlignment="1">
      <alignment horizontal="center" vertical="center" wrapText="1"/>
    </xf>
    <xf numFmtId="181" fontId="296" fillId="0" borderId="1" xfId="0" applyNumberFormat="1" applyFont="1" applyFill="1" applyBorder="1" applyAlignment="1">
      <alignment horizontal="left" vertical="center" wrapText="1"/>
    </xf>
    <xf numFmtId="176" fontId="296" fillId="0" borderId="1" xfId="14" applyNumberFormat="1" applyFont="1" applyFill="1" applyBorder="1" applyAlignment="1">
      <alignment horizontal="center" vertical="center" wrapText="1"/>
    </xf>
    <xf numFmtId="9" fontId="296" fillId="0" borderId="1" xfId="0" applyNumberFormat="1" applyFont="1" applyFill="1" applyBorder="1" applyAlignment="1">
      <alignment horizontal="center" vertical="center" wrapText="1"/>
    </xf>
    <xf numFmtId="197" fontId="272" fillId="7" borderId="1" xfId="0" applyNumberFormat="1" applyFont="1" applyFill="1" applyBorder="1" applyAlignment="1" applyProtection="1">
      <alignment vertical="center" wrapText="1"/>
      <protection locked="0"/>
    </xf>
    <xf numFmtId="179" fontId="0" fillId="0" borderId="1" xfId="0" applyNumberFormat="1" applyBorder="1">
      <alignment vertical="center"/>
    </xf>
    <xf numFmtId="0" fontId="0" fillId="0" borderId="1" xfId="0" applyBorder="1">
      <alignment vertical="center"/>
    </xf>
    <xf numFmtId="179" fontId="299" fillId="0" borderId="1" xfId="0" applyNumberFormat="1" applyFont="1" applyBorder="1">
      <alignment vertical="center"/>
    </xf>
    <xf numFmtId="0" fontId="272" fillId="7" borderId="1" xfId="0" applyFont="1" applyFill="1" applyBorder="1" applyAlignment="1">
      <alignment vertical="center" wrapText="1"/>
    </xf>
    <xf numFmtId="185" fontId="296" fillId="5" borderId="1" xfId="0" applyNumberFormat="1" applyFont="1" applyFill="1" applyBorder="1" applyAlignment="1">
      <alignment horizontal="center" vertical="center" wrapText="1"/>
    </xf>
    <xf numFmtId="176" fontId="296" fillId="5" borderId="1" xfId="0" applyNumberFormat="1" applyFont="1" applyFill="1" applyBorder="1" applyAlignment="1">
      <alignment horizontal="center" vertical="center" wrapText="1"/>
    </xf>
    <xf numFmtId="0" fontId="0" fillId="0" borderId="0" xfId="0" applyAlignment="1">
      <alignment vertical="center" wrapText="1"/>
    </xf>
    <xf numFmtId="0" fontId="0" fillId="5" borderId="0" xfId="0" applyFill="1" applyAlignment="1">
      <alignment vertical="center" wrapText="1"/>
    </xf>
    <xf numFmtId="10" fontId="0" fillId="5" borderId="0" xfId="0" applyNumberFormat="1" applyFill="1" applyAlignment="1">
      <alignment vertical="center" wrapText="1"/>
    </xf>
    <xf numFmtId="0" fontId="299" fillId="0" borderId="0" xfId="0" applyFont="1" applyAlignment="1">
      <alignment vertical="center" wrapText="1"/>
    </xf>
    <xf numFmtId="2" fontId="108" fillId="0" borderId="0" xfId="0" applyNumberFormat="1" applyFont="1" applyAlignment="1">
      <alignment vertical="center" wrapText="1"/>
    </xf>
    <xf numFmtId="0" fontId="276" fillId="5" borderId="43" xfId="0" applyFont="1" applyFill="1" applyBorder="1" applyAlignment="1">
      <alignment horizontal="right" vertical="center" wrapText="1"/>
    </xf>
    <xf numFmtId="0" fontId="303" fillId="26" borderId="66" xfId="0" applyFont="1" applyFill="1" applyBorder="1" applyAlignment="1">
      <alignment horizontal="center" vertical="center"/>
    </xf>
    <xf numFmtId="0" fontId="303" fillId="26" borderId="32" xfId="0" applyFont="1" applyFill="1" applyBorder="1" applyAlignment="1">
      <alignment horizontal="center" vertical="center"/>
    </xf>
    <xf numFmtId="0" fontId="303" fillId="26" borderId="49" xfId="0" applyFont="1" applyFill="1" applyBorder="1" applyAlignment="1">
      <alignment horizontal="center" vertical="center"/>
    </xf>
    <xf numFmtId="0" fontId="303" fillId="26" borderId="11" xfId="0" applyFont="1" applyFill="1" applyBorder="1" applyAlignment="1">
      <alignment horizontal="center" vertical="center"/>
    </xf>
    <xf numFmtId="0" fontId="303" fillId="26" borderId="13" xfId="0" applyFont="1" applyFill="1" applyBorder="1" applyAlignment="1">
      <alignment horizontal="center" vertical="center"/>
    </xf>
    <xf numFmtId="0" fontId="303" fillId="26" borderId="61" xfId="0" applyFont="1" applyFill="1" applyBorder="1" applyAlignment="1">
      <alignment horizontal="center" vertical="center"/>
    </xf>
    <xf numFmtId="0" fontId="275" fillId="26" borderId="22" xfId="0" applyFont="1" applyFill="1" applyBorder="1" applyAlignment="1">
      <alignment horizontal="center" vertical="center"/>
    </xf>
    <xf numFmtId="0" fontId="303" fillId="0" borderId="95" xfId="0" applyFont="1" applyBorder="1" applyAlignment="1">
      <alignment horizontal="center" vertical="center"/>
    </xf>
    <xf numFmtId="177" fontId="303" fillId="0" borderId="7" xfId="0" applyNumberFormat="1" applyFont="1" applyBorder="1" applyAlignment="1">
      <alignment vertical="center"/>
    </xf>
    <xf numFmtId="177" fontId="303" fillId="0" borderId="2" xfId="0" applyNumberFormat="1" applyFont="1" applyBorder="1" applyAlignment="1">
      <alignment vertical="center"/>
    </xf>
    <xf numFmtId="177" fontId="303" fillId="0" borderId="8" xfId="0" applyNumberFormat="1" applyFont="1" applyBorder="1">
      <alignment vertical="center"/>
    </xf>
    <xf numFmtId="177" fontId="303" fillId="0" borderId="6" xfId="0" applyNumberFormat="1" applyFont="1" applyBorder="1">
      <alignment vertical="center"/>
    </xf>
    <xf numFmtId="177" fontId="303" fillId="0" borderId="9" xfId="0" applyNumberFormat="1" applyFont="1" applyBorder="1">
      <alignment vertical="center"/>
    </xf>
    <xf numFmtId="177" fontId="303" fillId="0" borderId="10" xfId="0" applyNumberFormat="1" applyFont="1" applyBorder="1">
      <alignment vertical="center"/>
    </xf>
    <xf numFmtId="177" fontId="303" fillId="0" borderId="30" xfId="0" applyNumberFormat="1" applyFont="1" applyBorder="1">
      <alignment vertical="center"/>
    </xf>
    <xf numFmtId="9" fontId="303" fillId="0" borderId="10" xfId="17" applyFont="1" applyBorder="1">
      <alignment vertical="center"/>
    </xf>
    <xf numFmtId="0" fontId="303" fillId="0" borderId="50" xfId="0" applyFont="1" applyBorder="1" applyAlignment="1">
      <alignment horizontal="center" vertical="center"/>
    </xf>
    <xf numFmtId="177" fontId="303" fillId="0" borderId="3" xfId="0" applyNumberFormat="1" applyFont="1" applyFill="1" applyBorder="1" applyAlignment="1">
      <alignment vertical="center"/>
    </xf>
    <xf numFmtId="177" fontId="303" fillId="0" borderId="1" xfId="0" applyNumberFormat="1" applyFont="1" applyBorder="1" applyAlignment="1">
      <alignment vertical="center"/>
    </xf>
    <xf numFmtId="177" fontId="303" fillId="5" borderId="1" xfId="0" applyNumberFormat="1" applyFont="1" applyFill="1" applyBorder="1" applyAlignment="1">
      <alignment vertical="center"/>
    </xf>
    <xf numFmtId="177" fontId="303" fillId="0" borderId="24" xfId="0" applyNumberFormat="1" applyFont="1" applyBorder="1">
      <alignment vertical="center"/>
    </xf>
    <xf numFmtId="177" fontId="303" fillId="0" borderId="23" xfId="0" applyNumberFormat="1" applyFont="1" applyBorder="1">
      <alignment vertical="center"/>
    </xf>
    <xf numFmtId="177" fontId="303" fillId="5" borderId="1" xfId="0" applyNumberFormat="1" applyFont="1" applyFill="1" applyBorder="1">
      <alignment vertical="center"/>
    </xf>
    <xf numFmtId="177" fontId="303" fillId="0" borderId="1" xfId="0" applyNumberFormat="1" applyFont="1" applyBorder="1">
      <alignment vertical="center"/>
    </xf>
    <xf numFmtId="177" fontId="303" fillId="0" borderId="3" xfId="0" applyNumberFormat="1" applyFont="1" applyBorder="1">
      <alignment vertical="center"/>
    </xf>
    <xf numFmtId="177" fontId="303" fillId="5" borderId="3" xfId="0" applyNumberFormat="1" applyFont="1" applyFill="1" applyBorder="1">
      <alignment vertical="center"/>
    </xf>
    <xf numFmtId="9" fontId="303" fillId="0" borderId="24" xfId="17" applyFont="1" applyBorder="1">
      <alignment vertical="center"/>
    </xf>
    <xf numFmtId="0" fontId="303" fillId="27" borderId="86" xfId="0" applyFont="1" applyFill="1" applyBorder="1" applyAlignment="1">
      <alignment horizontal="center" vertical="center"/>
    </xf>
    <xf numFmtId="177" fontId="303" fillId="27" borderId="3" xfId="0" applyNumberFormat="1" applyFont="1" applyFill="1" applyBorder="1" applyAlignment="1">
      <alignment vertical="center"/>
    </xf>
    <xf numFmtId="177" fontId="303" fillId="27" borderId="1" xfId="0" applyNumberFormat="1" applyFont="1" applyFill="1" applyBorder="1" applyAlignment="1">
      <alignment vertical="center"/>
    </xf>
    <xf numFmtId="177" fontId="303" fillId="27" borderId="24" xfId="0" applyNumberFormat="1" applyFont="1" applyFill="1" applyBorder="1">
      <alignment vertical="center"/>
    </xf>
    <xf numFmtId="177" fontId="303" fillId="27" borderId="23" xfId="0" applyNumberFormat="1" applyFont="1" applyFill="1" applyBorder="1">
      <alignment vertical="center"/>
    </xf>
    <xf numFmtId="177" fontId="303" fillId="27" borderId="1" xfId="0" applyNumberFormat="1" applyFont="1" applyFill="1" applyBorder="1">
      <alignment vertical="center"/>
    </xf>
    <xf numFmtId="177" fontId="303" fillId="27" borderId="3" xfId="0" applyNumberFormat="1" applyFont="1" applyFill="1" applyBorder="1">
      <alignment vertical="center"/>
    </xf>
    <xf numFmtId="0" fontId="303" fillId="0" borderId="86" xfId="0" applyFont="1" applyBorder="1" applyAlignment="1">
      <alignment horizontal="center" vertical="center"/>
    </xf>
    <xf numFmtId="177" fontId="303" fillId="0" borderId="3" xfId="0" applyNumberFormat="1" applyFont="1" applyBorder="1" applyAlignment="1">
      <alignment vertical="center"/>
    </xf>
    <xf numFmtId="0" fontId="303" fillId="0" borderId="96" xfId="0" applyFont="1" applyBorder="1" applyAlignment="1">
      <alignment horizontal="center" vertical="center"/>
    </xf>
    <xf numFmtId="177" fontId="303" fillId="0" borderId="66" xfId="0" applyNumberFormat="1" applyFont="1" applyBorder="1" applyAlignment="1">
      <alignment vertical="center"/>
    </xf>
    <xf numFmtId="177" fontId="303" fillId="0" borderId="32" xfId="0" applyNumberFormat="1" applyFont="1" applyBorder="1" applyAlignment="1">
      <alignment vertical="center"/>
    </xf>
    <xf numFmtId="177" fontId="303" fillId="5" borderId="32" xfId="0" applyNumberFormat="1" applyFont="1" applyFill="1" applyBorder="1" applyAlignment="1">
      <alignment vertical="center"/>
    </xf>
    <xf numFmtId="177" fontId="303" fillId="0" borderId="49" xfId="0" applyNumberFormat="1" applyFont="1" applyBorder="1">
      <alignment vertical="center"/>
    </xf>
    <xf numFmtId="177" fontId="303" fillId="0" borderId="25" xfId="0" applyNumberFormat="1" applyFont="1" applyBorder="1">
      <alignment vertical="center"/>
    </xf>
    <xf numFmtId="177" fontId="303" fillId="5" borderId="32" xfId="0" applyNumberFormat="1" applyFont="1" applyFill="1" applyBorder="1">
      <alignment vertical="center"/>
    </xf>
    <xf numFmtId="177" fontId="303" fillId="0" borderId="32" xfId="0" applyNumberFormat="1" applyFont="1" applyBorder="1">
      <alignment vertical="center"/>
    </xf>
    <xf numFmtId="177" fontId="303" fillId="0" borderId="66" xfId="0" applyNumberFormat="1" applyFont="1" applyBorder="1">
      <alignment vertical="center"/>
    </xf>
    <xf numFmtId="177" fontId="303" fillId="5" borderId="66" xfId="0" applyNumberFormat="1" applyFont="1" applyFill="1" applyBorder="1">
      <alignment vertical="center"/>
    </xf>
    <xf numFmtId="9" fontId="303" fillId="0" borderId="49" xfId="17" applyFont="1" applyBorder="1">
      <alignment vertical="center"/>
    </xf>
    <xf numFmtId="2" fontId="0" fillId="0" borderId="0" xfId="0" applyNumberFormat="1">
      <alignment vertical="center"/>
    </xf>
    <xf numFmtId="199" fontId="0" fillId="0" borderId="0" xfId="0" applyNumberFormat="1">
      <alignment vertical="center"/>
    </xf>
    <xf numFmtId="1" fontId="0" fillId="0" borderId="0" xfId="0" applyNumberFormat="1">
      <alignment vertical="center"/>
    </xf>
    <xf numFmtId="0" fontId="302" fillId="0" borderId="0" xfId="0" applyFont="1" applyAlignment="1">
      <alignment vertical="center" wrapText="1"/>
    </xf>
    <xf numFmtId="181" fontId="47" fillId="5" borderId="10" xfId="0" applyNumberFormat="1" applyFont="1" applyFill="1" applyBorder="1" applyAlignment="1" applyProtection="1">
      <alignment horizontal="center" vertical="center"/>
      <protection locked="0"/>
    </xf>
    <xf numFmtId="181" fontId="47" fillId="5" borderId="8" xfId="0" applyNumberFormat="1" applyFont="1" applyFill="1" applyBorder="1" applyAlignment="1" applyProtection="1">
      <alignment horizontal="center" vertical="center"/>
      <protection locked="0"/>
    </xf>
    <xf numFmtId="181" fontId="47" fillId="7" borderId="24" xfId="0" applyNumberFormat="1" applyFont="1" applyFill="1" applyBorder="1" applyAlignment="1" applyProtection="1">
      <alignment horizontal="center" vertical="center"/>
      <protection locked="0"/>
    </xf>
    <xf numFmtId="179" fontId="47" fillId="3" borderId="5"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177" fontId="0" fillId="0" borderId="0" xfId="0" applyNumberFormat="1">
      <alignment vertical="center"/>
    </xf>
    <xf numFmtId="0" fontId="305" fillId="0" borderId="0" xfId="0" applyFont="1" applyFill="1" applyBorder="1" applyAlignment="1">
      <alignment horizontal="center" vertical="center"/>
    </xf>
    <xf numFmtId="0" fontId="114" fillId="0" borderId="0" xfId="0" applyFont="1" applyFill="1" applyBorder="1" applyAlignment="1">
      <alignment horizontal="center" vertical="center"/>
    </xf>
    <xf numFmtId="0" fontId="306" fillId="0" borderId="0" xfId="0" applyFont="1" applyAlignment="1">
      <alignment horizontal="center" vertical="center" wrapText="1"/>
    </xf>
    <xf numFmtId="1" fontId="306" fillId="0" borderId="0" xfId="0" applyNumberFormat="1" applyFont="1" applyAlignment="1">
      <alignment horizontal="center" vertical="center" wrapText="1"/>
    </xf>
    <xf numFmtId="0" fontId="306" fillId="0" borderId="0" xfId="0" applyFont="1" applyAlignment="1">
      <alignment vertical="center" wrapText="1"/>
    </xf>
    <xf numFmtId="0" fontId="307" fillId="0" borderId="0" xfId="0" applyFont="1" applyAlignment="1">
      <alignment vertical="center" wrapText="1"/>
    </xf>
    <xf numFmtId="0" fontId="307" fillId="0" borderId="1" xfId="0" applyFont="1" applyBorder="1" applyAlignment="1">
      <alignment horizontal="center" vertical="center" wrapText="1"/>
    </xf>
    <xf numFmtId="0" fontId="307" fillId="0" borderId="1" xfId="0" applyFont="1" applyBorder="1" applyAlignment="1">
      <alignment vertical="center" wrapText="1"/>
    </xf>
    <xf numFmtId="0" fontId="306" fillId="0" borderId="1" xfId="0" applyFont="1" applyBorder="1" applyAlignment="1">
      <alignment horizontal="center" vertical="center" wrapText="1"/>
    </xf>
    <xf numFmtId="1" fontId="306" fillId="0" borderId="1" xfId="0" applyNumberFormat="1" applyFont="1" applyBorder="1" applyAlignment="1">
      <alignment horizontal="center" vertical="center" wrapText="1"/>
    </xf>
    <xf numFmtId="200" fontId="306" fillId="0" borderId="1" xfId="0" applyNumberFormat="1" applyFont="1" applyBorder="1" applyAlignment="1">
      <alignment horizontal="center" vertical="center" wrapText="1"/>
    </xf>
    <xf numFmtId="0" fontId="306" fillId="0" borderId="1" xfId="0" applyFont="1" applyBorder="1" applyAlignment="1">
      <alignment vertical="center" wrapText="1"/>
    </xf>
    <xf numFmtId="1" fontId="307" fillId="0" borderId="1" xfId="0" applyNumberFormat="1" applyFont="1" applyBorder="1" applyAlignment="1">
      <alignment horizontal="center" vertical="center" wrapText="1"/>
    </xf>
    <xf numFmtId="186" fontId="307" fillId="0" borderId="1" xfId="0" applyNumberFormat="1" applyFont="1" applyBorder="1" applyAlignment="1">
      <alignment horizontal="center" vertical="center" wrapText="1"/>
    </xf>
    <xf numFmtId="9" fontId="306" fillId="0" borderId="1" xfId="0" applyNumberFormat="1" applyFont="1" applyBorder="1" applyAlignment="1">
      <alignment horizontal="center" vertical="center" wrapText="1"/>
    </xf>
    <xf numFmtId="9" fontId="307" fillId="0" borderId="1" xfId="0" applyNumberFormat="1" applyFont="1" applyBorder="1" applyAlignment="1">
      <alignment horizontal="center" vertical="center" wrapText="1"/>
    </xf>
    <xf numFmtId="200" fontId="307" fillId="0" borderId="1" xfId="0" applyNumberFormat="1" applyFont="1" applyBorder="1" applyAlignment="1">
      <alignment horizontal="center" vertical="center" wrapText="1"/>
    </xf>
    <xf numFmtId="10" fontId="307" fillId="0" borderId="1" xfId="0" applyNumberFormat="1" applyFont="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2" fillId="7" borderId="1" xfId="0" applyFont="1" applyFill="1" applyBorder="1" applyAlignment="1">
      <alignment horizontal="left" vertical="center" wrapText="1"/>
    </xf>
    <xf numFmtId="0" fontId="95" fillId="0" borderId="1" xfId="0" applyFont="1" applyBorder="1" applyAlignment="1">
      <alignment horizontal="center" vertical="center"/>
    </xf>
    <xf numFmtId="0" fontId="0" fillId="0" borderId="0" xfId="0" applyAlignment="1">
      <alignment horizontal="center" vertical="center"/>
    </xf>
    <xf numFmtId="196" fontId="272" fillId="7" borderId="1" xfId="0" applyNumberFormat="1" applyFont="1" applyFill="1" applyBorder="1" applyAlignment="1">
      <alignment horizontal="left" vertical="center" wrapText="1"/>
    </xf>
    <xf numFmtId="198" fontId="272" fillId="7" borderId="1" xfId="0" applyNumberFormat="1" applyFont="1" applyFill="1" applyBorder="1" applyAlignment="1" applyProtection="1">
      <alignment horizontal="left" vertical="center" wrapText="1"/>
      <protection locked="0"/>
    </xf>
    <xf numFmtId="0" fontId="303" fillId="26" borderId="10" xfId="0" applyFont="1" applyFill="1" applyBorder="1" applyAlignment="1">
      <alignment horizontal="center" vertical="center"/>
    </xf>
    <xf numFmtId="0" fontId="303" fillId="26" borderId="24" xfId="0" applyFont="1" applyFill="1" applyBorder="1" applyAlignment="1">
      <alignment horizontal="center" vertical="center"/>
    </xf>
    <xf numFmtId="0" fontId="303" fillId="26" borderId="61" xfId="0" applyFont="1" applyFill="1" applyBorder="1" applyAlignment="1">
      <alignment horizontal="center" vertical="center"/>
    </xf>
    <xf numFmtId="0" fontId="303" fillId="26" borderId="30" xfId="0" applyFont="1" applyFill="1" applyBorder="1" applyAlignment="1">
      <alignment horizontal="center" vertical="center" wrapText="1"/>
    </xf>
    <xf numFmtId="0" fontId="303" fillId="26" borderId="3" xfId="0" applyFont="1" applyFill="1" applyBorder="1" applyAlignment="1">
      <alignment horizontal="center" vertical="center" wrapText="1"/>
    </xf>
    <xf numFmtId="0" fontId="303" fillId="26" borderId="22" xfId="0" applyFont="1" applyFill="1" applyBorder="1" applyAlignment="1">
      <alignment horizontal="center" vertical="center" wrapText="1"/>
    </xf>
    <xf numFmtId="0" fontId="303" fillId="26" borderId="10" xfId="0" applyFont="1" applyFill="1" applyBorder="1" applyAlignment="1">
      <alignment horizontal="center" vertical="center" wrapText="1"/>
    </xf>
    <xf numFmtId="0" fontId="303" fillId="26" borderId="24" xfId="0" applyFont="1" applyFill="1" applyBorder="1" applyAlignment="1">
      <alignment horizontal="center" vertical="center" wrapText="1"/>
    </xf>
    <xf numFmtId="0" fontId="303" fillId="26" borderId="61" xfId="0" applyFont="1" applyFill="1" applyBorder="1" applyAlignment="1">
      <alignment horizontal="center" vertical="center" wrapText="1"/>
    </xf>
    <xf numFmtId="0" fontId="303" fillId="26" borderId="3" xfId="0" applyFont="1" applyFill="1" applyBorder="1" applyAlignment="1">
      <alignment horizontal="center" vertical="center"/>
    </xf>
    <xf numFmtId="0" fontId="303" fillId="26" borderId="1" xfId="0" applyFont="1" applyFill="1" applyBorder="1" applyAlignment="1">
      <alignment horizontal="center" vertical="center"/>
    </xf>
    <xf numFmtId="0" fontId="303" fillId="26" borderId="23" xfId="0" applyFont="1" applyFill="1" applyBorder="1" applyAlignment="1">
      <alignment horizontal="center" vertical="center"/>
    </xf>
    <xf numFmtId="0" fontId="303" fillId="26" borderId="95" xfId="0" applyFont="1" applyFill="1" applyBorder="1" applyAlignment="1">
      <alignment horizontal="center" vertical="center"/>
    </xf>
    <xf numFmtId="0" fontId="303" fillId="26" borderId="86" xfId="0" applyFont="1" applyFill="1" applyBorder="1" applyAlignment="1">
      <alignment horizontal="center" vertical="center"/>
    </xf>
    <xf numFmtId="0" fontId="303" fillId="26" borderId="96" xfId="0" applyFont="1" applyFill="1" applyBorder="1" applyAlignment="1">
      <alignment horizontal="center" vertical="center"/>
    </xf>
    <xf numFmtId="0" fontId="303" fillId="26" borderId="30" xfId="0" applyFont="1" applyFill="1" applyBorder="1" applyAlignment="1">
      <alignment horizontal="center" vertical="center"/>
    </xf>
    <xf numFmtId="0" fontId="303" fillId="26" borderId="9" xfId="0" applyFont="1" applyFill="1" applyBorder="1" applyAlignment="1">
      <alignment horizontal="center" vertical="center"/>
    </xf>
    <xf numFmtId="0" fontId="303" fillId="26" borderId="6" xfId="0" applyFont="1" applyFill="1" applyBorder="1" applyAlignment="1">
      <alignment horizontal="center" vertical="center"/>
    </xf>
    <xf numFmtId="0" fontId="275" fillId="26" borderId="19" xfId="0" applyFont="1" applyFill="1" applyBorder="1" applyAlignment="1">
      <alignment horizontal="center" vertical="center"/>
    </xf>
    <xf numFmtId="0" fontId="275" fillId="26" borderId="39" xfId="0" applyFont="1" applyFill="1" applyBorder="1" applyAlignment="1">
      <alignment horizontal="center" vertical="center"/>
    </xf>
    <xf numFmtId="0" fontId="275" fillId="26" borderId="60" xfId="0" applyFont="1" applyFill="1" applyBorder="1" applyAlignment="1">
      <alignment horizontal="center" vertical="center"/>
    </xf>
    <xf numFmtId="0" fontId="275" fillId="26" borderId="7" xfId="0" applyFont="1" applyFill="1" applyBorder="1" applyAlignment="1">
      <alignment horizontal="center" vertical="center"/>
    </xf>
    <xf numFmtId="0" fontId="303" fillId="26" borderId="9" xfId="0" applyFont="1" applyFill="1" applyBorder="1" applyAlignment="1">
      <alignment horizontal="center" vertical="center" wrapText="1"/>
    </xf>
    <xf numFmtId="0" fontId="303" fillId="26" borderId="1" xfId="0" applyFont="1" applyFill="1" applyBorder="1" applyAlignment="1">
      <alignment horizontal="center" vertical="center" wrapText="1"/>
    </xf>
    <xf numFmtId="0" fontId="303" fillId="26" borderId="13" xfId="0" applyFont="1" applyFill="1" applyBorder="1" applyAlignment="1">
      <alignment horizontal="center" vertical="center" wrapText="1"/>
    </xf>
    <xf numFmtId="179" fontId="291" fillId="24" borderId="5" xfId="0" applyNumberFormat="1" applyFont="1" applyFill="1" applyBorder="1" applyAlignment="1">
      <alignment horizontal="center" vertical="center" wrapText="1"/>
    </xf>
    <xf numFmtId="179" fontId="291" fillId="24" borderId="3" xfId="0" applyNumberFormat="1" applyFont="1" applyFill="1" applyBorder="1" applyAlignment="1">
      <alignment horizontal="center" vertical="center" wrapText="1"/>
    </xf>
    <xf numFmtId="179" fontId="291" fillId="24" borderId="1" xfId="0" applyNumberFormat="1" applyFont="1" applyFill="1" applyBorder="1" applyAlignment="1">
      <alignment horizontal="center" vertical="center" wrapText="1"/>
    </xf>
    <xf numFmtId="0" fontId="296" fillId="0" borderId="1" xfId="0" applyFont="1" applyFill="1" applyBorder="1">
      <alignment vertical="center"/>
    </xf>
    <xf numFmtId="188" fontId="296" fillId="0" borderId="13" xfId="0" applyNumberFormat="1" applyFont="1" applyFill="1" applyBorder="1" applyAlignment="1">
      <alignment horizontal="center" vertical="center" wrapText="1"/>
    </xf>
    <xf numFmtId="188" fontId="296" fillId="0" borderId="15" xfId="0" applyNumberFormat="1" applyFont="1" applyFill="1" applyBorder="1" applyAlignment="1">
      <alignment horizontal="center" vertical="center" wrapText="1"/>
    </xf>
    <xf numFmtId="188" fontId="296" fillId="0" borderId="2" xfId="0" applyNumberFormat="1" applyFont="1" applyFill="1" applyBorder="1" applyAlignment="1">
      <alignment horizontal="center" vertical="center" wrapText="1"/>
    </xf>
    <xf numFmtId="188" fontId="296" fillId="0" borderId="1" xfId="0" applyNumberFormat="1" applyFont="1" applyFill="1" applyBorder="1" applyAlignment="1">
      <alignment horizontal="center" vertical="center" wrapText="1"/>
    </xf>
    <xf numFmtId="188" fontId="296" fillId="0" borderId="1" xfId="0" applyNumberFormat="1" applyFont="1" applyFill="1" applyBorder="1" applyAlignment="1">
      <alignment horizontal="left" vertical="center" wrapText="1"/>
    </xf>
    <xf numFmtId="0" fontId="95" fillId="0" borderId="5" xfId="0" applyFont="1" applyBorder="1" applyAlignment="1">
      <alignment horizontal="center" vertical="center"/>
    </xf>
    <xf numFmtId="0" fontId="95" fillId="0" borderId="3" xfId="0" applyFont="1" applyBorder="1" applyAlignment="1">
      <alignment horizontal="center" vertical="center"/>
    </xf>
    <xf numFmtId="0" fontId="295" fillId="0" borderId="5" xfId="0" applyFont="1" applyFill="1" applyBorder="1" applyAlignment="1">
      <alignment horizontal="left" vertical="center"/>
    </xf>
    <xf numFmtId="0" fontId="295" fillId="0" borderId="54" xfId="0" applyFont="1" applyFill="1" applyBorder="1" applyAlignment="1">
      <alignment horizontal="left" vertical="center"/>
    </xf>
    <xf numFmtId="0" fontId="295" fillId="0" borderId="3" xfId="0" applyFont="1" applyFill="1" applyBorder="1" applyAlignment="1">
      <alignment horizontal="left" vertical="center"/>
    </xf>
    <xf numFmtId="0" fontId="296" fillId="0" borderId="1" xfId="0" applyFont="1" applyFill="1" applyBorder="1" applyAlignment="1">
      <alignment horizontal="center" vertical="center"/>
    </xf>
    <xf numFmtId="188" fontId="296" fillId="0" borderId="1" xfId="0" applyNumberFormat="1" applyFont="1" applyFill="1" applyBorder="1" applyAlignment="1">
      <alignmen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0" fillId="5" borderId="0" xfId="0" applyFill="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2" fillId="22" borderId="176" xfId="0"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2" fillId="22" borderId="176" xfId="0" applyFont="1" applyFill="1" applyBorder="1" applyAlignment="1">
      <alignment horizontal="center" vertical="center"/>
    </xf>
    <xf numFmtId="0" fontId="272" fillId="22" borderId="181" xfId="0" applyFont="1" applyFill="1" applyBorder="1" applyAlignment="1">
      <alignment horizontal="center" vertical="center"/>
    </xf>
    <xf numFmtId="0" fontId="272" fillId="22" borderId="177" xfId="0" applyFont="1" applyFill="1" applyBorder="1" applyAlignment="1">
      <alignment horizontal="center" vertical="center"/>
    </xf>
    <xf numFmtId="0" fontId="272" fillId="22" borderId="181" xfId="0" applyFont="1" applyFill="1" applyBorder="1" applyAlignment="1">
      <alignment horizontal="center" vertical="center" wrapText="1"/>
    </xf>
    <xf numFmtId="0" fontId="272" fillId="22" borderId="185" xfId="0" applyFont="1" applyFill="1" applyBorder="1" applyAlignment="1">
      <alignment horizontal="center" vertical="center" wrapText="1"/>
    </xf>
    <xf numFmtId="0" fontId="272" fillId="22" borderId="183" xfId="0" applyFont="1" applyFill="1" applyBorder="1" applyAlignment="1">
      <alignment horizontal="center" vertical="center" wrapText="1"/>
    </xf>
    <xf numFmtId="0" fontId="272" fillId="22" borderId="178"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0" borderId="0" xfId="0" applyAlignment="1">
      <alignment horizontal="center" vertical="center" wrapText="1"/>
    </xf>
    <xf numFmtId="0" fontId="299" fillId="0" borderId="0" xfId="0" applyFont="1" applyAlignment="1">
      <alignment horizontal="center" vertical="center" wrapText="1"/>
    </xf>
    <xf numFmtId="0" fontId="285" fillId="22" borderId="27" xfId="0" applyFont="1" applyFill="1" applyBorder="1" applyAlignment="1">
      <alignment horizontal="center" vertical="center" wrapText="1"/>
    </xf>
    <xf numFmtId="0" fontId="285" fillId="22" borderId="80" xfId="0" applyFont="1" applyFill="1" applyBorder="1" applyAlignment="1">
      <alignment horizontal="center" vertical="center" wrapText="1"/>
    </xf>
    <xf numFmtId="0" fontId="285" fillId="22" borderId="81" xfId="0" applyFont="1" applyFill="1" applyBorder="1" applyAlignment="1">
      <alignment horizontal="center" vertical="center" wrapText="1"/>
    </xf>
    <xf numFmtId="0" fontId="285" fillId="22" borderId="16" xfId="0" applyFont="1" applyFill="1" applyBorder="1" applyAlignment="1">
      <alignment horizontal="center" vertical="center" wrapText="1"/>
    </xf>
    <xf numFmtId="0" fontId="285" fillId="22" borderId="31" xfId="0" applyFont="1" applyFill="1" applyBorder="1" applyAlignment="1">
      <alignment horizontal="center" vertical="center" wrapText="1"/>
    </xf>
    <xf numFmtId="0" fontId="285" fillId="22" borderId="42" xfId="0" applyFont="1" applyFill="1" applyBorder="1" applyAlignment="1">
      <alignment horizontal="center" vertical="center" wrapText="1"/>
    </xf>
    <xf numFmtId="0" fontId="285" fillId="22" borderId="43" xfId="0" applyFont="1" applyFill="1" applyBorder="1" applyAlignment="1">
      <alignment horizontal="center" vertical="center" wrapText="1"/>
    </xf>
    <xf numFmtId="0" fontId="286" fillId="23" borderId="27" xfId="0" applyFont="1" applyFill="1" applyBorder="1" applyAlignment="1">
      <alignment horizontal="center" vertical="center" wrapText="1"/>
    </xf>
    <xf numFmtId="0" fontId="286" fillId="23" borderId="80" xfId="0" applyFont="1" applyFill="1" applyBorder="1" applyAlignment="1">
      <alignment horizontal="center" vertical="center" wrapText="1"/>
    </xf>
    <xf numFmtId="0" fontId="286" fillId="23" borderId="81" xfId="0" applyFont="1" applyFill="1" applyBorder="1" applyAlignment="1">
      <alignment horizontal="center" vertical="center" wrapText="1"/>
    </xf>
    <xf numFmtId="0" fontId="273" fillId="0" borderId="176" xfId="0" applyFont="1" applyBorder="1" applyAlignment="1">
      <alignment horizontal="center" vertical="center" wrapText="1"/>
    </xf>
    <xf numFmtId="0" fontId="273" fillId="0" borderId="177" xfId="0" applyFont="1" applyBorder="1" applyAlignment="1">
      <alignment horizontal="center" vertical="center" wrapText="1"/>
    </xf>
    <xf numFmtId="0" fontId="282" fillId="0" borderId="176" xfId="0" applyFont="1" applyBorder="1" applyAlignment="1">
      <alignment horizontal="left" vertical="center" wrapText="1"/>
    </xf>
    <xf numFmtId="0" fontId="282" fillId="0" borderId="177" xfId="0" applyFont="1" applyBorder="1" applyAlignment="1">
      <alignment horizontal="left" vertical="center" wrapText="1"/>
    </xf>
    <xf numFmtId="0" fontId="280" fillId="22" borderId="176" xfId="0" applyFont="1" applyFill="1" applyBorder="1" applyAlignment="1">
      <alignment horizontal="center" vertical="center" wrapText="1"/>
    </xf>
    <xf numFmtId="0" fontId="280" fillId="22" borderId="177" xfId="0" applyFont="1" applyFill="1" applyBorder="1" applyAlignment="1">
      <alignment horizontal="center" vertical="center" wrapText="1"/>
    </xf>
    <xf numFmtId="0" fontId="272" fillId="0" borderId="63" xfId="0" applyFont="1" applyBorder="1" applyAlignment="1">
      <alignment horizontal="center" vertical="center" wrapText="1"/>
    </xf>
    <xf numFmtId="0" fontId="272" fillId="0" borderId="64" xfId="0" applyFont="1" applyBorder="1" applyAlignment="1">
      <alignment horizontal="center" vertical="center" wrapText="1"/>
    </xf>
    <xf numFmtId="0" fontId="272" fillId="0" borderId="65" xfId="0" applyFont="1" applyBorder="1" applyAlignment="1">
      <alignment horizontal="center" vertical="center" wrapText="1"/>
    </xf>
    <xf numFmtId="0" fontId="277" fillId="0" borderId="63" xfId="0" applyFont="1" applyBorder="1" applyAlignment="1">
      <alignment horizontal="center" vertical="center" wrapText="1"/>
    </xf>
    <xf numFmtId="0" fontId="277" fillId="0" borderId="64" xfId="0" applyFont="1" applyBorder="1" applyAlignment="1">
      <alignment horizontal="center" vertical="center" wrapText="1"/>
    </xf>
    <xf numFmtId="0" fontId="277" fillId="0" borderId="65" xfId="0" applyFont="1" applyBorder="1" applyAlignment="1">
      <alignment horizontal="center" vertical="center" wrapText="1"/>
    </xf>
    <xf numFmtId="0" fontId="95" fillId="0" borderId="47" xfId="0" applyFont="1" applyBorder="1" applyAlignment="1">
      <alignment horizontal="center" vertical="center"/>
    </xf>
    <xf numFmtId="0" fontId="0" fillId="0" borderId="47" xfId="0" applyBorder="1" applyAlignment="1">
      <alignment horizontal="center" vertical="center"/>
    </xf>
    <xf numFmtId="0" fontId="273" fillId="0" borderId="27" xfId="0" applyFont="1" applyBorder="1" applyAlignment="1">
      <alignment horizontal="center" vertical="center" wrapText="1"/>
    </xf>
    <xf numFmtId="0" fontId="273" fillId="0" borderId="80" xfId="0" applyFont="1" applyBorder="1" applyAlignment="1">
      <alignment horizontal="center" vertical="center" wrapText="1"/>
    </xf>
    <xf numFmtId="0" fontId="273" fillId="0" borderId="81" xfId="0" applyFont="1" applyBorder="1" applyAlignment="1">
      <alignment horizontal="center" vertical="center" wrapText="1"/>
    </xf>
    <xf numFmtId="0" fontId="276" fillId="0" borderId="63" xfId="0" applyFont="1" applyBorder="1" applyAlignment="1">
      <alignment horizontal="center" vertical="center" wrapText="1"/>
    </xf>
    <xf numFmtId="0" fontId="276" fillId="0" borderId="65" xfId="0" applyFont="1" applyBorder="1" applyAlignment="1">
      <alignment horizontal="center" vertical="center" wrapText="1"/>
    </xf>
    <xf numFmtId="0" fontId="273" fillId="5" borderId="27" xfId="0" applyFont="1" applyFill="1" applyBorder="1" applyAlignment="1">
      <alignment horizontal="center" vertical="center" wrapText="1"/>
    </xf>
    <xf numFmtId="0" fontId="273" fillId="5" borderId="81" xfId="0" applyFont="1" applyFill="1" applyBorder="1" applyAlignment="1">
      <alignment horizontal="center" vertical="center" wrapText="1"/>
    </xf>
    <xf numFmtId="0" fontId="272" fillId="5" borderId="63" xfId="0" applyFont="1" applyFill="1" applyBorder="1" applyAlignment="1">
      <alignment horizontal="center" vertical="center" wrapText="1"/>
    </xf>
    <xf numFmtId="0" fontId="272" fillId="5" borderId="65" xfId="0" applyFont="1" applyFill="1" applyBorder="1" applyAlignment="1">
      <alignment horizontal="center" vertical="center" wrapText="1"/>
    </xf>
    <xf numFmtId="0" fontId="275" fillId="0" borderId="27" xfId="0" applyFont="1" applyBorder="1" applyAlignment="1">
      <alignment horizontal="center" vertical="center" wrapText="1"/>
    </xf>
    <xf numFmtId="0" fontId="275" fillId="0" borderId="80" xfId="0" applyFont="1" applyBorder="1" applyAlignment="1">
      <alignment horizontal="center" vertical="center" wrapText="1"/>
    </xf>
    <xf numFmtId="0" fontId="275" fillId="0" borderId="81" xfId="0" applyFont="1" applyBorder="1" applyAlignment="1">
      <alignment horizontal="center" vertical="center" wrapText="1"/>
    </xf>
    <xf numFmtId="0" fontId="270" fillId="22" borderId="27" xfId="0" applyFont="1" applyFill="1" applyBorder="1" applyAlignment="1">
      <alignment horizontal="center" vertical="center" wrapText="1"/>
    </xf>
    <xf numFmtId="0" fontId="270" fillId="22" borderId="81" xfId="0" applyFont="1" applyFill="1" applyBorder="1" applyAlignment="1">
      <alignment horizontal="center" vertical="center" wrapText="1"/>
    </xf>
    <xf numFmtId="0" fontId="272" fillId="22" borderId="16" xfId="0" applyFont="1" applyFill="1" applyBorder="1" applyAlignment="1">
      <alignment horizontal="center" vertical="center" wrapText="1"/>
    </xf>
    <xf numFmtId="0" fontId="272" fillId="22" borderId="19" xfId="0" applyFont="1" applyFill="1" applyBorder="1" applyAlignment="1">
      <alignment horizontal="center" vertical="center" wrapText="1"/>
    </xf>
    <xf numFmtId="0" fontId="272" fillId="22" borderId="31" xfId="0" applyFont="1" applyFill="1" applyBorder="1" applyAlignment="1">
      <alignment horizontal="center" vertical="center" wrapText="1"/>
    </xf>
    <xf numFmtId="0" fontId="272" fillId="22" borderId="42" xfId="0" applyFont="1" applyFill="1" applyBorder="1" applyAlignment="1">
      <alignment horizontal="center" vertical="center" wrapText="1"/>
    </xf>
    <xf numFmtId="0" fontId="272" fillId="22" borderId="47" xfId="0" applyFont="1" applyFill="1" applyBorder="1" applyAlignment="1">
      <alignment horizontal="center" vertical="center" wrapText="1"/>
    </xf>
    <xf numFmtId="0" fontId="272" fillId="22" borderId="43" xfId="0" applyFont="1" applyFill="1" applyBorder="1" applyAlignment="1">
      <alignment horizontal="center" vertical="center" wrapText="1"/>
    </xf>
    <xf numFmtId="0" fontId="271" fillId="22" borderId="63" xfId="0" applyFont="1" applyFill="1" applyBorder="1" applyAlignment="1">
      <alignment horizontal="center" vertical="center" wrapText="1"/>
    </xf>
    <xf numFmtId="0" fontId="271" fillId="22" borderId="64" xfId="0" applyFont="1" applyFill="1" applyBorder="1" applyAlignment="1">
      <alignment horizontal="center" vertical="center" wrapText="1"/>
    </xf>
    <xf numFmtId="0" fontId="271" fillId="22" borderId="65" xfId="0" applyFont="1" applyFill="1" applyBorder="1" applyAlignment="1">
      <alignment horizontal="center" vertical="center" wrapText="1"/>
    </xf>
    <xf numFmtId="0" fontId="272" fillId="0" borderId="27" xfId="0" applyFont="1" applyBorder="1" applyAlignment="1">
      <alignment horizontal="center" vertical="center" wrapText="1"/>
    </xf>
    <xf numFmtId="0" fontId="272" fillId="0" borderId="81" xfId="0" applyFont="1" applyBorder="1" applyAlignment="1">
      <alignment horizontal="center" vertical="center" wrapText="1"/>
    </xf>
    <xf numFmtId="0" fontId="273" fillId="5" borderId="80" xfId="0" applyFont="1" applyFill="1" applyBorder="1" applyAlignment="1">
      <alignment horizontal="center" vertical="center" wrapText="1"/>
    </xf>
    <xf numFmtId="0" fontId="272" fillId="5" borderId="27" xfId="0" applyFont="1" applyFill="1" applyBorder="1" applyAlignment="1">
      <alignment horizontal="center" vertical="center" wrapText="1"/>
    </xf>
    <xf numFmtId="0" fontId="272" fillId="5" borderId="80" xfId="0" applyFont="1" applyFill="1" applyBorder="1" applyAlignment="1">
      <alignment horizontal="center" vertical="center" wrapText="1"/>
    </xf>
    <xf numFmtId="0" fontId="272" fillId="5" borderId="81" xfId="0" applyFont="1" applyFill="1" applyBorder="1" applyAlignment="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7">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hidden="1"/>
    <cellStyle name="超链接" xfId="21" builtinId="8" hidden="1"/>
    <cellStyle name="超链接" xfId="23" builtinId="8" hidden="1"/>
    <cellStyle name="超链接" xfId="25" builtinId="8" hidden="1"/>
    <cellStyle name="已访问的超链接" xfId="20" builtinId="9" hidden="1"/>
    <cellStyle name="已访问的超链接" xfId="22" builtinId="9" hidden="1"/>
    <cellStyle name="已访问的超链接" xfId="24" builtinId="9" hidden="1"/>
    <cellStyle name="已访问的超链接" xfId="26" builtinId="9" hidden="1"/>
  </cellStyles>
  <dxfs count="199">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495300</xdr:colOff>
      <xdr:row>28</xdr:row>
      <xdr:rowOff>144780</xdr:rowOff>
    </xdr:from>
    <xdr:to>
      <xdr:col>36</xdr:col>
      <xdr:colOff>227128</xdr:colOff>
      <xdr:row>57</xdr:row>
      <xdr:rowOff>408343</xdr:rowOff>
    </xdr:to>
    <xdr:pic>
      <xdr:nvPicPr>
        <xdr:cNvPr id="2" name="图片 1"/>
        <xdr:cNvPicPr>
          <a:picLocks noChangeAspect="1"/>
        </xdr:cNvPicPr>
      </xdr:nvPicPr>
      <xdr:blipFill>
        <a:blip xmlns:r="http://schemas.openxmlformats.org/officeDocument/2006/relationships" r:embed="rId1"/>
        <a:stretch>
          <a:fillRect/>
        </a:stretch>
      </xdr:blipFill>
      <xdr:spPr>
        <a:xfrm>
          <a:off x="16184880" y="3246120"/>
          <a:ext cx="11771428" cy="9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305789</xdr:colOff>
      <xdr:row>53</xdr:row>
      <xdr:rowOff>170771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770620"/>
          <a:ext cx="7323809" cy="54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228038</xdr:colOff>
      <xdr:row>31</xdr:row>
      <xdr:rowOff>100273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95238"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521</v>
      </c>
      <c r="B1" s="1192" t="s">
        <v>600</v>
      </c>
    </row>
    <row r="2" spans="1:2" s="1197" customFormat="1" ht="16.2"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6.2" thickBot="1">
      <c r="A5" s="1201" t="s">
        <v>525</v>
      </c>
      <c r="B5" s="1202" t="str">
        <f>'预评函-封皮'!B49</f>
        <v>康正预评字号</v>
      </c>
    </row>
    <row r="6" spans="1:2" s="1197" customFormat="1" ht="16.2" thickTop="1">
      <c r="A6" s="1195" t="s">
        <v>526</v>
      </c>
      <c r="B6" s="1196" t="str">
        <f>'预评函-1'!A4</f>
        <v>受贵公司委托，我公司对北京市房地产市场价值进行了预评估。</v>
      </c>
    </row>
    <row r="7" spans="1:2" s="1200" customFormat="1">
      <c r="A7" s="1198" t="s">
        <v>566</v>
      </c>
      <c r="B7" s="1199" t="str">
        <f>'预评函-1'!A7</f>
        <v>估价对象为北京市房地产，为所有。根据《国有土地使用证》[]，估价对象（分摊）出让国有建设用地使用权面积为14060.6356300289平方米，建筑面积为41238平方米。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估价对象为北京市房地产,属开发建设的，该项目尚在开发建设中。根据《国有土地使用证》[]，估价对象（分摊）出让国有建设用地使用权面积为14060.6356300289平方米，规划建筑面积为41238平方米。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2024年8月7日（评估专业人员实地查勘之日）</v>
      </c>
    </row>
    <row r="13" spans="1:2" s="1200" customFormat="1">
      <c r="A13" s="1198" t="s">
        <v>529</v>
      </c>
      <c r="B13" s="1199"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6.2" thickBot="1">
      <c r="A18" s="1201" t="s">
        <v>534</v>
      </c>
      <c r="B18" s="1202" t="str">
        <f>'预评函-1'!A24</f>
        <v>本次评估采用的主估价方法为基准地价系数修正法和基准地价系数修正法。</v>
      </c>
    </row>
    <row r="19" spans="1:2" s="1197" customFormat="1" ht="16.2"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ht="31.2">
      <c r="A42" s="1198" t="s">
        <v>590</v>
      </c>
      <c r="B42" s="1199" t="str">
        <f>'预评函-3'!B2</f>
        <v>建筑面积</v>
      </c>
    </row>
    <row r="43" spans="1:2" s="1200" customFormat="1">
      <c r="A43" s="1198" t="s">
        <v>591</v>
      </c>
      <c r="B43" s="1199">
        <f>'预评函-3'!B4</f>
        <v>41238</v>
      </c>
    </row>
    <row r="44" spans="1:2" s="1200" customFormat="1" ht="31.2">
      <c r="A44" s="1198" t="s">
        <v>575</v>
      </c>
      <c r="B44" s="1199" t="str">
        <f>'预评函-3'!C2</f>
        <v>(分摊)土地面积</v>
      </c>
    </row>
    <row r="45" spans="1:2" s="1200" customFormat="1">
      <c r="A45" s="1198" t="s">
        <v>547</v>
      </c>
      <c r="B45" s="1199">
        <f>'预评函-3'!C4</f>
        <v>14060.635630028937</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6.2" thickBot="1">
      <c r="A57" s="1201" t="s">
        <v>599</v>
      </c>
      <c r="B57" s="1202" t="str">
        <f>'预评函-3'!A6</f>
        <v/>
      </c>
    </row>
    <row r="58" spans="1:2" s="1197" customFormat="1" ht="16.2"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6.2" thickBot="1">
      <c r="A69" s="1201" t="s">
        <v>561</v>
      </c>
      <c r="B69" s="1203">
        <f>'预评函-4'!C31</f>
        <v>42551</v>
      </c>
    </row>
    <row r="70" spans="1:2" ht="16.2" thickTop="1">
      <c r="A70" s="1204" t="s">
        <v>562</v>
      </c>
      <c r="B70" s="1205">
        <f>'预评函-4'!A4</f>
        <v>0</v>
      </c>
    </row>
    <row r="71" spans="1:2">
      <c r="A71" s="1198" t="s">
        <v>563</v>
      </c>
      <c r="B71" s="1199">
        <f>'预评函-4'!B4</f>
        <v>0</v>
      </c>
    </row>
    <row r="72" spans="1:2">
      <c r="A72" s="1198" t="s">
        <v>564</v>
      </c>
      <c r="B72" s="1207">
        <f>'预评函-4'!A5</f>
        <v>0</v>
      </c>
    </row>
    <row r="73" spans="1:2" s="1194" customFormat="1" ht="16.2" thickBot="1">
      <c r="A73" s="1201" t="s">
        <v>565</v>
      </c>
      <c r="B73" s="1202">
        <f>'预评函-4'!B5</f>
        <v>0</v>
      </c>
    </row>
    <row r="74" spans="1:2" ht="16.2"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8"/>
  <cols>
    <col min="1" max="1" width="13.44140625" style="1553" customWidth="1"/>
    <col min="2" max="2" width="23.1093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777343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1.4">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3340</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3341</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3342</v>
      </c>
    </row>
    <row r="8" spans="1:23">
      <c r="A8" s="1543" t="s">
        <v>1026</v>
      </c>
      <c r="B8" s="1543" t="s">
        <v>1027</v>
      </c>
      <c r="C8" s="1544" t="s">
        <v>319</v>
      </c>
      <c r="F8" s="1545" t="s">
        <v>1028</v>
      </c>
      <c r="H8" s="1545" t="s">
        <v>2577</v>
      </c>
      <c r="I8" s="1545" t="s">
        <v>3343</v>
      </c>
    </row>
    <row r="9" spans="1:23">
      <c r="A9" s="1543" t="s">
        <v>1029</v>
      </c>
      <c r="B9" s="1543" t="s">
        <v>1030</v>
      </c>
      <c r="C9" s="1544" t="s">
        <v>320</v>
      </c>
      <c r="F9" s="1545" t="s">
        <v>1031</v>
      </c>
      <c r="H9" s="1545"/>
      <c r="I9" s="1548" t="s">
        <v>3344</v>
      </c>
    </row>
    <row r="10" spans="1:23">
      <c r="A10" s="1543" t="s">
        <v>1032</v>
      </c>
      <c r="B10" s="1543" t="s">
        <v>1033</v>
      </c>
      <c r="C10" s="1544" t="s">
        <v>321</v>
      </c>
      <c r="F10" s="1545" t="s">
        <v>2578</v>
      </c>
      <c r="I10" s="1548" t="s">
        <v>3345</v>
      </c>
    </row>
    <row r="11" spans="1:23">
      <c r="A11" s="1543" t="s">
        <v>1034</v>
      </c>
      <c r="B11" s="1543" t="s">
        <v>1035</v>
      </c>
      <c r="C11" s="1544" t="s">
        <v>322</v>
      </c>
      <c r="F11" s="1545" t="s">
        <v>13</v>
      </c>
      <c r="I11" s="1548" t="s">
        <v>3346</v>
      </c>
    </row>
    <row r="12" spans="1:23">
      <c r="A12" s="1543" t="s">
        <v>1036</v>
      </c>
      <c r="B12" s="1543" t="s">
        <v>1037</v>
      </c>
      <c r="C12" s="1544" t="s">
        <v>323</v>
      </c>
      <c r="I12" s="1548" t="s">
        <v>3347</v>
      </c>
    </row>
    <row r="13" spans="1:23">
      <c r="A13" s="1543" t="s">
        <v>1038</v>
      </c>
      <c r="B13" s="1543" t="s">
        <v>1039</v>
      </c>
      <c r="C13" s="1544" t="s">
        <v>324</v>
      </c>
      <c r="I13" s="1548" t="s">
        <v>3348</v>
      </c>
    </row>
    <row r="14" spans="1:23">
      <c r="A14" s="1543" t="s">
        <v>1040</v>
      </c>
      <c r="B14" s="1543" t="s">
        <v>1041</v>
      </c>
      <c r="C14" s="1545" t="s">
        <v>13</v>
      </c>
      <c r="I14" s="1548" t="s">
        <v>3349</v>
      </c>
    </row>
    <row r="15" spans="1:23">
      <c r="A15" s="1543" t="s">
        <v>1042</v>
      </c>
      <c r="B15" s="1543" t="s">
        <v>1043</v>
      </c>
      <c r="C15" s="1544"/>
      <c r="I15" s="1548" t="s">
        <v>3350</v>
      </c>
    </row>
    <row r="16" spans="1:23">
      <c r="A16" s="1543" t="s">
        <v>1044</v>
      </c>
      <c r="B16" s="1543" t="s">
        <v>312</v>
      </c>
      <c r="C16" s="1544"/>
    </row>
    <row r="17" spans="1:3">
      <c r="A17" s="1543" t="s">
        <v>1045</v>
      </c>
      <c r="B17" s="1543" t="s">
        <v>2292</v>
      </c>
      <c r="C17" s="1544"/>
    </row>
    <row r="18" spans="1:3">
      <c r="A18" s="1543" t="s">
        <v>1046</v>
      </c>
      <c r="B18" s="1543" t="s">
        <v>2433</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6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6"/>
      <c r="B54" s="1551" t="s">
        <v>385</v>
      </c>
      <c r="C54" s="1548" t="s">
        <v>583</v>
      </c>
    </row>
    <row r="55" spans="1:4">
      <c r="A55" s="3666"/>
      <c r="B55" s="1551" t="s">
        <v>386</v>
      </c>
      <c r="C55" s="1548" t="s">
        <v>584</v>
      </c>
    </row>
    <row r="56" spans="1:4">
      <c r="A56" s="3666"/>
      <c r="B56" s="1551" t="s">
        <v>387</v>
      </c>
      <c r="C56" s="1548" t="s">
        <v>588</v>
      </c>
    </row>
    <row r="57" spans="1:4">
      <c r="A57" s="366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09375" defaultRowHeight="13.8"/>
  <cols>
    <col min="1" max="7" width="15.109375" style="3013"/>
    <col min="8" max="8" width="5.44140625" style="3013" customWidth="1"/>
    <col min="9" max="13" width="9.44140625" style="3055" customWidth="1"/>
    <col min="14" max="18" width="9.44140625" style="3013" customWidth="1"/>
    <col min="19" max="16384" width="15.10937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667" t="s">
        <v>2580</v>
      </c>
      <c r="J2" s="3667"/>
      <c r="K2" s="3667"/>
      <c r="L2" s="3667"/>
      <c r="M2" s="3667"/>
      <c r="N2" s="3667"/>
      <c r="O2" s="3667"/>
      <c r="P2" s="3667"/>
      <c r="Q2" s="3667"/>
      <c r="R2" s="3667"/>
    </row>
    <row r="3" spans="1:18">
      <c r="A3" s="3017" t="s">
        <v>2501</v>
      </c>
      <c r="B3" s="3018">
        <f>项目基本情况!D3</f>
        <v>45511</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2.36</v>
      </c>
      <c r="D5" s="3022">
        <f>IF(ISERROR(ROUND(POWER(1+E5,A5-C5)*(POWER(1+E5,C5)-1)/(POWER(1+E5,A5)-1),3)),0,ROUND(POWER(1+E5,A5-C5)*(POWER(1+E5,C5)-1)/(POWER(1+E5,A5)-1),4))</f>
        <v>0.11169999999999999</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12.37</v>
      </c>
      <c r="D6" s="3022">
        <f>IF(ISERROR(ROUND(POWER(1+E6,A6-C6)*(POWER(1+E6,C6)-1)/(POWER(1+E6,A6)-1),3)),0,ROUND(POWER(1+E6,A6-C6)*(POWER(1+E6,C6)-1)/(POWER(1+E6,A6)-1),4))</f>
        <v>0.44729999999999998</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32.380000000000003</v>
      </c>
      <c r="D7" s="3022">
        <f>IF(ISERROR(ROUND(POWER(1+E7,A7-C7)*(POWER(1+E7,C7)-1)/(POWER(1+E7,A7)-1),3)),0,ROUND(POWER(1+E7,A7-C7)*(POWER(1+E7,C7)-1)/(POWER(1+E7,A7)-1),4))</f>
        <v>0.76849999999999996</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4.4" thickBot="1">
      <c r="A18" s="3028" t="s">
        <v>2516</v>
      </c>
      <c r="B18" s="3029">
        <f>ROUND(B17*F11/F12,2)</f>
        <v>5541.87</v>
      </c>
      <c r="C18" s="3029">
        <f>ROUND(F11/F12,4)</f>
        <v>1.1521999999999999</v>
      </c>
      <c r="D18" s="3030"/>
      <c r="E18" s="3030"/>
      <c r="F18" s="3031"/>
    </row>
    <row r="19" spans="1:13" ht="14.4" thickBot="1"/>
    <row r="20" spans="1:13" s="3066" customFormat="1" ht="14.4"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ROUND(POWER(1+D23,B23-C23)*(POWER(1+D23,C23)-1)/(POWER(1+D23,B23)-1),3)</f>
        <v>0.84599999999999997</v>
      </c>
      <c r="F23" s="3036">
        <f>F22</f>
        <v>0.7</v>
      </c>
      <c r="G23" s="3034">
        <f>ROUND(100*(1-(1-E23)*F23),1)</f>
        <v>89.2</v>
      </c>
      <c r="I23" s="3055">
        <v>15</v>
      </c>
      <c r="J23" s="3055">
        <v>74.099999999999994</v>
      </c>
      <c r="K23" s="3055">
        <f t="shared" ref="K23:K30" si="0">J23-J22</f>
        <v>8.6999999999999886</v>
      </c>
      <c r="L23" s="3055" t="s">
        <v>2567</v>
      </c>
      <c r="M23" s="3055" t="s">
        <v>2568</v>
      </c>
    </row>
    <row r="24" spans="1:13">
      <c r="A24" s="3032" t="s">
        <v>2528</v>
      </c>
      <c r="B24" s="3035">
        <v>70</v>
      </c>
      <c r="C24" s="3035">
        <v>50</v>
      </c>
      <c r="D24" s="3036">
        <v>0.04</v>
      </c>
      <c r="E24" s="3033">
        <f>ROUND(POWER(1+D24,B24-C24)*(POWER(1+D24,C24)-1)/(POWER(1+D24,B24)-1),3)</f>
        <v>0.91800000000000004</v>
      </c>
      <c r="F24" s="3036">
        <f>F23</f>
        <v>0.7</v>
      </c>
      <c r="G24" s="3034">
        <f>ROUND(100*(1-(1-E24)*F24),1)</f>
        <v>94.3</v>
      </c>
      <c r="I24" s="3055">
        <v>20</v>
      </c>
      <c r="J24" s="3055">
        <v>81</v>
      </c>
      <c r="K24" s="3055">
        <f t="shared" si="0"/>
        <v>6.9000000000000057</v>
      </c>
      <c r="L24" s="3055" t="s">
        <v>2566</v>
      </c>
      <c r="M24" s="3055">
        <v>10</v>
      </c>
    </row>
    <row r="25" spans="1:13">
      <c r="A25" s="3032" t="s">
        <v>2529</v>
      </c>
      <c r="B25" s="3035">
        <v>70</v>
      </c>
      <c r="C25" s="3035">
        <v>60</v>
      </c>
      <c r="D25" s="3036">
        <v>0.04</v>
      </c>
      <c r="E25" s="3033">
        <f>ROUND(POWER(1+D25,B25-C25)*(POWER(1+D25,C25)-1)/(POWER(1+D25,B25)-1),3)</f>
        <v>0.96699999999999997</v>
      </c>
      <c r="F25" s="3036">
        <f>F24</f>
        <v>0.7</v>
      </c>
      <c r="G25" s="3034">
        <f>ROUND(100*(1-(1-E25)*F25),1)</f>
        <v>97.7</v>
      </c>
      <c r="I25" s="3055">
        <v>25</v>
      </c>
      <c r="J25" s="3055">
        <v>86.3</v>
      </c>
      <c r="K25" s="3055">
        <f t="shared" si="0"/>
        <v>5.2999999999999972</v>
      </c>
      <c r="L25" s="3055" t="s">
        <v>2570</v>
      </c>
      <c r="M25" s="3055">
        <v>8</v>
      </c>
    </row>
    <row r="26" spans="1:13">
      <c r="A26" s="3037"/>
      <c r="B26" s="3038"/>
      <c r="C26" s="3038"/>
      <c r="D26" s="3038"/>
      <c r="E26" s="3038"/>
      <c r="F26" s="3038"/>
      <c r="G26" s="3039"/>
      <c r="I26" s="3055">
        <v>30</v>
      </c>
      <c r="J26" s="3055">
        <v>90.5</v>
      </c>
      <c r="K26" s="3055">
        <f t="shared" si="0"/>
        <v>4.2000000000000028</v>
      </c>
      <c r="L26" s="3055" t="s">
        <v>2571</v>
      </c>
      <c r="M26" s="3055">
        <v>5</v>
      </c>
    </row>
    <row r="27" spans="1:13">
      <c r="A27" s="3037" t="s">
        <v>2530</v>
      </c>
      <c r="B27" s="3038"/>
      <c r="C27" s="3038"/>
      <c r="D27" s="3038"/>
      <c r="E27" s="3038"/>
      <c r="F27" s="3038"/>
      <c r="G27" s="3039"/>
      <c r="I27" s="3055">
        <v>35</v>
      </c>
      <c r="J27" s="3055">
        <v>93.8</v>
      </c>
      <c r="K27" s="3055">
        <f t="shared" si="0"/>
        <v>3.2999999999999972</v>
      </c>
      <c r="L27" s="3055" t="s">
        <v>2572</v>
      </c>
      <c r="M27" s="3055">
        <v>3</v>
      </c>
    </row>
    <row r="28" spans="1:13">
      <c r="A28" s="3037" t="s">
        <v>2531</v>
      </c>
      <c r="B28" s="3038"/>
      <c r="C28" s="3038"/>
      <c r="D28" s="3038"/>
      <c r="E28" s="3038"/>
      <c r="F28" s="3038"/>
      <c r="G28" s="3039"/>
      <c r="I28" s="3055">
        <v>40</v>
      </c>
      <c r="J28" s="3055">
        <v>96.4</v>
      </c>
      <c r="K28" s="3055">
        <f t="shared" si="0"/>
        <v>2.6000000000000085</v>
      </c>
      <c r="L28" s="3055" t="s">
        <v>2573</v>
      </c>
      <c r="M28" s="3055">
        <v>2</v>
      </c>
    </row>
    <row r="29" spans="1:13">
      <c r="A29" s="3037" t="s">
        <v>2532</v>
      </c>
      <c r="B29" s="3038"/>
      <c r="C29" s="3038"/>
      <c r="D29" s="3038"/>
      <c r="E29" s="3038"/>
      <c r="F29" s="3038"/>
      <c r="G29" s="3039"/>
      <c r="I29" s="3055">
        <v>45</v>
      </c>
      <c r="J29" s="3055">
        <v>98.4</v>
      </c>
      <c r="K29" s="3055">
        <f t="shared" si="0"/>
        <v>2</v>
      </c>
    </row>
    <row r="30" spans="1:13">
      <c r="A30" s="3037" t="s">
        <v>2533</v>
      </c>
      <c r="B30" s="3038"/>
      <c r="C30" s="3038"/>
      <c r="D30" s="3038"/>
      <c r="E30" s="3038"/>
      <c r="F30" s="3038"/>
      <c r="G30" s="3039"/>
      <c r="I30" s="3055">
        <v>50</v>
      </c>
      <c r="J30" s="3055">
        <v>100</v>
      </c>
      <c r="K30" s="3055">
        <f t="shared" si="0"/>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1">J36-J35</f>
        <v>9.2999999999999972</v>
      </c>
      <c r="L36" s="3055" t="s">
        <v>2567</v>
      </c>
      <c r="M36" s="3055" t="s">
        <v>2568</v>
      </c>
    </row>
    <row r="37" spans="1:13">
      <c r="A37" s="3037" t="s">
        <v>2540</v>
      </c>
      <c r="B37" s="3038"/>
      <c r="C37" s="3038"/>
      <c r="D37" s="3038"/>
      <c r="E37" s="3038"/>
      <c r="F37" s="3038"/>
      <c r="G37" s="3039"/>
      <c r="I37" s="3055">
        <v>20</v>
      </c>
      <c r="J37" s="3055">
        <v>83.6</v>
      </c>
      <c r="K37" s="3055">
        <f t="shared" si="1"/>
        <v>7.2999999999999972</v>
      </c>
      <c r="L37" s="3055" t="s">
        <v>2566</v>
      </c>
      <c r="M37" s="3055">
        <v>10</v>
      </c>
    </row>
    <row r="38" spans="1:13">
      <c r="A38" s="3037" t="s">
        <v>2541</v>
      </c>
      <c r="B38" s="3038"/>
      <c r="C38" s="3038"/>
      <c r="D38" s="3038"/>
      <c r="E38" s="3038"/>
      <c r="F38" s="3038"/>
      <c r="G38" s="3039"/>
      <c r="I38" s="3055">
        <v>25</v>
      </c>
      <c r="J38" s="3055">
        <v>89.3</v>
      </c>
      <c r="K38" s="3055">
        <f t="shared" si="1"/>
        <v>5.7000000000000028</v>
      </c>
      <c r="L38" s="3055" t="s">
        <v>2570</v>
      </c>
      <c r="M38" s="3055">
        <v>8</v>
      </c>
    </row>
    <row r="39" spans="1:13">
      <c r="A39" s="3037"/>
      <c r="B39" s="3038"/>
      <c r="C39" s="3038"/>
      <c r="D39" s="3038"/>
      <c r="E39" s="3038"/>
      <c r="F39" s="3038"/>
      <c r="G39" s="3039"/>
      <c r="I39" s="3055">
        <v>30</v>
      </c>
      <c r="J39" s="3055">
        <v>93.8</v>
      </c>
      <c r="K39" s="3055">
        <f t="shared" si="1"/>
        <v>4.5</v>
      </c>
      <c r="L39" s="3055" t="s">
        <v>2571</v>
      </c>
      <c r="M39" s="3055">
        <v>6</v>
      </c>
    </row>
    <row r="40" spans="1:13">
      <c r="A40" s="3040" t="s">
        <v>2542</v>
      </c>
      <c r="B40" s="3041"/>
      <c r="C40" s="3041"/>
      <c r="D40" s="3041"/>
      <c r="E40" s="3041"/>
      <c r="F40" s="3041"/>
      <c r="G40" s="3042"/>
      <c r="I40" s="3055">
        <v>35</v>
      </c>
      <c r="J40" s="3055">
        <v>97.2</v>
      </c>
      <c r="K40" s="3055">
        <f t="shared" si="1"/>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1"/>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4.4"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J46-J45</f>
        <v>5.0999999999999943</v>
      </c>
    </row>
    <row r="47" spans="1:13">
      <c r="I47" s="3055">
        <v>60</v>
      </c>
      <c r="J47" s="3055">
        <v>97.7</v>
      </c>
      <c r="K47" s="305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SheetLayoutView="80" workbookViewId="0">
      <selection activeCell="D19" sqref="D19"/>
    </sheetView>
  </sheetViews>
  <sheetFormatPr defaultColWidth="10" defaultRowHeight="13.2"/>
  <cols>
    <col min="1" max="1" width="16.777343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3" t="s">
        <v>2167</v>
      </c>
      <c r="B1" s="3668" t="str">
        <f>IF(B10="北京市","北京市",C10)&amp;F10&amp;IF(结果表!G1="在建","出让国有建设用地使用权及在建建筑物",IF(结果表!G1="土地","出让国有建设用地使用权",))&amp;B9&amp;"预评估"</f>
        <v>北京市房地产市场价值预评估</v>
      </c>
      <c r="C1" s="3669"/>
      <c r="D1" s="3669"/>
      <c r="E1" s="3669"/>
      <c r="F1" s="3669"/>
      <c r="G1" s="3669"/>
      <c r="H1" s="3669"/>
      <c r="I1" s="3670"/>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北京市房地产市场价值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45511</v>
      </c>
      <c r="C3" s="2371" t="s">
        <v>2170</v>
      </c>
      <c r="D3" s="2370">
        <f>B3</f>
        <v>45511</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8"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8"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3605</v>
      </c>
      <c r="C8" s="2387"/>
      <c r="D8" s="3671" t="s">
        <v>2176</v>
      </c>
      <c r="E8" s="2388"/>
      <c r="F8" s="2389"/>
      <c r="G8" s="2660"/>
      <c r="H8" s="2660"/>
      <c r="I8" s="2660"/>
      <c r="J8" s="2436"/>
      <c r="K8" s="2611"/>
      <c r="L8" s="2610"/>
      <c r="M8" s="2610"/>
      <c r="N8" s="2436"/>
      <c r="O8" s="2447"/>
      <c r="P8" s="2436"/>
      <c r="Q8" s="2436"/>
      <c r="R8" s="2436"/>
    </row>
    <row r="9" spans="1:30" ht="13.8" thickBot="1">
      <c r="A9" s="2390" t="s">
        <v>2177</v>
      </c>
      <c r="B9" s="2391" t="s">
        <v>3606</v>
      </c>
      <c r="C9" s="2392"/>
      <c r="D9" s="3672"/>
      <c r="E9" s="2391"/>
      <c r="F9" s="2393"/>
      <c r="G9" s="2662"/>
      <c r="H9" s="2662"/>
      <c r="I9" s="2662"/>
      <c r="J9" s="2436"/>
      <c r="K9" s="2613"/>
      <c r="L9" s="2610"/>
      <c r="M9" s="2610"/>
      <c r="N9" s="2436"/>
      <c r="O9" s="2447"/>
      <c r="P9" s="2436"/>
      <c r="Q9" s="2436"/>
      <c r="R9" s="2436"/>
    </row>
    <row r="10" spans="1:30" ht="13.8" thickTop="1">
      <c r="A10" s="2394" t="s">
        <v>2178</v>
      </c>
      <c r="B10" s="2395" t="s">
        <v>3607</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3608</v>
      </c>
      <c r="C11" s="2400"/>
      <c r="D11" s="2401"/>
      <c r="E11" s="2367"/>
      <c r="F11" s="2367"/>
      <c r="G11" s="2367"/>
      <c r="H11" s="2367"/>
      <c r="I11" s="2367"/>
      <c r="J11" s="3058"/>
      <c r="K11" s="3057"/>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6" t="s">
        <v>2576</v>
      </c>
      <c r="J12" s="3059"/>
      <c r="K12" s="2610"/>
      <c r="L12" s="2610"/>
      <c r="M12" s="2436"/>
      <c r="N12" s="2447"/>
      <c r="O12" s="2436"/>
      <c r="P12" s="2436"/>
      <c r="Q12" s="2436"/>
      <c r="AD12" s="1742"/>
    </row>
    <row r="13" spans="1:30">
      <c r="A13" s="3420" t="s">
        <v>3332</v>
      </c>
      <c r="B13" s="2404" t="s">
        <v>2189</v>
      </c>
      <c r="C13" s="854"/>
      <c r="D13" s="854"/>
      <c r="E13" s="854"/>
      <c r="F13" s="854"/>
      <c r="G13" s="854"/>
      <c r="H13" s="854"/>
      <c r="I13" s="854"/>
      <c r="J13" s="3059"/>
      <c r="K13" s="2610"/>
      <c r="L13" s="2610"/>
      <c r="M13" s="2436"/>
      <c r="N13" s="2447"/>
      <c r="O13" s="2436"/>
      <c r="P13" s="2436"/>
      <c r="Q13" s="2436"/>
      <c r="AD13" s="1742"/>
    </row>
    <row r="14" spans="1:30">
      <c r="A14" s="1078"/>
      <c r="B14" s="2404" t="s">
        <v>2190</v>
      </c>
      <c r="C14" s="2405"/>
      <c r="D14" s="2405"/>
      <c r="E14" s="2405"/>
      <c r="F14" s="2405"/>
      <c r="G14" s="2405"/>
      <c r="H14" s="2405"/>
      <c r="I14" s="2405"/>
      <c r="J14" s="3060"/>
      <c r="K14" s="2610"/>
      <c r="L14" s="2610"/>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2192</v>
      </c>
      <c r="B16" s="3678"/>
      <c r="C16" s="3679"/>
      <c r="D16" s="3680"/>
      <c r="E16" s="2410" t="s">
        <v>2193</v>
      </c>
      <c r="F16" s="3681"/>
      <c r="G16" s="3682"/>
      <c r="H16" s="3682"/>
      <c r="I16" s="3683"/>
      <c r="J16" s="2436"/>
      <c r="K16" s="2614"/>
      <c r="L16" s="2448"/>
      <c r="M16" s="2448"/>
      <c r="N16" s="2506"/>
      <c r="O16" s="2448"/>
      <c r="P16" s="2506"/>
      <c r="Q16" s="2436"/>
      <c r="R16" s="2436"/>
    </row>
    <row r="17" spans="1:28">
      <c r="A17" s="312" t="s">
        <v>2194</v>
      </c>
      <c r="B17" s="301" t="s">
        <v>2195</v>
      </c>
      <c r="C17" s="8">
        <f>'数据-汇总表'!E3</f>
        <v>41238</v>
      </c>
      <c r="D17" s="2319" t="s">
        <v>2196</v>
      </c>
      <c r="E17" s="3684" t="s">
        <v>2197</v>
      </c>
      <c r="F17" s="3685"/>
      <c r="G17" s="3685"/>
      <c r="H17" s="3685"/>
      <c r="I17" s="3686"/>
      <c r="J17" s="2436"/>
      <c r="K17" s="2615"/>
      <c r="L17" s="2448"/>
      <c r="M17" s="2448"/>
      <c r="N17" s="2506"/>
      <c r="O17" s="2448"/>
      <c r="P17" s="2506"/>
      <c r="Q17" s="2436"/>
      <c r="R17" s="2436"/>
      <c r="S17" s="2436"/>
      <c r="T17" s="2436"/>
      <c r="U17" s="2436"/>
      <c r="V17" s="2436"/>
    </row>
    <row r="18" spans="1:28" ht="24.6" thickBot="1">
      <c r="A18" s="2411" t="s">
        <v>2198</v>
      </c>
      <c r="B18" s="1087" t="s">
        <v>2199</v>
      </c>
      <c r="C18" s="2412">
        <f>'数据-汇总表'!D3</f>
        <v>14060.635630028937</v>
      </c>
      <c r="D18" s="1089" t="s">
        <v>2200</v>
      </c>
      <c r="E18" s="3687" t="s">
        <v>2201</v>
      </c>
      <c r="F18" s="3688"/>
      <c r="G18" s="3688"/>
      <c r="H18" s="3688"/>
      <c r="I18" s="3689"/>
      <c r="J18" s="2436"/>
      <c r="K18" s="2615"/>
      <c r="L18" s="2448"/>
      <c r="M18" s="2448"/>
      <c r="N18" s="2506"/>
      <c r="O18" s="2448"/>
      <c r="P18" s="2506"/>
      <c r="Q18" s="2436"/>
      <c r="R18" s="2436"/>
      <c r="S18" s="2436"/>
      <c r="T18" s="2436"/>
      <c r="U18" s="2436"/>
      <c r="V18" s="2436"/>
    </row>
    <row r="19" spans="1:28" ht="37.200000000000003" thickTop="1" thickBot="1">
      <c r="A19" s="326" t="s">
        <v>1055</v>
      </c>
      <c r="B19" s="306" t="s">
        <v>2202</v>
      </c>
      <c r="C19" s="1560"/>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674" t="s">
        <v>2205</v>
      </c>
      <c r="C20" s="3675"/>
      <c r="D20" s="3676" t="s">
        <v>2206</v>
      </c>
      <c r="E20" s="3677"/>
      <c r="F20" s="2644" t="s">
        <v>1056</v>
      </c>
      <c r="G20" s="2661"/>
      <c r="H20" s="2661"/>
      <c r="I20" s="2661"/>
      <c r="J20" s="2436"/>
      <c r="K20" s="3673"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36.6" thickBot="1">
      <c r="A21" s="2629"/>
      <c r="B21" s="2630" t="s">
        <v>2208</v>
      </c>
      <c r="C21" s="2631" t="s">
        <v>1057</v>
      </c>
      <c r="D21" s="1565" t="s">
        <v>2209</v>
      </c>
      <c r="E21" s="2632" t="s">
        <v>1057</v>
      </c>
      <c r="F21" s="2645"/>
      <c r="G21" s="2661"/>
      <c r="H21" s="2661"/>
      <c r="I21" s="2661"/>
      <c r="J21" s="2436"/>
      <c r="K21" s="367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36.6" thickBot="1">
      <c r="A22" s="2629"/>
      <c r="B22" s="2633" t="s">
        <v>2210</v>
      </c>
      <c r="C22" s="2631" t="s">
        <v>1058</v>
      </c>
      <c r="D22" s="2660"/>
      <c r="E22" s="2660"/>
      <c r="F22" s="2660"/>
      <c r="G22" s="2661"/>
      <c r="H22" s="2661"/>
      <c r="I22" s="2661"/>
      <c r="J22" s="2436"/>
      <c r="K22" s="367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691" t="s">
        <v>2213</v>
      </c>
      <c r="B27" s="319"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91"/>
      <c r="B28" s="301"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91"/>
      <c r="B29" s="301"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92"/>
      <c r="B30" s="301" t="s">
        <v>2217</v>
      </c>
      <c r="C30" s="3693"/>
      <c r="D30" s="3694"/>
      <c r="E30" s="2661"/>
      <c r="F30" s="2661"/>
      <c r="G30" s="2661"/>
      <c r="H30" s="2661"/>
      <c r="I30" s="2661"/>
      <c r="J30" s="2436"/>
      <c r="K30" s="2613"/>
      <c r="L30" s="2610"/>
      <c r="M30" s="2610"/>
      <c r="N30" s="2436"/>
      <c r="O30" s="2447"/>
      <c r="P30" s="2436"/>
      <c r="Q30" s="2436"/>
      <c r="R30" s="2436"/>
      <c r="S30" s="2436"/>
      <c r="T30" s="2436"/>
      <c r="U30" s="2436"/>
      <c r="V30" s="2436"/>
    </row>
    <row r="31" spans="1:28">
      <c r="A31" s="3695" t="s">
        <v>2218</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696"/>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696"/>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3"/>
      <c r="C34" s="2023"/>
      <c r="D34" s="2023"/>
      <c r="E34" s="2023"/>
      <c r="F34" s="2023"/>
      <c r="G34" s="2023"/>
      <c r="H34" s="2023"/>
      <c r="I34" s="2661"/>
      <c r="J34" s="2436"/>
      <c r="K34" s="2424">
        <f>COUNTIF(B34:H34,"——")</f>
        <v>0</v>
      </c>
      <c r="L34" s="322" t="s">
        <v>2220</v>
      </c>
      <c r="M34" s="322" t="s">
        <v>2221</v>
      </c>
      <c r="N34" s="322" t="s">
        <v>2222</v>
      </c>
      <c r="O34" s="322" t="s">
        <v>2223</v>
      </c>
      <c r="P34" s="322" t="s">
        <v>2224</v>
      </c>
      <c r="Q34" s="322" t="s">
        <v>2225</v>
      </c>
      <c r="R34" s="322" t="s">
        <v>2226</v>
      </c>
      <c r="S34" s="3690" t="s">
        <v>2227</v>
      </c>
      <c r="T34" s="2425" t="str">
        <f>NUMBERSTRING(7-K34,1)&amp;"通"</f>
        <v>七通</v>
      </c>
      <c r="U34" s="2436"/>
      <c r="V34" s="2436"/>
    </row>
    <row r="35" spans="1:30">
      <c r="A35" s="2426"/>
      <c r="B35" s="3697" t="s">
        <v>2228</v>
      </c>
      <c r="C35" s="3697"/>
      <c r="D35" s="3697"/>
      <c r="E35" s="3697"/>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90"/>
      <c r="T35" s="328" t="str">
        <f>IF(T34="一通",L35,IF(T34="二通",M35,IF(T34="三通",N35,IF(T34="四通",O35,IF(T34="五通",P35,IF(T34="六通",Q35,R35))))))</f>
        <v>、、、、、、</v>
      </c>
      <c r="U35" s="2436"/>
      <c r="V35" s="2436"/>
    </row>
    <row r="36" spans="1:30">
      <c r="A36" s="2427"/>
      <c r="B36" s="663" t="s">
        <v>2184</v>
      </c>
      <c r="C36" s="663" t="s">
        <v>2185</v>
      </c>
      <c r="D36" s="663" t="s">
        <v>2183</v>
      </c>
      <c r="E36" s="663" t="s">
        <v>2188</v>
      </c>
      <c r="F36" s="3062" t="s">
        <v>2579</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2">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S33" sqref="S33"/>
      <selection pane="topRight" activeCell="S33" sqref="S33"/>
      <selection pane="bottomLeft" activeCell="S33" sqref="S33"/>
      <selection pane="bottomRight" activeCell="G13" sqref="G13"/>
    </sheetView>
  </sheetViews>
  <sheetFormatPr defaultColWidth="8.777343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customWidth="1"/>
    <col min="11" max="11" width="11" style="1570" customWidth="1"/>
    <col min="12" max="14" width="9.44140625" style="1570" customWidth="1"/>
    <col min="15" max="16" width="9.77734375" style="1570" customWidth="1"/>
    <col min="17" max="17" width="9.33203125" style="1570" customWidth="1"/>
    <col min="18" max="18" width="9.109375" style="1570" customWidth="1"/>
    <col min="19" max="28" width="10.77734375" style="1570" customWidth="1"/>
    <col min="29" max="29" width="11" style="1570" bestFit="1" customWidth="1"/>
    <col min="30" max="30" width="10" style="1570" bestFit="1" customWidth="1"/>
    <col min="31" max="31" width="9.77734375" style="1570" customWidth="1"/>
    <col min="32"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77734375" style="1570"/>
  </cols>
  <sheetData>
    <row r="1" spans="1:72" ht="21">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f>面积表!N31</f>
        <v>14060.635630028937</v>
      </c>
      <c r="B3" s="11">
        <f>IF(C3="否",G5-AT5,G5)</f>
        <v>45754</v>
      </c>
      <c r="C3" s="1577" t="s">
        <v>3636</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3605">
        <f>A3</f>
        <v>14060.635630028937</v>
      </c>
      <c r="AZ3" s="1048">
        <f>面积表!D12+面积表!G12</f>
        <v>24340.71</v>
      </c>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1070</v>
      </c>
      <c r="B5" s="1344"/>
      <c r="C5" s="1344"/>
      <c r="D5" s="1346"/>
      <c r="E5" s="13" t="s">
        <v>0</v>
      </c>
      <c r="F5" s="13">
        <f>SUM(F13:F587)</f>
        <v>0</v>
      </c>
      <c r="G5" s="13">
        <f>SUM(G13:G587)</f>
        <v>45754</v>
      </c>
      <c r="H5" s="13">
        <f t="shared" ref="H5:AT5" si="0">SUM(H13:H656)</f>
        <v>37613.29</v>
      </c>
      <c r="I5" s="13">
        <f t="shared" si="0"/>
        <v>23912</v>
      </c>
      <c r="J5" s="13">
        <f t="shared" si="0"/>
        <v>0</v>
      </c>
      <c r="K5" s="13">
        <f t="shared" si="0"/>
        <v>0</v>
      </c>
      <c r="L5" s="13">
        <f t="shared" si="0"/>
        <v>0</v>
      </c>
      <c r="M5" s="13">
        <f t="shared" si="0"/>
        <v>10279.290000000001</v>
      </c>
      <c r="N5" s="13">
        <f t="shared" si="0"/>
        <v>0</v>
      </c>
      <c r="O5" s="13">
        <f t="shared" si="0"/>
        <v>3422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3624.71</v>
      </c>
      <c r="AD5" s="13">
        <f t="shared" si="0"/>
        <v>0</v>
      </c>
      <c r="AE5" s="13">
        <f t="shared" si="0"/>
        <v>0</v>
      </c>
      <c r="AF5" s="13">
        <f t="shared" si="0"/>
        <v>0</v>
      </c>
      <c r="AG5" s="13">
        <f t="shared" si="0"/>
        <v>0</v>
      </c>
      <c r="AH5" s="13">
        <f t="shared" si="0"/>
        <v>0</v>
      </c>
      <c r="AI5" s="13">
        <f t="shared" si="0"/>
        <v>0</v>
      </c>
      <c r="AJ5" s="13">
        <f t="shared" si="0"/>
        <v>0</v>
      </c>
      <c r="AK5" s="13">
        <f t="shared" si="0"/>
        <v>0</v>
      </c>
      <c r="AL5" s="13">
        <f t="shared" si="0"/>
        <v>428.71</v>
      </c>
      <c r="AM5" s="13">
        <f t="shared" si="0"/>
        <v>0</v>
      </c>
      <c r="AN5" s="13">
        <f t="shared" si="0"/>
        <v>3196</v>
      </c>
      <c r="AO5" s="13">
        <f t="shared" si="0"/>
        <v>0</v>
      </c>
      <c r="AP5" s="13">
        <f t="shared" si="0"/>
        <v>0</v>
      </c>
      <c r="AQ5" s="13">
        <f t="shared" si="0"/>
        <v>0</v>
      </c>
      <c r="AR5" s="13">
        <f t="shared" si="0"/>
        <v>0</v>
      </c>
      <c r="AS5" s="13">
        <f t="shared" si="0"/>
        <v>0</v>
      </c>
      <c r="AT5" s="13">
        <f t="shared" si="0"/>
        <v>4516</v>
      </c>
      <c r="AU5" s="1343"/>
      <c r="AV5" s="12" t="s">
        <v>1070</v>
      </c>
      <c r="AW5" s="1344"/>
      <c r="AX5" s="1344"/>
      <c r="AY5" s="14" t="s">
        <v>2</v>
      </c>
      <c r="AZ5" s="15">
        <f t="shared" ref="AZ5:BT5" si="1">SUM(AZ13:AZ656)</f>
        <v>41238</v>
      </c>
      <c r="BA5" s="15">
        <f t="shared" si="1"/>
        <v>37613.29</v>
      </c>
      <c r="BB5" s="15">
        <f t="shared" si="1"/>
        <v>23912</v>
      </c>
      <c r="BC5" s="15">
        <f t="shared" si="1"/>
        <v>0</v>
      </c>
      <c r="BD5" s="15">
        <f t="shared" si="1"/>
        <v>10279.290000000001</v>
      </c>
      <c r="BE5" s="15">
        <f t="shared" si="1"/>
        <v>3422</v>
      </c>
      <c r="BF5" s="15">
        <f t="shared" si="1"/>
        <v>0</v>
      </c>
      <c r="BG5" s="15">
        <f t="shared" si="1"/>
        <v>0</v>
      </c>
      <c r="BH5" s="15">
        <f t="shared" si="1"/>
        <v>0</v>
      </c>
      <c r="BI5" s="15">
        <f t="shared" si="1"/>
        <v>0</v>
      </c>
      <c r="BJ5" s="15">
        <f t="shared" si="1"/>
        <v>0</v>
      </c>
      <c r="BK5" s="15">
        <f t="shared" si="1"/>
        <v>0</v>
      </c>
      <c r="BL5" s="15">
        <f t="shared" si="1"/>
        <v>3624.71</v>
      </c>
      <c r="BM5" s="15">
        <f t="shared" si="1"/>
        <v>0</v>
      </c>
      <c r="BN5" s="15">
        <f t="shared" si="1"/>
        <v>0</v>
      </c>
      <c r="BO5" s="15">
        <f t="shared" si="1"/>
        <v>0</v>
      </c>
      <c r="BP5" s="15">
        <f t="shared" si="1"/>
        <v>0</v>
      </c>
      <c r="BQ5" s="15">
        <f t="shared" si="1"/>
        <v>428.71</v>
      </c>
      <c r="BR5" s="15">
        <f t="shared" si="1"/>
        <v>3196</v>
      </c>
      <c r="BS5" s="15">
        <f t="shared" si="1"/>
        <v>0</v>
      </c>
      <c r="BT5" s="16">
        <f t="shared" si="1"/>
        <v>0</v>
      </c>
    </row>
    <row r="6" spans="1:72" s="1586" customFormat="1" ht="13.2">
      <c r="A6" s="12" t="s">
        <v>1071</v>
      </c>
      <c r="B6" s="1583"/>
      <c r="C6" s="1583"/>
      <c r="D6" s="1584"/>
      <c r="E6" s="13">
        <f>H6+AC6+AT6</f>
        <v>14060.63</v>
      </c>
      <c r="F6" s="13" t="s">
        <v>0</v>
      </c>
      <c r="G6" s="13" t="s">
        <v>1</v>
      </c>
      <c r="H6" s="17">
        <f>SUMIF(I$12:AB$12,"总值",I6:AB6)</f>
        <v>11558.91</v>
      </c>
      <c r="I6" s="13">
        <f t="shared" ref="I6:AB6" si="2">ROUND($A$3*I5/$B$3,2)</f>
        <v>7348.38</v>
      </c>
      <c r="J6" s="13">
        <f t="shared" si="2"/>
        <v>0</v>
      </c>
      <c r="K6" s="13">
        <f t="shared" si="2"/>
        <v>0</v>
      </c>
      <c r="L6" s="13">
        <f t="shared" si="2"/>
        <v>0</v>
      </c>
      <c r="M6" s="13">
        <f t="shared" si="2"/>
        <v>3158.92</v>
      </c>
      <c r="N6" s="13">
        <f t="shared" si="2"/>
        <v>0</v>
      </c>
      <c r="O6" s="13">
        <f t="shared" si="2"/>
        <v>1051.6099999999999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1113.9099999999999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131.75</v>
      </c>
      <c r="AM6" s="13">
        <f t="shared" si="3"/>
        <v>0</v>
      </c>
      <c r="AN6" s="13">
        <f t="shared" si="3"/>
        <v>982.16</v>
      </c>
      <c r="AO6" s="13">
        <f t="shared" si="3"/>
        <v>0</v>
      </c>
      <c r="AP6" s="13">
        <f t="shared" si="3"/>
        <v>0</v>
      </c>
      <c r="AQ6" s="13">
        <f t="shared" si="3"/>
        <v>0</v>
      </c>
      <c r="AR6" s="13">
        <f t="shared" si="3"/>
        <v>0</v>
      </c>
      <c r="AS6" s="13">
        <f t="shared" si="3"/>
        <v>0</v>
      </c>
      <c r="AT6" s="17">
        <f>IF(C3="是",ROUND($A$3*AT5/$B$3,2),0)</f>
        <v>1387.81</v>
      </c>
      <c r="AU6" s="1585"/>
      <c r="AV6" s="12" t="s">
        <v>1071</v>
      </c>
      <c r="AW6" s="1583"/>
      <c r="AX6" s="1583"/>
      <c r="AY6" s="18">
        <f>IF(AY3&gt;0,AY3,ROUND($A$3*AZ5/$B$3,2))</f>
        <v>14060.635630028937</v>
      </c>
      <c r="AZ6" s="13" t="s">
        <v>2</v>
      </c>
      <c r="BA6" s="13">
        <f>ROUND($AY$6*BA5/$AZ$5,2)</f>
        <v>12824.74</v>
      </c>
      <c r="BB6" s="13">
        <f>ROUND($AY$6*BB5/$AZ$5,2)</f>
        <v>8153.11</v>
      </c>
      <c r="BC6" s="13">
        <f t="shared" ref="BC6:BH6" si="4">ROUND($AY$6*BC5/$AZ$5,2)</f>
        <v>0</v>
      </c>
      <c r="BD6" s="13">
        <f t="shared" si="4"/>
        <v>3504.86</v>
      </c>
      <c r="BE6" s="13">
        <f t="shared" si="4"/>
        <v>1166.78</v>
      </c>
      <c r="BF6" s="13">
        <f t="shared" si="4"/>
        <v>0</v>
      </c>
      <c r="BG6" s="13">
        <f t="shared" si="4"/>
        <v>0</v>
      </c>
      <c r="BH6" s="13">
        <f t="shared" si="4"/>
        <v>0</v>
      </c>
      <c r="BI6" s="13">
        <f t="shared" ref="BI6:BT6" si="5">ROUND($AY$6*BI5/$AZ$5,2)</f>
        <v>0</v>
      </c>
      <c r="BJ6" s="13">
        <f t="shared" si="5"/>
        <v>0</v>
      </c>
      <c r="BK6" s="13">
        <f t="shared" si="5"/>
        <v>0</v>
      </c>
      <c r="BL6" s="13">
        <f t="shared" si="5"/>
        <v>1235.8900000000001</v>
      </c>
      <c r="BM6" s="13">
        <f t="shared" si="5"/>
        <v>0</v>
      </c>
      <c r="BN6" s="13">
        <f t="shared" si="5"/>
        <v>0</v>
      </c>
      <c r="BO6" s="13">
        <f t="shared" si="5"/>
        <v>0</v>
      </c>
      <c r="BP6" s="13">
        <f t="shared" si="5"/>
        <v>0</v>
      </c>
      <c r="BQ6" s="13">
        <f t="shared" si="5"/>
        <v>146.16999999999999</v>
      </c>
      <c r="BR6" s="13">
        <f t="shared" si="5"/>
        <v>1089.72</v>
      </c>
      <c r="BS6" s="13">
        <f t="shared" si="5"/>
        <v>0</v>
      </c>
      <c r="BT6" s="19">
        <f t="shared" si="5"/>
        <v>0</v>
      </c>
    </row>
    <row r="7" spans="1:72" s="1576" customFormat="1" ht="25.2">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67"/>
      <c r="H9" s="1599" t="s">
        <v>1090</v>
      </c>
      <c r="I9" s="1600" t="s">
        <v>3383</v>
      </c>
      <c r="J9" s="807"/>
      <c r="K9" s="1600" t="s">
        <v>3383</v>
      </c>
      <c r="L9" s="807"/>
      <c r="M9" s="1600" t="s">
        <v>3384</v>
      </c>
      <c r="N9" s="807"/>
      <c r="O9" s="1600" t="s">
        <v>3384</v>
      </c>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3.2">
      <c r="A10" s="1591"/>
      <c r="B10" s="1591"/>
      <c r="C10" s="1591"/>
      <c r="D10" s="1591"/>
      <c r="E10" s="1591"/>
      <c r="F10" s="1591"/>
      <c r="G10" s="1067"/>
      <c r="H10" s="25"/>
      <c r="I10" s="1600" t="s">
        <v>3394</v>
      </c>
      <c r="J10" s="807"/>
      <c r="K10" s="1606" t="s">
        <v>673</v>
      </c>
      <c r="L10" s="807"/>
      <c r="M10" s="1606" t="s">
        <v>3333</v>
      </c>
      <c r="N10" s="807"/>
      <c r="O10" s="1606" t="s">
        <v>3334</v>
      </c>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住宅</v>
      </c>
      <c r="BC11" s="1596" t="str">
        <f>K10</f>
        <v>商业</v>
      </c>
      <c r="BD11" s="1596" t="str">
        <f>M10</f>
        <v>车库</v>
      </c>
      <c r="BE11" s="1596" t="str">
        <f>O10</f>
        <v>仓储</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1048"/>
      <c r="B13" s="1048"/>
      <c r="C13" s="1048"/>
      <c r="D13" s="1622" t="s">
        <v>3636</v>
      </c>
      <c r="E13" s="13">
        <f>IF($C$3="是",ROUND($A$3*G13/$B$3,2),ROUND($A$3*(G13-AT13)/$B$3,2))</f>
        <v>14060.64</v>
      </c>
      <c r="F13" s="29"/>
      <c r="G13" s="30">
        <f>H13+AC13+AT13</f>
        <v>45754</v>
      </c>
      <c r="H13" s="17">
        <f>SUMIF(I$12:AB$12,"总值",I13:AB13)</f>
        <v>37613.29</v>
      </c>
      <c r="I13" s="1623">
        <f>面积表!C30</f>
        <v>23912</v>
      </c>
      <c r="J13" s="1623"/>
      <c r="K13" s="1623"/>
      <c r="L13" s="1623"/>
      <c r="M13" s="1623">
        <f>面积表!D34</f>
        <v>10279.290000000001</v>
      </c>
      <c r="N13" s="1623"/>
      <c r="O13" s="1623">
        <f>面积表!D35</f>
        <v>3422</v>
      </c>
      <c r="P13" s="1623"/>
      <c r="Q13" s="1623"/>
      <c r="R13" s="1623"/>
      <c r="S13" s="1623"/>
      <c r="T13" s="1623"/>
      <c r="U13" s="1623"/>
      <c r="V13" s="1623"/>
      <c r="W13" s="1623"/>
      <c r="X13" s="1623"/>
      <c r="Y13" s="1623"/>
      <c r="Z13" s="1623"/>
      <c r="AA13" s="1623"/>
      <c r="AB13" s="1623"/>
      <c r="AC13" s="13">
        <f>SUMIF(AD$12:AS$12,"总值",AD13:AS13)</f>
        <v>3624.71</v>
      </c>
      <c r="AD13" s="1624"/>
      <c r="AE13" s="1624"/>
      <c r="AF13" s="1624"/>
      <c r="AG13" s="1624"/>
      <c r="AH13" s="1624"/>
      <c r="AI13" s="1624"/>
      <c r="AJ13" s="1624"/>
      <c r="AK13" s="1624"/>
      <c r="AL13" s="1624">
        <f>面积表!G12</f>
        <v>428.71</v>
      </c>
      <c r="AM13" s="1624"/>
      <c r="AN13" s="1624">
        <f>面积表!D33</f>
        <v>3196</v>
      </c>
      <c r="AO13" s="1624"/>
      <c r="AP13" s="1624"/>
      <c r="AQ13" s="1624"/>
      <c r="AR13" s="1624"/>
      <c r="AS13" s="1624"/>
      <c r="AT13" s="1625">
        <f>面积表!E32</f>
        <v>4516</v>
      </c>
      <c r="AU13" s="1626"/>
      <c r="AV13" s="8">
        <f t="shared" ref="AV13:AX17" si="6">A13</f>
        <v>0</v>
      </c>
      <c r="AW13" s="8">
        <f t="shared" si="6"/>
        <v>0</v>
      </c>
      <c r="AX13" s="8">
        <f t="shared" si="6"/>
        <v>0</v>
      </c>
      <c r="AY13" s="1346">
        <f>ROUND($AY$6*AZ13/$AZ$5,2)</f>
        <v>14060.64</v>
      </c>
      <c r="AZ13" s="13">
        <f>BA13+BL13</f>
        <v>41238</v>
      </c>
      <c r="BA13" s="13">
        <f>SUM(BB13:BK13)</f>
        <v>37613.29</v>
      </c>
      <c r="BB13" s="13">
        <f>IF($D13="是",I13-J13,0)</f>
        <v>23912</v>
      </c>
      <c r="BC13" s="13">
        <f>IF($D13="是",K13-L13,0)</f>
        <v>0</v>
      </c>
      <c r="BD13" s="13">
        <f>IF($D13="是",M13-N13,0)</f>
        <v>10279.290000000001</v>
      </c>
      <c r="BE13" s="13">
        <f>IF($D13="是",O13-P13,0)</f>
        <v>3422</v>
      </c>
      <c r="BF13" s="13">
        <f>IF($D13="是",Q13-R13,0)</f>
        <v>0</v>
      </c>
      <c r="BG13" s="13">
        <f>IF($D13="是",S13-T13,0)</f>
        <v>0</v>
      </c>
      <c r="BH13" s="13">
        <f>IF($D13="是",U13-V13,0)</f>
        <v>0</v>
      </c>
      <c r="BI13" s="13">
        <f>IF($D13="是",W13-X13,0)</f>
        <v>0</v>
      </c>
      <c r="BJ13" s="13">
        <f>IF($D13="是",Y13-Z13,0)</f>
        <v>0</v>
      </c>
      <c r="BK13" s="13">
        <f>IF($D13="是",AA13-AB13,0)</f>
        <v>0</v>
      </c>
      <c r="BL13" s="13">
        <f>SUM(BM13:BT13)</f>
        <v>3624.71</v>
      </c>
      <c r="BM13" s="13">
        <f>IF($D13="是",AD13-AE13,0)</f>
        <v>0</v>
      </c>
      <c r="BN13" s="13">
        <f>IF($D13="是",AF13-AG13,0)</f>
        <v>0</v>
      </c>
      <c r="BO13" s="13">
        <f>IF($D13="是",AH13-AI13,0)</f>
        <v>0</v>
      </c>
      <c r="BP13" s="13">
        <f>IF($D13="是",AJ13-AK13,0)</f>
        <v>0</v>
      </c>
      <c r="BQ13" s="13">
        <f>IF($D13="是",AL13-AM13,0)</f>
        <v>428.71</v>
      </c>
      <c r="BR13" s="13">
        <f>IF($D13="是",AN13-AO13,0)</f>
        <v>3196</v>
      </c>
      <c r="BS13" s="13">
        <f>IF($D13="是",AP13-AQ13,0)</f>
        <v>0</v>
      </c>
      <c r="BT13" s="19">
        <f>IF($D13="是",AR13-AS13,0)</f>
        <v>0</v>
      </c>
    </row>
    <row r="14" spans="1:72" s="1576" customFormat="1" ht="13.2">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41" sqref="E41"/>
    </sheetView>
  </sheetViews>
  <sheetFormatPr defaultColWidth="9.109375" defaultRowHeight="13.8"/>
  <cols>
    <col min="1" max="1" width="12.109375" style="1635" customWidth="1"/>
    <col min="2" max="2" width="10.1093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6" customWidth="1"/>
    <col min="11" max="16" width="10" style="1635" customWidth="1"/>
    <col min="17" max="17" width="2.6640625" style="1635" customWidth="1"/>
    <col min="18" max="18" width="16.109375" style="1635" customWidth="1"/>
    <col min="19" max="19" width="10.44140625" style="1635" bestFit="1" customWidth="1"/>
    <col min="20" max="16384" width="9.109375" style="1635"/>
  </cols>
  <sheetData>
    <row r="1" spans="1:16" ht="18" thickBot="1">
      <c r="A1" s="1634" t="s">
        <v>1129</v>
      </c>
      <c r="B1" s="1136"/>
      <c r="C1" s="1136"/>
      <c r="D1" s="1136"/>
      <c r="E1" s="1136"/>
      <c r="F1" s="1136"/>
      <c r="G1" s="1136"/>
      <c r="H1" s="1136"/>
      <c r="I1" s="1136"/>
      <c r="J1" s="1136"/>
      <c r="K1" s="1136"/>
      <c r="L1" s="1136"/>
      <c r="M1" s="1136"/>
      <c r="N1" s="1136"/>
      <c r="O1" s="1136"/>
      <c r="P1" s="1136"/>
    </row>
    <row r="2" spans="1:16" ht="14.4">
      <c r="A2" s="3707" t="s">
        <v>1130</v>
      </c>
      <c r="B2" s="3707"/>
      <c r="C2" s="3707"/>
      <c r="D2" s="794" t="s">
        <v>1106</v>
      </c>
      <c r="E2" s="1636" t="s">
        <v>1107</v>
      </c>
      <c r="F2" s="2656"/>
      <c r="G2" s="2647"/>
      <c r="H2" s="2648"/>
      <c r="I2" s="2322" t="s">
        <v>1131</v>
      </c>
      <c r="J2" s="2656"/>
      <c r="K2" s="2656"/>
      <c r="L2" s="2656"/>
      <c r="M2" s="2656"/>
      <c r="N2" s="2658"/>
      <c r="O2" s="2656"/>
      <c r="P2" s="2656"/>
    </row>
    <row r="3" spans="1:16" ht="15" thickBot="1">
      <c r="A3" s="3708" t="s">
        <v>1104</v>
      </c>
      <c r="B3" s="3708"/>
      <c r="C3" s="3708"/>
      <c r="D3" s="43">
        <f>'数据-基础表'!AY6</f>
        <v>14060.635630028937</v>
      </c>
      <c r="E3" s="43">
        <f>'数据-基础表'!AZ5</f>
        <v>41238</v>
      </c>
      <c r="F3" s="2656"/>
      <c r="G3" s="1142"/>
      <c r="H3" s="1024" t="s">
        <v>1105</v>
      </c>
      <c r="I3" s="853">
        <f>ROUND('数据-基础表'!B3/'数据-基础表'!A3,2)</f>
        <v>3.25</v>
      </c>
      <c r="J3" s="2656"/>
      <c r="K3" s="2656"/>
      <c r="L3" s="2656"/>
      <c r="M3" s="2656"/>
      <c r="N3" s="2658"/>
      <c r="O3" s="2656"/>
      <c r="P3" s="2656"/>
    </row>
    <row r="4" spans="1:16" ht="14.4">
      <c r="A4" s="3709"/>
      <c r="B4" s="3710"/>
      <c r="C4" s="3711"/>
      <c r="D4" s="1638" t="s">
        <v>1106</v>
      </c>
      <c r="E4" s="1639" t="s">
        <v>1107</v>
      </c>
      <c r="F4" s="2656"/>
      <c r="G4" s="2649" t="s">
        <v>1132</v>
      </c>
      <c r="H4" s="1024" t="s">
        <v>1112</v>
      </c>
      <c r="I4" s="853">
        <f>ROUND(SUMIF('数据-基础表'!I9:AS9,"地上",'数据-基础表'!I5:AS5)/'数据-基础表'!A3,2)</f>
        <v>1.73</v>
      </c>
      <c r="J4" s="2656"/>
      <c r="K4" s="2656"/>
      <c r="L4" s="2656"/>
      <c r="M4" s="2656"/>
      <c r="N4" s="2658"/>
      <c r="O4" s="2656"/>
      <c r="P4" s="2656"/>
    </row>
    <row r="5" spans="1:16" ht="14.4">
      <c r="A5" s="44" t="s">
        <v>1108</v>
      </c>
      <c r="B5" s="3712" t="s">
        <v>1109</v>
      </c>
      <c r="C5" s="3712"/>
      <c r="D5" s="45">
        <f>ROUND($D$3*E5/$E$3,2)</f>
        <v>8153.11</v>
      </c>
      <c r="E5" s="46">
        <f>SUMIF('数据-基础表'!$11:$11,"住宅",'数据-基础表'!$5:$5)</f>
        <v>23912</v>
      </c>
      <c r="F5" s="2656"/>
      <c r="G5" s="1142"/>
      <c r="H5" s="1024" t="s">
        <v>1105</v>
      </c>
      <c r="I5" s="853">
        <f>ROUND(E31/D31,2)</f>
        <v>2.93</v>
      </c>
      <c r="J5" s="2656"/>
      <c r="K5" s="2656"/>
      <c r="L5" s="2656"/>
      <c r="M5" s="2656"/>
      <c r="N5" s="2656"/>
      <c r="O5" s="2656"/>
      <c r="P5" s="2656"/>
    </row>
    <row r="6" spans="1:16" ht="15" thickBot="1">
      <c r="A6" s="1641"/>
      <c r="B6" s="3712" t="s">
        <v>1110</v>
      </c>
      <c r="C6" s="3712"/>
      <c r="D6" s="45">
        <f>ROUND($D$3*E6/$E$3,2)</f>
        <v>5907.53</v>
      </c>
      <c r="E6" s="46">
        <f>E3-E5</f>
        <v>17326</v>
      </c>
      <c r="F6" s="2656"/>
      <c r="G6" s="2650" t="s">
        <v>1111</v>
      </c>
      <c r="H6" s="1143" t="s">
        <v>1112</v>
      </c>
      <c r="I6" s="2651">
        <f>ROUND(F31/D31,2)</f>
        <v>1.73</v>
      </c>
      <c r="J6" s="2656"/>
      <c r="K6" s="2656"/>
      <c r="L6" s="2656"/>
      <c r="M6" s="2656"/>
      <c r="N6" s="2656"/>
      <c r="O6" s="2656"/>
      <c r="P6" s="2656"/>
    </row>
    <row r="7" spans="1:16" ht="15" thickBot="1">
      <c r="A7" s="3704"/>
      <c r="B7" s="3705"/>
      <c r="C7" s="3706"/>
      <c r="D7" s="1638" t="s">
        <v>1106</v>
      </c>
      <c r="E7" s="1642" t="s">
        <v>1113</v>
      </c>
      <c r="F7" s="2656"/>
      <c r="G7" s="2652" t="s">
        <v>1114</v>
      </c>
      <c r="H7" s="2653"/>
      <c r="I7" s="2654"/>
      <c r="J7" s="2656"/>
      <c r="K7" s="2656"/>
      <c r="L7" s="2656"/>
      <c r="M7" s="2656"/>
      <c r="N7" s="2656"/>
      <c r="O7" s="2656"/>
      <c r="P7" s="2656"/>
    </row>
    <row r="8" spans="1:16" ht="14.4">
      <c r="A8" s="44" t="s">
        <v>1115</v>
      </c>
      <c r="B8" s="47" t="s">
        <v>1116</v>
      </c>
      <c r="C8" s="45" t="s">
        <v>1117</v>
      </c>
      <c r="D8" s="45">
        <f t="shared" ref="D8:D15" si="0">ROUND($D$3*E8/$E$3,2)</f>
        <v>8153.11</v>
      </c>
      <c r="E8" s="48">
        <f>SUMIF('数据-基础表'!BB10:BK10,"地上",'数据-基础表'!BB5:BK5)</f>
        <v>23912</v>
      </c>
      <c r="F8" s="2656"/>
      <c r="G8" s="2657"/>
      <c r="H8" s="2657"/>
      <c r="I8" s="2656"/>
      <c r="J8" s="2656"/>
      <c r="K8" s="2656"/>
      <c r="L8" s="2656"/>
      <c r="M8" s="2656"/>
      <c r="N8" s="2656"/>
      <c r="O8" s="2656"/>
      <c r="P8" s="2656"/>
    </row>
    <row r="9" spans="1:16" ht="14.4">
      <c r="A9" s="1643"/>
      <c r="B9" s="1644"/>
      <c r="C9" s="45" t="s">
        <v>1118</v>
      </c>
      <c r="D9" s="45">
        <f t="shared" si="0"/>
        <v>0</v>
      </c>
      <c r="E9" s="49">
        <v>0</v>
      </c>
      <c r="F9" s="2656"/>
      <c r="G9" s="2657"/>
      <c r="H9" s="2657"/>
      <c r="I9" s="2656"/>
      <c r="J9" s="2656"/>
      <c r="K9" s="2656"/>
      <c r="L9" s="2656"/>
      <c r="M9" s="2656"/>
      <c r="N9" s="2656"/>
      <c r="O9" s="2656"/>
      <c r="P9" s="2656"/>
    </row>
    <row r="10" spans="1:16" ht="14.4">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3"/>
      <c r="B12" s="1644"/>
      <c r="C12" s="45" t="s">
        <v>1120</v>
      </c>
      <c r="D12" s="45">
        <f t="shared" si="0"/>
        <v>1166.78</v>
      </c>
      <c r="E12" s="48">
        <f>SUMPRODUCT(('数据-基础表'!BB10:BK10="地下")*('数据-基础表'!BB11:BK11="仓储")*('数据-基础表'!BB5:BK5))</f>
        <v>3422</v>
      </c>
      <c r="F12" s="2656"/>
      <c r="G12" s="2657"/>
      <c r="H12" s="2657"/>
      <c r="I12" s="2656"/>
      <c r="J12" s="2656"/>
      <c r="K12" s="2656"/>
      <c r="L12" s="2656"/>
      <c r="M12" s="2656"/>
      <c r="N12" s="2656"/>
      <c r="O12" s="2656"/>
      <c r="P12" s="2656"/>
    </row>
    <row r="13" spans="1:16" ht="14.4">
      <c r="A13" s="1643"/>
      <c r="B13" s="1644"/>
      <c r="C13" s="45" t="s">
        <v>1121</v>
      </c>
      <c r="D13" s="45">
        <f t="shared" si="0"/>
        <v>3504.86</v>
      </c>
      <c r="E13" s="48">
        <f>SUMPRODUCT(('数据-基础表'!BB10:BK10="地下")*('数据-基础表'!BB11:BK11="车库")*('数据-基础表'!BB5:BK5))</f>
        <v>10279.290000000001</v>
      </c>
      <c r="F13" s="2656"/>
      <c r="G13" s="2657"/>
      <c r="H13" s="2657"/>
      <c r="I13" s="2656"/>
      <c r="J13" s="2656"/>
      <c r="K13" s="2656"/>
      <c r="L13" s="2656"/>
      <c r="M13" s="2656"/>
      <c r="N13" s="2656"/>
      <c r="O13" s="2656"/>
      <c r="P13" s="2656"/>
    </row>
    <row r="14" spans="1:16" ht="14.4">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1"/>
      <c r="B16" s="1644"/>
      <c r="C16" s="47" t="s">
        <v>1122</v>
      </c>
      <c r="D16" s="47">
        <f>SUM(D8:D15)</f>
        <v>12824.75</v>
      </c>
      <c r="E16" s="50">
        <f>SUM(E8:E15)</f>
        <v>37613.29</v>
      </c>
      <c r="F16" s="2656"/>
      <c r="G16" s="2657"/>
      <c r="H16" s="1645" t="s">
        <v>1134</v>
      </c>
      <c r="I16" s="1646"/>
      <c r="J16" s="1136"/>
      <c r="K16" s="3701" t="s">
        <v>1134</v>
      </c>
      <c r="L16" s="3702"/>
      <c r="M16" s="3702"/>
      <c r="N16" s="3702"/>
      <c r="O16" s="3702"/>
      <c r="P16" s="3703"/>
    </row>
    <row r="17" spans="1:19" ht="14.4">
      <c r="A17" s="1647" t="s">
        <v>1135</v>
      </c>
      <c r="B17" s="1648" t="s">
        <v>1136</v>
      </c>
      <c r="C17" s="1649" t="s">
        <v>1137</v>
      </c>
      <c r="D17" s="1650" t="s">
        <v>1125</v>
      </c>
      <c r="E17" s="1651" t="s">
        <v>1126</v>
      </c>
      <c r="F17" s="1652"/>
      <c r="G17" s="1653"/>
      <c r="H17" s="1654" t="s">
        <v>1138</v>
      </c>
      <c r="I17" s="1655" t="s">
        <v>1123</v>
      </c>
      <c r="J17" s="1136"/>
      <c r="K17" s="3698" t="s">
        <v>1139</v>
      </c>
      <c r="L17" s="3699"/>
      <c r="M17" s="3700"/>
      <c r="N17" s="3698" t="s">
        <v>1140</v>
      </c>
      <c r="O17" s="3699"/>
      <c r="P17" s="3700"/>
      <c r="R17" s="1637" t="s">
        <v>1141</v>
      </c>
      <c r="S17" s="56"/>
    </row>
    <row r="18" spans="1:19" ht="14.4">
      <c r="A18" s="1643"/>
      <c r="B18" s="1656"/>
      <c r="C18" s="1657"/>
      <c r="D18" s="1658"/>
      <c r="E18" s="1659" t="s">
        <v>1142</v>
      </c>
      <c r="F18" s="1660" t="s">
        <v>1143</v>
      </c>
      <c r="G18" s="1661" t="s">
        <v>1144</v>
      </c>
      <c r="H18" s="1039" t="s">
        <v>1145</v>
      </c>
      <c r="I18" s="1662" t="s">
        <v>1146</v>
      </c>
      <c r="J18" s="1136"/>
      <c r="K18" s="1039" t="s">
        <v>1147</v>
      </c>
      <c r="L18" s="1663" t="s">
        <v>1148</v>
      </c>
      <c r="M18" s="853" t="s">
        <v>1149</v>
      </c>
      <c r="N18" s="1039" t="s">
        <v>1147</v>
      </c>
      <c r="O18" s="1663" t="s">
        <v>1148</v>
      </c>
      <c r="P18" s="853" t="s">
        <v>1149</v>
      </c>
      <c r="R18" s="1024" t="s">
        <v>1150</v>
      </c>
      <c r="S18" s="1024" t="s">
        <v>1151</v>
      </c>
    </row>
    <row r="19" spans="1:19" ht="14.4">
      <c r="A19" s="1664"/>
      <c r="B19" s="47" t="s">
        <v>1124</v>
      </c>
      <c r="C19" s="3414" t="s">
        <v>3637</v>
      </c>
      <c r="D19" s="45">
        <f>ROUND($D$3*E19/$E$3,2)</f>
        <v>8153.11</v>
      </c>
      <c r="E19" s="53">
        <f t="shared" ref="E19:E26" si="1">SUM(F19:G19)</f>
        <v>23912</v>
      </c>
      <c r="F19" s="2792">
        <f>'数据-基础表'!I13</f>
        <v>23912</v>
      </c>
      <c r="G19" s="2793"/>
      <c r="H19" s="669">
        <f>ROUND($D$3*I19/$E$3,2)</f>
        <v>785.7</v>
      </c>
      <c r="I19" s="48">
        <f t="shared" ref="I19:I26" si="2">IF($I$17="自定义",P19,M19)</f>
        <v>2304.35</v>
      </c>
      <c r="J19" s="1136"/>
      <c r="K19" s="1135">
        <f t="shared" ref="K19:K26" si="3">ROUND(E$28*E19/E$27,2)</f>
        <v>2304.35</v>
      </c>
      <c r="L19" s="1024">
        <f t="shared" ref="L19:L26" si="4">ROUND(IF(COUNTIF(C19,"*住宅*")&gt;0,E$29*E19/E$32,0),2)</f>
        <v>0</v>
      </c>
      <c r="M19" s="1147">
        <f>K19+L19</f>
        <v>2304.35</v>
      </c>
      <c r="N19" s="1665"/>
      <c r="O19" s="1666"/>
      <c r="P19" s="1147">
        <f>N19+O19</f>
        <v>0</v>
      </c>
      <c r="R19" s="1024">
        <f t="shared" ref="R19:S26" si="5">D19+H19</f>
        <v>8938.81</v>
      </c>
      <c r="S19" s="1025">
        <f t="shared" si="5"/>
        <v>26216.35</v>
      </c>
    </row>
    <row r="20" spans="1:19" ht="14.4">
      <c r="A20" s="1667"/>
      <c r="B20" s="47" t="s">
        <v>1152</v>
      </c>
      <c r="C20" s="3414" t="s">
        <v>3643</v>
      </c>
      <c r="D20" s="45">
        <f t="shared" ref="D20:D26" si="6">ROUND($D$3*E20/$E$3,2)</f>
        <v>3504.86</v>
      </c>
      <c r="E20" s="53">
        <f t="shared" si="1"/>
        <v>10279.290000000001</v>
      </c>
      <c r="F20" s="2792"/>
      <c r="G20" s="2793">
        <f>'数据-基础表'!M13</f>
        <v>10279.290000000001</v>
      </c>
      <c r="H20" s="669">
        <f t="shared" ref="H20:H26" si="7">ROUND($D$3*I20/$E$3,2)</f>
        <v>337.75</v>
      </c>
      <c r="I20" s="48">
        <f t="shared" si="2"/>
        <v>990.59</v>
      </c>
      <c r="J20" s="1136"/>
      <c r="K20" s="1135">
        <f t="shared" si="3"/>
        <v>990.59</v>
      </c>
      <c r="L20" s="1024">
        <f t="shared" si="4"/>
        <v>0</v>
      </c>
      <c r="M20" s="1147">
        <f t="shared" ref="M20:M26" si="8">K20+L20</f>
        <v>990.59</v>
      </c>
      <c r="N20" s="1665"/>
      <c r="O20" s="1666"/>
      <c r="P20" s="1147">
        <f t="shared" ref="P20:P26" si="9">N20+O20</f>
        <v>0</v>
      </c>
      <c r="R20" s="1024">
        <f t="shared" si="5"/>
        <v>3842.61</v>
      </c>
      <c r="S20" s="1025">
        <f t="shared" si="5"/>
        <v>11269.880000000001</v>
      </c>
    </row>
    <row r="21" spans="1:19" ht="14.4">
      <c r="A21" s="1667"/>
      <c r="B21" s="47" t="s">
        <v>1152</v>
      </c>
      <c r="C21" s="3414" t="s">
        <v>3644</v>
      </c>
      <c r="D21" s="45">
        <f t="shared" si="6"/>
        <v>1166.78</v>
      </c>
      <c r="E21" s="53">
        <f t="shared" si="1"/>
        <v>3422</v>
      </c>
      <c r="F21" s="2792"/>
      <c r="G21" s="2793">
        <f>'数据-基础表'!O13</f>
        <v>3422</v>
      </c>
      <c r="H21" s="669">
        <f t="shared" si="7"/>
        <v>112.44</v>
      </c>
      <c r="I21" s="48">
        <f t="shared" si="2"/>
        <v>329.77</v>
      </c>
      <c r="J21" s="1136"/>
      <c r="K21" s="1135">
        <f t="shared" si="3"/>
        <v>329.77</v>
      </c>
      <c r="L21" s="1024">
        <f t="shared" si="4"/>
        <v>0</v>
      </c>
      <c r="M21" s="1147">
        <f t="shared" si="8"/>
        <v>329.77</v>
      </c>
      <c r="N21" s="1665"/>
      <c r="O21" s="1666"/>
      <c r="P21" s="1147">
        <f t="shared" si="9"/>
        <v>0</v>
      </c>
      <c r="R21" s="1024">
        <f t="shared" si="5"/>
        <v>1279.22</v>
      </c>
      <c r="S21" s="1025">
        <f t="shared" si="5"/>
        <v>3751.77</v>
      </c>
    </row>
    <row r="22" spans="1:19" ht="14.4">
      <c r="A22" s="1667"/>
      <c r="B22" s="47" t="s">
        <v>1152</v>
      </c>
      <c r="C22" s="3415"/>
      <c r="D22" s="45">
        <f t="shared" si="6"/>
        <v>0</v>
      </c>
      <c r="E22" s="53">
        <f t="shared" si="1"/>
        <v>0</v>
      </c>
      <c r="F22" s="2794"/>
      <c r="G22" s="2795"/>
      <c r="H22" s="669">
        <f t="shared" si="7"/>
        <v>0</v>
      </c>
      <c r="I22" s="48">
        <f t="shared" si="2"/>
        <v>0</v>
      </c>
      <c r="J22" s="1136"/>
      <c r="K22" s="1135">
        <f t="shared" si="3"/>
        <v>0</v>
      </c>
      <c r="L22" s="1024">
        <f t="shared" si="4"/>
        <v>0</v>
      </c>
      <c r="M22" s="1147">
        <f t="shared" si="8"/>
        <v>0</v>
      </c>
      <c r="N22" s="1665"/>
      <c r="O22" s="1666"/>
      <c r="P22" s="1147">
        <f t="shared" si="9"/>
        <v>0</v>
      </c>
      <c r="R22" s="1024">
        <f t="shared" si="5"/>
        <v>0</v>
      </c>
      <c r="S22" s="1025">
        <f t="shared" si="5"/>
        <v>0</v>
      </c>
    </row>
    <row r="23" spans="1:19" ht="14.4">
      <c r="A23" s="1667"/>
      <c r="B23" s="47" t="s">
        <v>1152</v>
      </c>
      <c r="C23" s="3415"/>
      <c r="D23" s="45">
        <f>ROUND($D$3*E23/$E$3,2)</f>
        <v>0</v>
      </c>
      <c r="E23" s="53">
        <f>SUM(F23:G23)</f>
        <v>0</v>
      </c>
      <c r="F23" s="2794"/>
      <c r="G23" s="2795"/>
      <c r="H23" s="669">
        <f>ROUND($D$3*I23/$E$3,2)</f>
        <v>0</v>
      </c>
      <c r="I23" s="48">
        <f t="shared" si="2"/>
        <v>0</v>
      </c>
      <c r="J23" s="1136"/>
      <c r="K23" s="1135">
        <f t="shared" si="3"/>
        <v>0</v>
      </c>
      <c r="L23" s="1024">
        <f t="shared" si="4"/>
        <v>0</v>
      </c>
      <c r="M23" s="1147">
        <f t="shared" si="8"/>
        <v>0</v>
      </c>
      <c r="N23" s="1665"/>
      <c r="O23" s="1666"/>
      <c r="P23" s="1147">
        <f t="shared" si="9"/>
        <v>0</v>
      </c>
      <c r="R23" s="1024">
        <f t="shared" si="5"/>
        <v>0</v>
      </c>
      <c r="S23" s="1025">
        <f t="shared" si="5"/>
        <v>0</v>
      </c>
    </row>
    <row r="24" spans="1:19" ht="14.4">
      <c r="A24" s="1667"/>
      <c r="B24" s="47" t="s">
        <v>1152</v>
      </c>
      <c r="C24" s="3415"/>
      <c r="D24" s="45">
        <f>ROUND($D$3*E24/$E$3,2)</f>
        <v>0</v>
      </c>
      <c r="E24" s="53">
        <f>SUM(F24:G24)</f>
        <v>0</v>
      </c>
      <c r="F24" s="2794"/>
      <c r="G24" s="2795"/>
      <c r="H24" s="669">
        <f>ROUND($D$3*I24/$E$3,2)</f>
        <v>0</v>
      </c>
      <c r="I24" s="48">
        <f t="shared" si="2"/>
        <v>0</v>
      </c>
      <c r="J24" s="1136"/>
      <c r="K24" s="1135">
        <f t="shared" si="3"/>
        <v>0</v>
      </c>
      <c r="L24" s="1024">
        <f t="shared" si="4"/>
        <v>0</v>
      </c>
      <c r="M24" s="1147">
        <f t="shared" si="8"/>
        <v>0</v>
      </c>
      <c r="N24" s="1665"/>
      <c r="O24" s="1666"/>
      <c r="P24" s="1147">
        <f t="shared" si="9"/>
        <v>0</v>
      </c>
      <c r="R24" s="1024">
        <f t="shared" si="5"/>
        <v>0</v>
      </c>
      <c r="S24" s="1025">
        <f t="shared" si="5"/>
        <v>0</v>
      </c>
    </row>
    <row r="25" spans="1:19" ht="14.4">
      <c r="A25" s="1667"/>
      <c r="B25" s="47" t="s">
        <v>1152</v>
      </c>
      <c r="C25" s="3415"/>
      <c r="D25" s="45">
        <f t="shared" si="6"/>
        <v>0</v>
      </c>
      <c r="E25" s="53">
        <f t="shared" si="1"/>
        <v>0</v>
      </c>
      <c r="F25" s="2794"/>
      <c r="G25" s="2795"/>
      <c r="H25" s="44">
        <f t="shared" si="7"/>
        <v>0</v>
      </c>
      <c r="I25" s="48">
        <f t="shared" si="2"/>
        <v>0</v>
      </c>
      <c r="J25" s="1136"/>
      <c r="K25" s="1135">
        <f t="shared" si="3"/>
        <v>0</v>
      </c>
      <c r="L25" s="1024">
        <f t="shared" si="4"/>
        <v>0</v>
      </c>
      <c r="M25" s="1147">
        <f t="shared" si="8"/>
        <v>0</v>
      </c>
      <c r="N25" s="1665"/>
      <c r="O25" s="1666"/>
      <c r="P25" s="1147">
        <f t="shared" si="9"/>
        <v>0</v>
      </c>
      <c r="R25" s="1024">
        <f t="shared" si="5"/>
        <v>0</v>
      </c>
      <c r="S25" s="1025">
        <f t="shared" si="5"/>
        <v>0</v>
      </c>
    </row>
    <row r="26" spans="1:19" ht="14.4">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4">
        <f t="shared" si="5"/>
        <v>0</v>
      </c>
      <c r="S26" s="1025">
        <f t="shared" si="5"/>
        <v>0</v>
      </c>
    </row>
    <row r="27" spans="1:19" ht="15" thickBot="1">
      <c r="A27" s="1667"/>
      <c r="B27" s="45"/>
      <c r="C27" s="1670" t="s">
        <v>1153</v>
      </c>
      <c r="D27" s="1137">
        <f>SUM(D19:D26)</f>
        <v>12824.75</v>
      </c>
      <c r="E27" s="1138">
        <f>IF(SUM(E19:E26)='数据-基础表'!BA5,SUM(E19:E26),IF(F27="地上面积有误","面积有误","地下面积有误"))</f>
        <v>37613.29</v>
      </c>
      <c r="F27" s="1137">
        <f>IF(SUM(F19:F26)=E8,SUM(F19:F26),"地上面积有误")</f>
        <v>23912</v>
      </c>
      <c r="G27" s="1139">
        <f>SUM(G19:G26)</f>
        <v>13701.29</v>
      </c>
      <c r="H27" s="1140">
        <f>SUM(H19:H26)</f>
        <v>1235.8900000000001</v>
      </c>
      <c r="I27" s="1141">
        <f>SUM(I19:I26)</f>
        <v>3624.71</v>
      </c>
      <c r="J27" s="1136"/>
      <c r="K27" s="1144">
        <f t="shared" ref="K27:P27" si="10">SUM(K19:K26)</f>
        <v>3624.71</v>
      </c>
      <c r="L27" s="1145">
        <f t="shared" si="10"/>
        <v>0</v>
      </c>
      <c r="M27" s="1148">
        <f t="shared" si="10"/>
        <v>3624.71</v>
      </c>
      <c r="N27" s="1144">
        <f t="shared" si="10"/>
        <v>0</v>
      </c>
      <c r="O27" s="1145">
        <f t="shared" si="10"/>
        <v>0</v>
      </c>
      <c r="P27" s="1146">
        <f t="shared" si="10"/>
        <v>0</v>
      </c>
      <c r="R27" s="1026" t="str">
        <f>IF(SUM(R19:R26)=$D$3,SUM(R19:R26),SUM(R19:R26)&amp;"误差"&amp;ROUND(SUM(R19:R26)-$D$3,2))</f>
        <v>14060.64误差0</v>
      </c>
      <c r="S27" s="1024">
        <f>IF(SUM(S19:S26)=$E$3,SUM(S19:S26),SUM(S19:S26)&amp;"误差"&amp;ROUND(SUM(S19:S26)-E3,2))</f>
        <v>41237.999999999993</v>
      </c>
    </row>
    <row r="28" spans="1:19" ht="14.4">
      <c r="A28" s="1667"/>
      <c r="B28" s="47" t="s">
        <v>1154</v>
      </c>
      <c r="C28" s="1036" t="s">
        <v>1155</v>
      </c>
      <c r="D28" s="45">
        <f>ROUND($D$3*E28/$E$3,2)</f>
        <v>1235.8900000000001</v>
      </c>
      <c r="E28" s="53">
        <f>SUM(F28:G28)</f>
        <v>3624.71</v>
      </c>
      <c r="F28" s="56">
        <f>'数据-基础表'!BQ5+'数据-基础表'!BS5</f>
        <v>428.71</v>
      </c>
      <c r="G28" s="57">
        <f>'数据-基础表'!BR5+'数据-基础表'!BT5</f>
        <v>3196</v>
      </c>
      <c r="H28" s="2656"/>
      <c r="I28" s="2656"/>
      <c r="J28" s="2656"/>
      <c r="K28" s="2656"/>
      <c r="L28" s="2656"/>
      <c r="M28" s="2656"/>
      <c r="N28" s="2656"/>
      <c r="O28" s="2656"/>
      <c r="P28" s="2656"/>
    </row>
    <row r="29" spans="1:19" ht="14.4">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7"/>
      <c r="B30" s="47"/>
      <c r="C30" s="1672" t="s">
        <v>1153</v>
      </c>
      <c r="D30" s="1137">
        <f>SUM(D28:D29)</f>
        <v>1235.8900000000001</v>
      </c>
      <c r="E30" s="1137">
        <f>SUM(E28:E29)</f>
        <v>3624.71</v>
      </c>
      <c r="F30" s="1137">
        <f>SUM(F28:F29)</f>
        <v>428.71</v>
      </c>
      <c r="G30" s="1139">
        <f>SUM(G28:G29)</f>
        <v>3196</v>
      </c>
      <c r="H30" s="2656"/>
      <c r="I30" s="2656"/>
      <c r="J30" s="2656"/>
      <c r="K30" s="2656"/>
      <c r="L30" s="2656"/>
      <c r="M30" s="2656"/>
      <c r="N30" s="2656"/>
      <c r="O30" s="2656"/>
      <c r="P30" s="2656"/>
    </row>
    <row r="31" spans="1:19" ht="15" thickBot="1">
      <c r="A31" s="1673"/>
      <c r="B31" s="1674"/>
      <c r="C31" s="833" t="s">
        <v>1157</v>
      </c>
      <c r="D31" s="674">
        <f>D27+D30</f>
        <v>14060.64</v>
      </c>
      <c r="E31" s="674">
        <f>E27+E30</f>
        <v>41238</v>
      </c>
      <c r="F31" s="675">
        <f>F27+F30</f>
        <v>24340.71</v>
      </c>
      <c r="G31" s="676">
        <f>G27+G30</f>
        <v>16897.29</v>
      </c>
      <c r="H31" s="2656"/>
      <c r="I31" s="2656"/>
      <c r="J31" s="2656"/>
      <c r="K31" s="2656"/>
      <c r="L31" s="2656"/>
      <c r="M31" s="2656"/>
      <c r="N31" s="2656"/>
      <c r="O31" s="2656"/>
      <c r="P31" s="2656"/>
    </row>
    <row r="32" spans="1:19" ht="14.4">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activeCell="S33" sqref="S33"/>
      <selection pane="topRight" activeCell="S33" sqref="S33"/>
      <selection pane="bottomLeft" activeCell="S33" sqref="S33"/>
      <selection pane="bottomRight" activeCell="E38" sqref="E38"/>
    </sheetView>
  </sheetViews>
  <sheetFormatPr defaultColWidth="13.77734375" defaultRowHeight="13.2"/>
  <cols>
    <col min="1" max="1" width="20.77734375" style="1742" customWidth="1"/>
    <col min="2" max="2" width="12" style="1679" customWidth="1"/>
    <col min="3" max="3" width="12.77734375" style="1679" customWidth="1"/>
    <col min="4" max="4" width="9.109375" style="1743" customWidth="1"/>
    <col min="5" max="5" width="15" style="1679" bestFit="1" customWidth="1"/>
    <col min="6" max="10" width="8.77734375" style="1679" customWidth="1"/>
    <col min="11" max="12" width="12.33203125" style="1598" customWidth="1"/>
    <col min="13" max="13" width="8.6640625" style="1679" customWidth="1"/>
    <col min="14" max="14" width="11.77734375" style="1679" customWidth="1"/>
    <col min="15" max="15" width="8.44140625" style="1679" customWidth="1"/>
    <col min="16" max="17" width="10.77734375" style="1679" customWidth="1"/>
    <col min="18" max="19" width="12.44140625" style="1679" customWidth="1"/>
    <col min="20" max="20" width="12.109375" style="1679" customWidth="1"/>
    <col min="21" max="21" width="7.44140625" style="1679" customWidth="1"/>
    <col min="22" max="22" width="6.33203125" style="1679" customWidth="1"/>
    <col min="23" max="30" width="6.77734375" style="1679" customWidth="1"/>
    <col min="31" max="31" width="8" style="1679" customWidth="1"/>
    <col min="32" max="34" width="7.109375" style="1679" customWidth="1"/>
    <col min="35" max="39" width="8" style="1679" customWidth="1"/>
    <col min="40" max="40" width="13.77734375" style="1678"/>
    <col min="41" max="41" width="11.6640625" style="1678" customWidth="1"/>
    <col min="42" max="42" width="9.77734375" style="1678" customWidth="1"/>
    <col min="43" max="67" width="13.77734375" style="1678"/>
    <col min="68" max="16384" width="13.77734375" style="1679"/>
  </cols>
  <sheetData>
    <row r="1" spans="1:67" ht="18" thickBot="1">
      <c r="A1" s="1676" t="s">
        <v>1159</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 thickBot="1">
      <c r="A2" s="1680" t="s">
        <v>1160</v>
      </c>
      <c r="B2" s="1043">
        <f>项目基本情况!D3</f>
        <v>45511</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1167</v>
      </c>
      <c r="B5" s="1693" t="s">
        <v>1168</v>
      </c>
      <c r="C5" s="1694" t="s">
        <v>1169</v>
      </c>
      <c r="D5" s="1695" t="s">
        <v>1170</v>
      </c>
      <c r="E5" s="1045" t="s">
        <v>1171</v>
      </c>
      <c r="F5" s="1696" t="s">
        <v>1172</v>
      </c>
      <c r="G5" s="1045" t="s">
        <v>1173</v>
      </c>
      <c r="H5" s="1045" t="s">
        <v>1174</v>
      </c>
      <c r="I5" s="1045" t="s">
        <v>1175</v>
      </c>
      <c r="J5" s="1697" t="s">
        <v>1176</v>
      </c>
      <c r="K5" s="1698" t="s">
        <v>1177</v>
      </c>
      <c r="L5" s="1699" t="s">
        <v>1178</v>
      </c>
      <c r="M5" s="1700" t="s">
        <v>1179</v>
      </c>
      <c r="N5" s="1701" t="s">
        <v>3638</v>
      </c>
      <c r="O5" s="1699" t="s">
        <v>1180</v>
      </c>
      <c r="P5" s="1702" t="s">
        <v>1181</v>
      </c>
      <c r="Q5" s="61" t="s">
        <v>1182</v>
      </c>
      <c r="R5" s="1703" t="s">
        <v>1183</v>
      </c>
      <c r="S5" s="1704" t="s">
        <v>1184</v>
      </c>
      <c r="T5" s="1705" t="s">
        <v>1185</v>
      </c>
      <c r="U5" s="1044" t="s">
        <v>1186</v>
      </c>
      <c r="V5" s="1045" t="s">
        <v>1187</v>
      </c>
      <c r="W5" s="1045" t="s">
        <v>1188</v>
      </c>
      <c r="X5" s="63"/>
      <c r="Y5" s="62" t="s">
        <v>1189</v>
      </c>
      <c r="Z5" s="1706" t="s">
        <v>1186</v>
      </c>
      <c r="AA5" s="1045" t="s">
        <v>1187</v>
      </c>
      <c r="AB5" s="1045" t="s">
        <v>1188</v>
      </c>
      <c r="AC5" s="63"/>
      <c r="AD5" s="63" t="s">
        <v>1189</v>
      </c>
      <c r="AE5" s="1044" t="s">
        <v>1190</v>
      </c>
      <c r="AF5" s="1045" t="s">
        <v>1191</v>
      </c>
      <c r="AG5" s="62" t="s">
        <v>1192</v>
      </c>
      <c r="AH5" s="1044" t="s">
        <v>1193</v>
      </c>
      <c r="AI5" s="1706" t="s">
        <v>1194</v>
      </c>
      <c r="AJ5" s="1706" t="s">
        <v>1195</v>
      </c>
      <c r="AK5" s="1045" t="s">
        <v>1196</v>
      </c>
      <c r="AL5" s="1045" t="s">
        <v>1197</v>
      </c>
      <c r="AM5" s="62" t="s">
        <v>1198</v>
      </c>
      <c r="AN5" s="1707" t="s">
        <v>1199</v>
      </c>
      <c r="AO5" s="1559" t="s">
        <v>1200</v>
      </c>
      <c r="AP5" s="1026"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t="str">
        <f>'数据-汇总表'!C19</f>
        <v>安置房</v>
      </c>
      <c r="B6" s="1710" t="str">
        <f>IF(A6=0,"","经营性")</f>
        <v>经营性</v>
      </c>
      <c r="C6" s="1711" t="s">
        <v>3394</v>
      </c>
      <c r="D6" s="856">
        <f>SUMIF(项目基本情况!C$12:I$12,C6,项目基本情况!C$14:I$14)</f>
        <v>0</v>
      </c>
      <c r="E6" s="855">
        <f>IF(B6="","",SUMIF(项目基本情况!C$12:I$12,C6,项目基本情况!C$13:I$13))</f>
        <v>0</v>
      </c>
      <c r="F6" s="64">
        <f>SUMIF(项目基本情况!C$12:I$12,C6,项目基本情况!C$15:I$15)</f>
        <v>0</v>
      </c>
      <c r="G6" s="65">
        <f t="shared" ref="G6:G13" si="0">IF(ISERROR(ROUND(POWER(1+H6,D6-F6)*(POWER(1+H6,F6)-1)/(POWER(1+H6,D6)-1),3)),0,ROUND(POWER(1+H6,D6-F6)*(POWER(1+H6,F6)-1)/(POWER(1+H6,D6)-1),3))</f>
        <v>0</v>
      </c>
      <c r="H6" s="730">
        <v>0.04</v>
      </c>
      <c r="I6" s="730">
        <v>0.05</v>
      </c>
      <c r="J6" s="66"/>
      <c r="K6" s="1028">
        <f>SUMIF('数据-汇总表'!C$19:C$33,A6,'数据-汇总表'!E$19:E$33)</f>
        <v>23912</v>
      </c>
      <c r="L6" s="731">
        <v>5000</v>
      </c>
      <c r="M6" s="67">
        <f t="shared" ref="M6:M14" si="1">ROUND(K6*L6/10000,0)</f>
        <v>11956</v>
      </c>
      <c r="N6" s="729">
        <v>1</v>
      </c>
      <c r="O6" s="67" t="str">
        <f>IF($N$5="成新度","——",ROUND(M6*N6,0))</f>
        <v>——</v>
      </c>
      <c r="P6" s="68" t="str">
        <f>IF($N$5="成新度","——",M6-O6)</f>
        <v>——</v>
      </c>
      <c r="Q6" s="732">
        <v>0.03</v>
      </c>
      <c r="R6" s="69">
        <f ca="1">SUMIF('数据-汇总表'!C$19:C$33,A6,'数据-汇总表'!R$19:R$27)</f>
        <v>8938.81</v>
      </c>
      <c r="S6" s="51">
        <f>IF('数据-汇总表'!$I$17="按面积比例",SUMIF('数据-汇总表'!C$19:C$33,A6,'数据-汇总表'!K$19:K$33),SUMIF('数据-汇总表'!C$19:C$33,A6,'数据-汇总表'!N$19:N$33))</f>
        <v>2304.35</v>
      </c>
      <c r="T6" s="1169">
        <f>ROUND($L$14*S6/10000,0)</f>
        <v>1267</v>
      </c>
      <c r="U6" s="3425"/>
      <c r="V6" s="70"/>
      <c r="W6" s="70"/>
      <c r="X6" s="1038"/>
      <c r="Y6" s="71"/>
      <c r="Z6" s="72"/>
      <c r="AA6" s="66"/>
      <c r="AB6" s="66"/>
      <c r="AC6" s="1038"/>
      <c r="AD6" s="73"/>
      <c r="AE6" s="1039">
        <f ca="1">IF(AN6="",0,SUMIF(INDIRECT("'"&amp;AN6&amp;"'"&amp;"!E:E"),$AE$5,INDIRECT("'"&amp;AN6&amp;"'"&amp;"!F:F")))</f>
        <v>0</v>
      </c>
      <c r="AF6" s="1345"/>
      <c r="AG6" s="137">
        <f>IF(AF6="",0,AE6-AF6)</f>
        <v>0</v>
      </c>
      <c r="AH6" s="74"/>
      <c r="AI6" s="76"/>
      <c r="AJ6" s="77"/>
      <c r="AK6" s="78">
        <v>2.5000000000000001E-2</v>
      </c>
      <c r="AL6" s="79">
        <v>2.5000000000000001E-3</v>
      </c>
      <c r="AM6" s="80">
        <v>2.5000000000000001E-2</v>
      </c>
      <c r="AN6" s="1712" t="s">
        <v>3639</v>
      </c>
      <c r="AO6" s="52">
        <f ca="1">SUMIF(INDIRECT("'"&amp;AN6&amp;"'"&amp;"!A:A"),"总价",INDIRECT("'"&amp;AN6&amp;"'"&amp;"!B:B"))</f>
        <v>53990</v>
      </c>
      <c r="AP6" s="1713">
        <f>IF(C6="住宅",K6*L6,0)</f>
        <v>119560000</v>
      </c>
      <c r="AQ6" s="52" t="e">
        <f>ROUND($L$14*#REF!*S6/10000,0)</f>
        <v>#REF!</v>
      </c>
      <c r="AR6" s="52" t="e">
        <f>ROUND($L$14*(1-#REF!)*S6/10000,0)</f>
        <v>#REF!</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t="str">
        <f>'数据-汇总表'!C20</f>
        <v>地下车库</v>
      </c>
      <c r="B7" s="1710" t="str">
        <f t="shared" ref="B7:B13" si="2">IF(A7=0,"","经营性")</f>
        <v>经营性</v>
      </c>
      <c r="C7" s="1711" t="s">
        <v>3333</v>
      </c>
      <c r="D7" s="856">
        <f>SUMIF(项目基本情况!C$12:I$12,C7,项目基本情况!C$14:I$14)</f>
        <v>0</v>
      </c>
      <c r="E7" s="855">
        <f>IF(B7="","",SUMIF(项目基本情况!C$12:I$12,C7,项目基本情况!C$13:I$13))</f>
        <v>0</v>
      </c>
      <c r="F7" s="64">
        <f>SUMIF(项目基本情况!C$12:I$12,C7,项目基本情况!C$15:I$15)</f>
        <v>0</v>
      </c>
      <c r="G7" s="65">
        <f t="shared" si="0"/>
        <v>0</v>
      </c>
      <c r="H7" s="730">
        <v>0.04</v>
      </c>
      <c r="I7" s="730">
        <v>0.05</v>
      </c>
      <c r="J7" s="66"/>
      <c r="K7" s="1028">
        <f>SUMIF('数据-汇总表'!C$19:C$33,A7,'数据-汇总表'!E$19:E$33)</f>
        <v>10279.290000000001</v>
      </c>
      <c r="L7" s="731">
        <v>5500</v>
      </c>
      <c r="M7" s="67">
        <f t="shared" si="1"/>
        <v>5654</v>
      </c>
      <c r="N7" s="729">
        <v>1</v>
      </c>
      <c r="O7" s="67" t="str">
        <f t="shared" ref="O7:O12" si="3">IF($N$5="成新度","——",ROUND(M7*N7,0))</f>
        <v>——</v>
      </c>
      <c r="P7" s="68" t="str">
        <f t="shared" ref="P7:P14" si="4">IF($N$5="成新度","——",M7-O7)</f>
        <v>——</v>
      </c>
      <c r="Q7" s="732">
        <v>0</v>
      </c>
      <c r="R7" s="69">
        <f ca="1">SUMIF('数据-汇总表'!C$19:C$33,A7,'数据-汇总表'!R$19:R$27)</f>
        <v>3842.61</v>
      </c>
      <c r="S7" s="51">
        <f>IF('数据-汇总表'!$I$17="按面积比例",SUMIF('数据-汇总表'!C$19:C$33,A7,'数据-汇总表'!K$19:K$33),SUMIF('数据-汇总表'!C$19:C$33,A7,'数据-汇总表'!N$19:N$33))</f>
        <v>990.59</v>
      </c>
      <c r="T7" s="1169">
        <f t="shared" ref="T7:T13" si="5">ROUND($L$14*S7/10000,0)</f>
        <v>545</v>
      </c>
      <c r="U7" s="3425"/>
      <c r="V7" s="70"/>
      <c r="W7" s="70"/>
      <c r="X7" s="1038"/>
      <c r="Y7" s="71"/>
      <c r="Z7" s="72"/>
      <c r="AA7" s="66"/>
      <c r="AB7" s="66"/>
      <c r="AC7" s="1038"/>
      <c r="AD7" s="73"/>
      <c r="AE7" s="1039">
        <f t="shared" ref="AE7:AE13" ca="1" si="6">IF(AN7="",0,SUMIF(INDIRECT("'"&amp;AN7&amp;"'"&amp;"!E:E"),$AE$5,INDIRECT("'"&amp;AN7&amp;"'"&amp;"!F:F")))</f>
        <v>0</v>
      </c>
      <c r="AF7" s="1345"/>
      <c r="AG7" s="137">
        <f t="shared" ref="AG7:AG13" si="7">IF(AF7="",0,AE7-AF7)</f>
        <v>0</v>
      </c>
      <c r="AH7" s="74"/>
      <c r="AI7" s="76"/>
      <c r="AJ7" s="77"/>
      <c r="AK7" s="78"/>
      <c r="AL7" s="79"/>
      <c r="AM7" s="80"/>
      <c r="AN7" s="1712" t="s">
        <v>3639</v>
      </c>
      <c r="AO7" s="52">
        <f t="shared" ref="AO7:AO13" ca="1" si="8">SUMIF(INDIRECT("'"&amp;AN7&amp;"'"&amp;"!A:A"),"总价",INDIRECT("'"&amp;AN7&amp;"'"&amp;"!B:B"))</f>
        <v>53990</v>
      </c>
      <c r="AP7" s="1713">
        <f t="shared" ref="AP7:AP13" si="9">IF(C7="住宅",K7*L7,0)</f>
        <v>0</v>
      </c>
      <c r="AQ7" s="52" t="e">
        <f>ROUND($L$14*#REF!*S7/10000,0)</f>
        <v>#REF!</v>
      </c>
      <c r="AR7" s="52" t="e">
        <f>ROUND($L$14*(1-#REF!)*S7/10000,0)</f>
        <v>#REF!</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t="str">
        <f>'数据-汇总表'!C21</f>
        <v>地下仓储</v>
      </c>
      <c r="B8" s="1710" t="str">
        <f t="shared" si="2"/>
        <v>经营性</v>
      </c>
      <c r="C8" s="1711" t="s">
        <v>3334</v>
      </c>
      <c r="D8" s="856">
        <f>SUMIF(项目基本情况!C$12:I$12,C8,项目基本情况!C$14:I$14)</f>
        <v>0</v>
      </c>
      <c r="E8" s="855">
        <f>IF(B8="","",SUMIF(项目基本情况!C$12:I$12,C8,项目基本情况!C$13:I$13))</f>
        <v>0</v>
      </c>
      <c r="F8" s="64">
        <f>SUMIF(项目基本情况!C$12:I$12,C8,项目基本情况!C$15:I$15)</f>
        <v>0</v>
      </c>
      <c r="G8" s="65">
        <f t="shared" si="0"/>
        <v>0</v>
      </c>
      <c r="H8" s="730">
        <v>0.04</v>
      </c>
      <c r="I8" s="730">
        <v>0.05</v>
      </c>
      <c r="J8" s="66"/>
      <c r="K8" s="1028">
        <f>SUMIF('数据-汇总表'!C$19:C$33,A8,'数据-汇总表'!E$19:E$33)</f>
        <v>3422</v>
      </c>
      <c r="L8" s="731">
        <f>L7</f>
        <v>5500</v>
      </c>
      <c r="M8" s="67">
        <f>ROUND(K8*L8/10000,0)</f>
        <v>1882</v>
      </c>
      <c r="N8" s="729">
        <v>1</v>
      </c>
      <c r="O8" s="67" t="str">
        <f t="shared" si="3"/>
        <v>——</v>
      </c>
      <c r="P8" s="68" t="str">
        <f t="shared" si="4"/>
        <v>——</v>
      </c>
      <c r="Q8" s="732">
        <v>0</v>
      </c>
      <c r="R8" s="69">
        <f ca="1">SUMIF('数据-汇总表'!C$19:C$33,A8,'数据-汇总表'!R$19:R$27)</f>
        <v>1279.22</v>
      </c>
      <c r="S8" s="51">
        <f>IF('数据-汇总表'!$I$17="按面积比例",SUMIF('数据-汇总表'!C$19:C$33,A8,'数据-汇总表'!K$19:K$33),SUMIF('数据-汇总表'!C$19:C$33,A8,'数据-汇总表'!N$19:N$33))</f>
        <v>329.77</v>
      </c>
      <c r="T8" s="1169">
        <f t="shared" si="5"/>
        <v>181</v>
      </c>
      <c r="U8" s="3426"/>
      <c r="V8" s="733"/>
      <c r="W8" s="733"/>
      <c r="X8" s="1038"/>
      <c r="Y8" s="71"/>
      <c r="Z8" s="72"/>
      <c r="AA8" s="66"/>
      <c r="AB8" s="66"/>
      <c r="AC8" s="1038"/>
      <c r="AD8" s="73"/>
      <c r="AE8" s="1039">
        <f t="shared" ca="1" si="6"/>
        <v>0</v>
      </c>
      <c r="AF8" s="1345"/>
      <c r="AG8" s="137">
        <f t="shared" si="7"/>
        <v>0</v>
      </c>
      <c r="AH8" s="734"/>
      <c r="AI8" s="76"/>
      <c r="AJ8" s="77"/>
      <c r="AK8" s="735"/>
      <c r="AL8" s="736"/>
      <c r="AM8" s="737"/>
      <c r="AN8" s="1712" t="s">
        <v>3639</v>
      </c>
      <c r="AO8" s="52">
        <f t="shared" ca="1" si="8"/>
        <v>53990</v>
      </c>
      <c r="AP8" s="1713">
        <f t="shared" si="9"/>
        <v>0</v>
      </c>
      <c r="AQ8" s="52" t="e">
        <f>ROUND($L$14*#REF!*S8/10000,0)</f>
        <v>#REF!</v>
      </c>
      <c r="AR8" s="52" t="e">
        <f>ROUND($L$14*(1-#REF!)*S8/10000,0)</f>
        <v>#REF!</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f>'数据-汇总表'!C22</f>
        <v>0</v>
      </c>
      <c r="B9" s="1710" t="str">
        <f t="shared" si="2"/>
        <v/>
      </c>
      <c r="C9" s="1711"/>
      <c r="D9" s="856">
        <f>SUMIF(项目基本情况!C$12:I$12,C9,项目基本情况!C$14:I$14)</f>
        <v>0</v>
      </c>
      <c r="E9" s="855" t="str">
        <f>IF(B9="","",SUMIF(项目基本情况!C$12:I$12,C9,项目基本情况!C$13:I$13))</f>
        <v/>
      </c>
      <c r="F9" s="64">
        <f>SUMIF(项目基本情况!C$12:I$12,C9,项目基本情况!C$15:I$15)</f>
        <v>0</v>
      </c>
      <c r="G9" s="65">
        <f t="shared" si="0"/>
        <v>0</v>
      </c>
      <c r="H9" s="66"/>
      <c r="I9" s="66"/>
      <c r="J9" s="66"/>
      <c r="K9" s="1028">
        <f>SUMIF('数据-汇总表'!C$19:C$33,A9,'数据-汇总表'!E$19:E$33)</f>
        <v>0</v>
      </c>
      <c r="L9" s="731"/>
      <c r="M9" s="67">
        <f t="shared" si="1"/>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8"/>
      <c r="Y9" s="71"/>
      <c r="Z9" s="72"/>
      <c r="AA9" s="66"/>
      <c r="AB9" s="66"/>
      <c r="AC9" s="1038"/>
      <c r="AD9" s="73"/>
      <c r="AE9" s="1039">
        <f t="shared" ca="1" si="6"/>
        <v>0</v>
      </c>
      <c r="AF9" s="1345"/>
      <c r="AG9" s="137">
        <f t="shared" si="7"/>
        <v>0</v>
      </c>
      <c r="AH9" s="74"/>
      <c r="AI9" s="76"/>
      <c r="AJ9" s="77"/>
      <c r="AK9" s="78"/>
      <c r="AL9" s="79"/>
      <c r="AM9" s="80"/>
      <c r="AN9" s="1712"/>
      <c r="AO9" s="52" t="e">
        <f t="shared" ca="1" si="8"/>
        <v>#REF!</v>
      </c>
      <c r="AP9" s="1713">
        <f t="shared" si="9"/>
        <v>0</v>
      </c>
      <c r="AQ9" s="52" t="e">
        <f>ROUND($L$14*#REF!*S9/10000,0)</f>
        <v>#REF!</v>
      </c>
      <c r="AR9" s="52" t="e">
        <f>ROUND($L$14*(1-#REF!)*S9/10000,0)</f>
        <v>#REF!</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2"/>
        <v/>
      </c>
      <c r="C10" s="1711"/>
      <c r="D10" s="856">
        <f>SUMIF(项目基本情况!C$12:I$12,C10,项目基本情况!C$14:I$14)</f>
        <v>0</v>
      </c>
      <c r="E10" s="855" t="str">
        <f>IF(B10="","",SUMIF(项目基本情况!C$12:I$12,C10,项目基本情况!C$13:I$13))</f>
        <v/>
      </c>
      <c r="F10" s="64">
        <f>SUMIF(项目基本情况!C$12:I$12,C10,项目基本情况!C$15:I$15)</f>
        <v>0</v>
      </c>
      <c r="G10" s="65">
        <f t="shared" si="0"/>
        <v>0</v>
      </c>
      <c r="H10" s="66"/>
      <c r="I10" s="66"/>
      <c r="J10" s="66"/>
      <c r="K10" s="1028">
        <f>SUMIF('数据-汇总表'!C$19:C$33,A10,'数据-汇总表'!E$19:E$33)</f>
        <v>0</v>
      </c>
      <c r="L10" s="731"/>
      <c r="M10" s="67">
        <f t="shared" si="1"/>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8"/>
      <c r="Y10" s="71"/>
      <c r="Z10" s="72"/>
      <c r="AA10" s="66"/>
      <c r="AB10" s="66"/>
      <c r="AC10" s="1038"/>
      <c r="AD10" s="73"/>
      <c r="AE10" s="1039">
        <f t="shared" ca="1" si="6"/>
        <v>0</v>
      </c>
      <c r="AF10" s="1345"/>
      <c r="AG10" s="137">
        <f t="shared" si="7"/>
        <v>0</v>
      </c>
      <c r="AH10" s="74"/>
      <c r="AI10" s="76"/>
      <c r="AJ10" s="77"/>
      <c r="AK10" s="78"/>
      <c r="AL10" s="79"/>
      <c r="AM10" s="80"/>
      <c r="AN10" s="1712"/>
      <c r="AO10" s="52" t="e">
        <f t="shared" ca="1" si="8"/>
        <v>#REF!</v>
      </c>
      <c r="AP10" s="1713">
        <f t="shared" si="9"/>
        <v>0</v>
      </c>
      <c r="AQ10" s="52" t="e">
        <f>ROUND($L$14*#REF!*S10/10000,0)</f>
        <v>#REF!</v>
      </c>
      <c r="AR10" s="52" t="e">
        <f>ROUND($L$14*(1-#REF!)*S10/10000,0)</f>
        <v>#REF!</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2"/>
        <v/>
      </c>
      <c r="C11" s="1711"/>
      <c r="D11" s="856">
        <f>SUMIF(项目基本情况!C$12:I$12,C11,项目基本情况!C$14:I$14)</f>
        <v>0</v>
      </c>
      <c r="E11" s="855" t="str">
        <f>IF(B11="","",SUMIF(项目基本情况!C$12:I$12,C11,项目基本情况!C$13:I$13))</f>
        <v/>
      </c>
      <c r="F11" s="64">
        <f>SUMIF(项目基本情况!C$12:I$12,C11,项目基本情况!C$15:I$15)</f>
        <v>0</v>
      </c>
      <c r="G11" s="65">
        <f t="shared" si="0"/>
        <v>0</v>
      </c>
      <c r="H11" s="66"/>
      <c r="I11" s="66"/>
      <c r="J11" s="66"/>
      <c r="K11" s="1028">
        <f>SUMIF('数据-汇总表'!C$19:C$33,A11,'数据-汇总表'!E$19:E$33)</f>
        <v>0</v>
      </c>
      <c r="L11" s="82"/>
      <c r="M11" s="67">
        <f t="shared" si="1"/>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8"/>
      <c r="Y11" s="71"/>
      <c r="Z11" s="84"/>
      <c r="AA11" s="66"/>
      <c r="AB11" s="66"/>
      <c r="AC11" s="1038"/>
      <c r="AD11" s="73"/>
      <c r="AE11" s="1039">
        <f t="shared" ca="1" si="6"/>
        <v>0</v>
      </c>
      <c r="AF11" s="1345"/>
      <c r="AG11" s="137">
        <f t="shared" si="7"/>
        <v>0</v>
      </c>
      <c r="AH11" s="74"/>
      <c r="AI11" s="76"/>
      <c r="AJ11" s="77"/>
      <c r="AK11" s="85"/>
      <c r="AL11" s="86"/>
      <c r="AM11" s="87"/>
      <c r="AN11" s="1712"/>
      <c r="AO11" s="52" t="e">
        <f t="shared" ca="1" si="8"/>
        <v>#REF!</v>
      </c>
      <c r="AP11" s="1713">
        <f t="shared" si="9"/>
        <v>0</v>
      </c>
      <c r="AQ11" s="52" t="e">
        <f>ROUND($L$14*#REF!*S11/10000,0)</f>
        <v>#REF!</v>
      </c>
      <c r="AR11" s="52" t="e">
        <f>ROUND($L$14*(1-#REF!)*S11/10000,0)</f>
        <v>#REF!</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2"/>
        <v/>
      </c>
      <c r="C12" s="1711"/>
      <c r="D12" s="856">
        <f>SUMIF(项目基本情况!C$12:I$12,C12,项目基本情况!C$14:I$14)</f>
        <v>0</v>
      </c>
      <c r="E12" s="855" t="str">
        <f>IF(B12="","",SUMIF(项目基本情况!C$12:I$12,C12,项目基本情况!C$13:I$13))</f>
        <v/>
      </c>
      <c r="F12" s="64">
        <f>SUMIF(项目基本情况!C$12:I$12,C12,项目基本情况!C$15:I$15)</f>
        <v>0</v>
      </c>
      <c r="G12" s="65">
        <f t="shared" si="0"/>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8"/>
      <c r="Y12" s="71"/>
      <c r="Z12" s="84"/>
      <c r="AA12" s="66"/>
      <c r="AB12" s="66"/>
      <c r="AC12" s="1038"/>
      <c r="AD12" s="73"/>
      <c r="AE12" s="1039">
        <f t="shared" ca="1" si="6"/>
        <v>0</v>
      </c>
      <c r="AF12" s="1345"/>
      <c r="AG12" s="137">
        <f t="shared" si="7"/>
        <v>0</v>
      </c>
      <c r="AH12" s="74"/>
      <c r="AI12" s="76"/>
      <c r="AJ12" s="77"/>
      <c r="AK12" s="85"/>
      <c r="AL12" s="86"/>
      <c r="AM12" s="87"/>
      <c r="AN12" s="1712"/>
      <c r="AO12" s="52" t="e">
        <f t="shared" ca="1" si="8"/>
        <v>#REF!</v>
      </c>
      <c r="AP12" s="1713">
        <f t="shared" si="9"/>
        <v>0</v>
      </c>
      <c r="AQ12" s="52" t="e">
        <f>ROUND($L$14*#REF!*S12/10000,0)</f>
        <v>#REF!</v>
      </c>
      <c r="AR12" s="52" t="e">
        <f>ROUND($L$14*(1-#REF!)*S12/10000,0)</f>
        <v>#REF!</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2"/>
        <v/>
      </c>
      <c r="C13" s="1711"/>
      <c r="D13" s="856">
        <f>SUMIF(项目基本情况!C$12:I$12,C13,项目基本情况!C$14:I$14)</f>
        <v>0</v>
      </c>
      <c r="E13" s="855" t="str">
        <f>IF(B13="","",SUMIF(项目基本情况!C$12:I$12,C13,项目基本情况!C$13:I$13))</f>
        <v/>
      </c>
      <c r="F13" s="64">
        <f>SUMIF(项目基本情况!C$12:I$12,C13,项目基本情况!C$15:I$15)</f>
        <v>0</v>
      </c>
      <c r="G13" s="65">
        <f t="shared" si="0"/>
        <v>0</v>
      </c>
      <c r="H13" s="66"/>
      <c r="I13" s="66"/>
      <c r="J13" s="66"/>
      <c r="K13" s="1028">
        <f>SUMIF('数据-汇总表'!C$19:C$33,A13,'数据-汇总表'!E$19:E$33)</f>
        <v>0</v>
      </c>
      <c r="L13" s="82"/>
      <c r="M13" s="67">
        <f>ROUND(K13*L13/10000,0)</f>
        <v>0</v>
      </c>
      <c r="N13" s="1683"/>
      <c r="O13" s="67" t="str">
        <f>IF($N$5="成新度","——",ROUND(M13*N14,0))</f>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8"/>
      <c r="Y13" s="71"/>
      <c r="Z13" s="72"/>
      <c r="AA13" s="66"/>
      <c r="AB13" s="66"/>
      <c r="AC13" s="1038"/>
      <c r="AD13" s="73"/>
      <c r="AE13" s="1039">
        <f t="shared" ca="1" si="6"/>
        <v>0</v>
      </c>
      <c r="AF13" s="1345"/>
      <c r="AG13" s="137">
        <f t="shared" si="7"/>
        <v>0</v>
      </c>
      <c r="AH13" s="74"/>
      <c r="AI13" s="76"/>
      <c r="AJ13" s="77"/>
      <c r="AK13" s="78"/>
      <c r="AL13" s="79"/>
      <c r="AM13" s="80"/>
      <c r="AN13" s="1712"/>
      <c r="AO13" s="52" t="e">
        <f t="shared" ca="1" si="8"/>
        <v>#REF!</v>
      </c>
      <c r="AP13" s="1713">
        <f t="shared" si="9"/>
        <v>0</v>
      </c>
      <c r="AQ13" s="52" t="e">
        <f>ROUND($L$14*#REF!*S13/10000,0)</f>
        <v>#REF!</v>
      </c>
      <c r="AR13" s="52" t="e">
        <f>ROUND($L$14*(1-#REF!)*S13/10000,0)</f>
        <v>#REF!</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1204</v>
      </c>
      <c r="B14" s="1710" t="s">
        <v>1205</v>
      </c>
      <c r="C14" s="1715" t="s">
        <v>1204</v>
      </c>
      <c r="D14" s="856"/>
      <c r="E14" s="855"/>
      <c r="F14" s="64"/>
      <c r="G14" s="65"/>
      <c r="H14" s="1027"/>
      <c r="I14" s="1027"/>
      <c r="J14" s="1027"/>
      <c r="K14" s="1028">
        <f>SUMIF('数据-汇总表'!C$19:C$33,A14,'数据-汇总表'!E$19:E$33)</f>
        <v>3624.71</v>
      </c>
      <c r="L14" s="82">
        <f>L8</f>
        <v>5500</v>
      </c>
      <c r="M14" s="67">
        <f t="shared" si="1"/>
        <v>1994</v>
      </c>
      <c r="N14" s="83">
        <v>1</v>
      </c>
      <c r="O14" s="67" t="str">
        <f>IF($N$5="成新度","——",ROUND(M14*#REF!,0))</f>
        <v>——</v>
      </c>
      <c r="P14" s="68" t="str">
        <f t="shared" si="4"/>
        <v>——</v>
      </c>
      <c r="Q14" s="1031"/>
      <c r="R14" s="69"/>
      <c r="S14" s="51"/>
      <c r="T14" s="1169"/>
      <c r="U14" s="669"/>
      <c r="V14" s="1033"/>
      <c r="W14" s="1033"/>
      <c r="X14" s="1034"/>
      <c r="Y14" s="1035"/>
      <c r="Z14" s="1036"/>
      <c r="AA14" s="1037"/>
      <c r="AB14" s="1037"/>
      <c r="AC14" s="1038"/>
      <c r="AD14" s="1034"/>
      <c r="AE14" s="1039"/>
      <c r="AF14" s="52"/>
      <c r="AG14" s="137"/>
      <c r="AH14" s="1039"/>
      <c r="AI14" s="1354"/>
      <c r="AJ14" s="702"/>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1206</v>
      </c>
      <c r="B15" s="1710" t="s">
        <v>1205</v>
      </c>
      <c r="C15" s="1715" t="s">
        <v>1207</v>
      </c>
      <c r="D15" s="856"/>
      <c r="E15" s="855"/>
      <c r="F15" s="64"/>
      <c r="G15" s="65"/>
      <c r="H15" s="1027"/>
      <c r="I15" s="1027"/>
      <c r="J15" s="1027"/>
      <c r="K15" s="1028">
        <f>SUMIF('数据-汇总表'!C$19:C$33,A15,'数据-汇总表'!E$19:E$33)</f>
        <v>0</v>
      </c>
      <c r="L15" s="1029"/>
      <c r="M15" s="67"/>
      <c r="N15" s="1030"/>
      <c r="O15" s="67"/>
      <c r="P15" s="68"/>
      <c r="Q15" s="1031"/>
      <c r="R15" s="69"/>
      <c r="S15" s="51"/>
      <c r="T15" s="1169"/>
      <c r="U15" s="669"/>
      <c r="V15" s="1033"/>
      <c r="W15" s="1033"/>
      <c r="X15" s="1034"/>
      <c r="Y15" s="1035"/>
      <c r="Z15" s="1036"/>
      <c r="AA15" s="1037"/>
      <c r="AB15" s="1037"/>
      <c r="AC15" s="1038"/>
      <c r="AD15" s="1034"/>
      <c r="AE15" s="1039"/>
      <c r="AF15" s="52"/>
      <c r="AG15" s="137"/>
      <c r="AH15" s="1039"/>
      <c r="AI15" s="1354"/>
      <c r="AJ15" s="702"/>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1208</v>
      </c>
      <c r="B16" s="88"/>
      <c r="C16" s="831"/>
      <c r="D16" s="1717"/>
      <c r="E16" s="88"/>
      <c r="F16" s="88"/>
      <c r="G16" s="89" t="e">
        <f>ROUND(SUMPRODUCT(G6:G13,K6:K13)/SUMPRODUCT((G6:G13&gt;0)*(K6:K13)),3)</f>
        <v>#DIV/0!</v>
      </c>
      <c r="H16" s="90">
        <f>ROUND(SUMPRODUCT(H6:H13,K6:K13)/SUMPRODUCT((H6:H13&gt;0)*(K6:K13)),3)</f>
        <v>0.04</v>
      </c>
      <c r="I16" s="91"/>
      <c r="J16" s="91"/>
      <c r="K16" s="92">
        <f>SUM(K6:K15)</f>
        <v>41238</v>
      </c>
      <c r="L16" s="93">
        <f>ROUND(M16*10000/SUM(K6:K14),0)</f>
        <v>5210</v>
      </c>
      <c r="M16" s="93">
        <f>SUM(M6:M14)</f>
        <v>21486</v>
      </c>
      <c r="N16" s="94">
        <f>ROUND(SUMPRODUCT(M6:M14,N6:N14)/M16,3)</f>
        <v>1</v>
      </c>
      <c r="O16" s="93">
        <f>SUM(O6:O14)</f>
        <v>0</v>
      </c>
      <c r="P16" s="93">
        <f>SUM(P6:P14)</f>
        <v>0</v>
      </c>
      <c r="Q16" s="95">
        <f>ROUND(SUMPRODUCT(Q6:Q13,K6:K13)/SUMPRODUCT((Q6:Q13&gt;0)*(K6:K13)),2)</f>
        <v>0.03</v>
      </c>
      <c r="R16" s="1032">
        <f ca="1">SUM(R6:R13)</f>
        <v>14060.64</v>
      </c>
      <c r="S16" s="96">
        <f>SUM(S6:S13)</f>
        <v>3624.71</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19" t="s">
        <v>1210</v>
      </c>
      <c r="B19" s="103">
        <v>1</v>
      </c>
      <c r="C19" s="2796" t="s">
        <v>2302</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0" t="s">
        <v>1211</v>
      </c>
      <c r="B20" s="104">
        <v>2</v>
      </c>
      <c r="C20" s="2797" t="s">
        <v>2300</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1" t="s">
        <v>1212</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0" t="s">
        <v>1213</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1" t="s">
        <v>1214</v>
      </c>
      <c r="B23" s="105">
        <f>B19+B21</f>
        <v>3</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8.8">
      <c r="A27" s="1724" t="s">
        <v>1219</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8.8">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9.4" thickBot="1">
      <c r="A29" s="1727" t="s">
        <v>1221</v>
      </c>
      <c r="B29" s="112">
        <v>160</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8.8">
      <c r="A30" s="1728" t="s">
        <v>1222</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8.8">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9.4" thickBot="1">
      <c r="A32" s="1729" t="s">
        <v>1224</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4">
      <c r="A33" s="1724" t="s">
        <v>1225</v>
      </c>
      <c r="B33" s="3602">
        <v>0.1</v>
      </c>
      <c r="C33" s="2800" t="s">
        <v>3381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4">
      <c r="A34" s="1726" t="s">
        <v>1226</v>
      </c>
      <c r="B34" s="113">
        <v>0.1</v>
      </c>
      <c r="C34" s="2800" t="s">
        <v>2294</v>
      </c>
      <c r="D34" s="2681" t="s">
        <v>2301</v>
      </c>
      <c r="E34" s="2679"/>
      <c r="F34" s="2670"/>
      <c r="G34" s="2670"/>
      <c r="H34" s="2670"/>
      <c r="I34" s="2670"/>
      <c r="J34" s="2670"/>
      <c r="K34" s="2669"/>
      <c r="L34" s="2669"/>
      <c r="M34" s="2668"/>
      <c r="N34" s="2668"/>
      <c r="O34" s="2668"/>
      <c r="P34" s="2668"/>
      <c r="Q34" s="2668"/>
      <c r="R34" s="2668"/>
      <c r="S34" s="2668"/>
      <c r="T34" s="792"/>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4">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3382</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8" t="s">
        <v>1229</v>
      </c>
      <c r="B37" s="3603">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6" t="s">
        <v>1230</v>
      </c>
      <c r="B38" s="3604">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29" t="s">
        <v>1231</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3809</v>
      </c>
      <c r="B40" s="1075">
        <f ca="1">IF(A40="利息：取LPR",存贷款利率!G1,存贷款利率!G1+C40)</f>
        <v>3.5799999999999998E-2</v>
      </c>
      <c r="C40" s="2811">
        <v>2.3E-3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4" t="s">
        <v>1232</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0" t="s">
        <v>1233</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0" t="s">
        <v>1234</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1" t="s">
        <v>1235</v>
      </c>
      <c r="B44" s="118">
        <v>0.05</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1" t="s">
        <v>1236</v>
      </c>
      <c r="B45" s="116">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1" t="s">
        <v>1237</v>
      </c>
      <c r="B46" s="116">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19"/>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3" t="s">
        <v>1239</v>
      </c>
      <c r="B48" s="120">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6">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4" t="s">
        <v>1241</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4" t="s">
        <v>1243</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6" t="s">
        <v>1244</v>
      </c>
      <c r="B53" s="1735" t="s">
        <v>29</v>
      </c>
      <c r="C53" s="2658" t="s">
        <v>1245</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6"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6" t="s">
        <v>1251</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S33" sqref="S33"/>
      <selection pane="topRight" activeCell="S33" sqref="S33"/>
      <selection pane="bottomLeft" activeCell="S33" sqref="S33"/>
      <selection pane="bottomRight" activeCell="F20" sqref="F20"/>
    </sheetView>
  </sheetViews>
  <sheetFormatPr defaultColWidth="9" defaultRowHeight="13.8"/>
  <cols>
    <col min="1" max="1" width="9.44140625" style="1683" customWidth="1"/>
    <col min="2" max="2" width="24.44140625" style="1569" customWidth="1"/>
    <col min="3" max="3" width="24.44140625" style="2507" customWidth="1"/>
    <col min="4" max="4" width="2.6640625" style="2507" customWidth="1"/>
    <col min="5" max="5" width="5.77734375" style="2507" customWidth="1"/>
    <col min="6" max="6" width="27" style="1569" customWidth="1"/>
    <col min="7" max="7" width="27" style="2508" customWidth="1"/>
    <col min="8" max="8" width="11.77734375" style="2488" customWidth="1"/>
    <col min="9" max="9" width="16.77734375" style="2489" customWidth="1"/>
    <col min="10" max="10" width="2.6640625" style="2488" customWidth="1"/>
    <col min="11" max="11" width="11.77734375" style="2488" customWidth="1"/>
    <col min="12" max="12" width="16.77734375" style="2489" customWidth="1"/>
    <col min="13" max="13" width="2.6640625" style="2488" customWidth="1"/>
    <col min="14" max="14" width="11.77734375" style="2488" customWidth="1"/>
    <col min="15" max="15" width="16.77734375" style="2489" customWidth="1"/>
    <col min="16" max="16" width="2.6640625" style="2488" customWidth="1"/>
    <col min="17" max="17" width="11.77734375" style="2488" customWidth="1"/>
    <col min="18" max="18" width="16.77734375" style="2490" customWidth="1"/>
    <col min="19" max="29" width="9" style="797"/>
    <col min="30" max="16384" width="9" style="1683"/>
  </cols>
  <sheetData>
    <row r="1" spans="1:29" s="2454" customFormat="1" ht="18" thickBot="1">
      <c r="A1" s="3713" t="s">
        <v>2285</v>
      </c>
      <c r="B1" s="3714"/>
      <c r="C1" s="3714"/>
      <c r="D1" s="3714"/>
      <c r="E1" s="3714"/>
      <c r="F1" s="3714"/>
      <c r="G1" s="371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7.200000000000003">
      <c r="A4" s="2439"/>
      <c r="B4" s="322" t="s">
        <v>2253</v>
      </c>
      <c r="C4" s="2465" t="s">
        <v>2254</v>
      </c>
      <c r="D4" s="2462"/>
      <c r="E4" s="2466"/>
      <c r="F4" s="1370" t="s">
        <v>2255</v>
      </c>
      <c r="G4" s="2467" t="s">
        <v>2256</v>
      </c>
      <c r="H4" s="797"/>
      <c r="I4" s="797"/>
      <c r="J4" s="797"/>
      <c r="K4" s="797"/>
      <c r="L4" s="797"/>
      <c r="M4" s="797"/>
      <c r="N4" s="797"/>
      <c r="O4" s="797"/>
      <c r="P4" s="797"/>
      <c r="Q4" s="797"/>
      <c r="R4" s="797"/>
    </row>
    <row r="5" spans="1:29" ht="37.200000000000003">
      <c r="A5" s="2439"/>
      <c r="B5" s="322" t="s">
        <v>2257</v>
      </c>
      <c r="C5" s="2465" t="s">
        <v>2258</v>
      </c>
      <c r="D5" s="2462"/>
      <c r="E5" s="2466"/>
      <c r="F5" s="322" t="s">
        <v>2259</v>
      </c>
      <c r="G5" s="2467" t="s">
        <v>2260</v>
      </c>
      <c r="H5" s="797"/>
      <c r="I5" s="797"/>
      <c r="J5" s="797"/>
      <c r="K5" s="797"/>
      <c r="L5" s="797"/>
      <c r="M5" s="797"/>
      <c r="N5" s="797"/>
      <c r="O5" s="797"/>
      <c r="P5" s="797"/>
      <c r="Q5" s="797"/>
      <c r="R5" s="797"/>
    </row>
    <row r="6" spans="1:29" ht="48">
      <c r="A6" s="2439"/>
      <c r="B6" s="322" t="s">
        <v>2261</v>
      </c>
      <c r="C6" s="2467" t="s">
        <v>2256</v>
      </c>
      <c r="D6" s="2462"/>
      <c r="E6" s="2466"/>
      <c r="F6" s="322" t="s">
        <v>2262</v>
      </c>
      <c r="G6" s="2467" t="s">
        <v>2263</v>
      </c>
      <c r="H6" s="797"/>
      <c r="I6" s="797"/>
      <c r="J6" s="797"/>
      <c r="K6" s="797"/>
      <c r="L6" s="797"/>
      <c r="M6" s="797"/>
      <c r="N6" s="797"/>
      <c r="O6" s="797"/>
      <c r="P6" s="797"/>
      <c r="Q6" s="797"/>
      <c r="R6" s="797"/>
    </row>
    <row r="7" spans="1:29" ht="36.6"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ht="24">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4.4"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2286</v>
      </c>
      <c r="B13" s="2481"/>
      <c r="C13" s="2481"/>
      <c r="D13" s="2479"/>
      <c r="E13" s="2481"/>
      <c r="F13" s="2481"/>
      <c r="G13" s="2481"/>
    </row>
    <row r="14" spans="1:29" ht="14.4" thickBot="1">
      <c r="A14" s="2491"/>
      <c r="B14" s="2491"/>
      <c r="C14" s="2492" t="s">
        <v>2269</v>
      </c>
      <c r="D14" s="2462"/>
      <c r="E14" s="2493"/>
      <c r="F14" s="2493"/>
      <c r="G14" s="2457" t="s">
        <v>2270</v>
      </c>
    </row>
    <row r="15" spans="1:29" ht="52.8">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9.6">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9.6">
      <c r="A17" s="2443"/>
      <c r="B17" s="2497" t="s">
        <v>2257</v>
      </c>
      <c r="C17" s="2498" t="str">
        <f>C5</f>
        <v>估价对象位于XX商圈，周边办公楼项目较多，入驻率高，办公集聚程度较好</v>
      </c>
      <c r="D17" s="2468"/>
      <c r="E17" s="2444"/>
      <c r="F17" s="2499" t="s">
        <v>2274</v>
      </c>
      <c r="G17" s="2501"/>
    </row>
    <row r="18" spans="1:18" ht="52.8">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6.4">
      <c r="A19" s="2443"/>
      <c r="B19" s="2499" t="s">
        <v>2275</v>
      </c>
      <c r="C19" s="2501"/>
      <c r="D19" s="2462"/>
      <c r="E19" s="2444"/>
      <c r="F19" s="322" t="s">
        <v>2259</v>
      </c>
      <c r="G19" s="2500" t="str">
        <f>G5</f>
        <v>估价对象所在区域公共配套设施齐备情况</v>
      </c>
    </row>
    <row r="20" spans="1:18" ht="26.4">
      <c r="A20" s="2443"/>
      <c r="B20" s="2499" t="s">
        <v>2276</v>
      </c>
      <c r="C20" s="2498" t="str">
        <f>C9</f>
        <v>区域自然环境：；人文环境；综合评价环境状况一般</v>
      </c>
      <c r="D20" s="2468"/>
      <c r="E20" s="2444"/>
      <c r="F20" s="322" t="s">
        <v>2262</v>
      </c>
      <c r="G20" s="2500" t="str">
        <f>G6</f>
        <v>估价对象所在区域基础设施水平</v>
      </c>
    </row>
    <row r="21" spans="1:18" ht="26.4">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4.4"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7" customFormat="1" ht="14.4"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5"/>
  <sheetViews>
    <sheetView topLeftCell="A4" workbookViewId="0">
      <selection activeCell="N40" sqref="N40"/>
    </sheetView>
  </sheetViews>
  <sheetFormatPr defaultColWidth="8.77734375" defaultRowHeight="13.8"/>
  <cols>
    <col min="1" max="1" width="24.77734375" customWidth="1"/>
    <col min="2" max="2" width="17.44140625" customWidth="1"/>
    <col min="3" max="3" width="29.21875" bestFit="1" customWidth="1"/>
    <col min="4" max="4" width="23" customWidth="1"/>
    <col min="5" max="5" width="17.33203125" customWidth="1"/>
    <col min="6" max="6" width="11.109375" customWidth="1"/>
    <col min="7" max="7" width="9.6640625" customWidth="1"/>
    <col min="8" max="8" width="11.109375" customWidth="1"/>
    <col min="9" max="9" width="9.6640625" bestFit="1" customWidth="1"/>
    <col min="10" max="10" width="9.44140625" bestFit="1" customWidth="1"/>
    <col min="11" max="11" width="11.33203125" customWidth="1"/>
    <col min="12" max="12" width="14.109375" customWidth="1"/>
    <col min="14" max="14" width="14.21875" customWidth="1"/>
    <col min="15" max="16" width="8.77734375" customWidth="1"/>
  </cols>
  <sheetData>
    <row r="1" spans="1:17" s="3514" customFormat="1" ht="15.6">
      <c r="A1" s="3513" t="s">
        <v>3504</v>
      </c>
      <c r="B1" s="3513"/>
      <c r="C1" s="3513" t="s">
        <v>3505</v>
      </c>
      <c r="D1" s="3513"/>
      <c r="E1" s="3513" t="s">
        <v>3506</v>
      </c>
      <c r="F1" s="3513"/>
      <c r="G1" s="3521"/>
      <c r="H1" s="3521"/>
      <c r="O1" s="3513" t="s">
        <v>3507</v>
      </c>
      <c r="P1" s="3513" t="e">
        <f>C16/B1</f>
        <v>#DIV/0!</v>
      </c>
    </row>
    <row r="2" spans="1:17" s="3514" customFormat="1" ht="14.25" customHeight="1">
      <c r="A2" s="3747" t="s">
        <v>3508</v>
      </c>
      <c r="B2" s="3747" t="s">
        <v>3509</v>
      </c>
      <c r="C2" s="3747" t="s">
        <v>3510</v>
      </c>
      <c r="D2" s="3747" t="s">
        <v>3481</v>
      </c>
      <c r="E2" s="3747"/>
      <c r="F2" s="3747"/>
      <c r="G2" s="3515"/>
      <c r="H2" s="3515"/>
      <c r="I2" s="3747" t="s">
        <v>3511</v>
      </c>
      <c r="J2" s="3747" t="s">
        <v>3481</v>
      </c>
      <c r="K2" s="3747"/>
      <c r="L2" s="3747"/>
      <c r="M2" s="3747"/>
      <c r="N2" s="3747"/>
      <c r="O2" s="3745" t="s">
        <v>3512</v>
      </c>
      <c r="P2" s="3746"/>
    </row>
    <row r="3" spans="1:17" s="3514" customFormat="1" ht="27.75" customHeight="1">
      <c r="A3" s="3747"/>
      <c r="B3" s="3747"/>
      <c r="C3" s="3747"/>
      <c r="D3" s="3515" t="s">
        <v>3526</v>
      </c>
      <c r="E3" s="3515" t="s">
        <v>3530</v>
      </c>
      <c r="F3" s="3515" t="s">
        <v>3531</v>
      </c>
      <c r="G3" s="3515" t="s">
        <v>3532</v>
      </c>
      <c r="H3" s="3515" t="s">
        <v>3533</v>
      </c>
      <c r="I3" s="3747"/>
      <c r="J3" s="3515" t="s">
        <v>3528</v>
      </c>
      <c r="K3" s="3515" t="s">
        <v>3529</v>
      </c>
      <c r="L3" s="3515" t="s">
        <v>3534</v>
      </c>
      <c r="M3" s="3515" t="s">
        <v>3513</v>
      </c>
      <c r="N3" s="3515" t="s">
        <v>3533</v>
      </c>
      <c r="O3" s="3516" t="s">
        <v>3514</v>
      </c>
      <c r="P3" s="3516" t="s">
        <v>3515</v>
      </c>
      <c r="Q3" s="3514" t="s">
        <v>3527</v>
      </c>
    </row>
    <row r="4" spans="1:17" s="3514" customFormat="1" ht="16.5" customHeight="1">
      <c r="A4" s="3515" t="s">
        <v>3517</v>
      </c>
      <c r="B4" s="3517">
        <f>C4+I4</f>
        <v>5385</v>
      </c>
      <c r="C4" s="3518">
        <f>SUM(D4:H4)</f>
        <v>4890</v>
      </c>
      <c r="D4" s="3519">
        <v>4890</v>
      </c>
      <c r="E4" s="3519"/>
      <c r="F4" s="3519"/>
      <c r="G4" s="3519"/>
      <c r="H4" s="3519"/>
      <c r="I4" s="3518">
        <f>SUM(J4:N4)</f>
        <v>495</v>
      </c>
      <c r="J4" s="3519">
        <v>495</v>
      </c>
      <c r="K4" s="3519"/>
      <c r="L4" s="3520"/>
      <c r="M4" s="3519"/>
      <c r="N4" s="3519"/>
      <c r="O4" s="3519"/>
      <c r="P4" s="3519" t="s">
        <v>3516</v>
      </c>
      <c r="Q4" s="3514">
        <v>58</v>
      </c>
    </row>
    <row r="5" spans="1:17" s="3514" customFormat="1" ht="16.5" customHeight="1">
      <c r="A5" s="3515" t="s">
        <v>3518</v>
      </c>
      <c r="B5" s="3517">
        <f t="shared" ref="B5:B12" si="0">C5+I5</f>
        <v>4731</v>
      </c>
      <c r="C5" s="3518">
        <f t="shared" ref="C5:C11" si="1">SUM(D5:H5)</f>
        <v>4326</v>
      </c>
      <c r="D5" s="3519">
        <v>4326</v>
      </c>
      <c r="E5" s="3519"/>
      <c r="F5" s="3519"/>
      <c r="G5" s="3519"/>
      <c r="H5" s="3519"/>
      <c r="I5" s="3518">
        <f t="shared" ref="I5:I11" si="2">SUM(J5:N5)</f>
        <v>405</v>
      </c>
      <c r="J5" s="3519"/>
      <c r="K5" s="3519">
        <v>405</v>
      </c>
      <c r="L5" s="3520"/>
      <c r="M5" s="3519"/>
      <c r="N5" s="3519"/>
      <c r="O5" s="3519"/>
      <c r="P5" s="3519" t="s">
        <v>3516</v>
      </c>
      <c r="Q5" s="3514">
        <v>58</v>
      </c>
    </row>
    <row r="6" spans="1:17" s="3514" customFormat="1" ht="16.5" customHeight="1">
      <c r="A6" s="3515" t="s">
        <v>3519</v>
      </c>
      <c r="B6" s="3517">
        <f t="shared" si="0"/>
        <v>3821</v>
      </c>
      <c r="C6" s="3518">
        <f t="shared" si="1"/>
        <v>3015</v>
      </c>
      <c r="D6" s="3519">
        <v>3015</v>
      </c>
      <c r="E6" s="3519"/>
      <c r="F6" s="3519"/>
      <c r="G6" s="3519"/>
      <c r="H6" s="3519"/>
      <c r="I6" s="3518">
        <f t="shared" si="2"/>
        <v>806</v>
      </c>
      <c r="J6" s="3519"/>
      <c r="K6" s="3519">
        <v>806</v>
      </c>
      <c r="L6" s="3520"/>
      <c r="M6" s="3519"/>
      <c r="N6" s="3519"/>
      <c r="O6" s="3519"/>
      <c r="P6" s="3519" t="s">
        <v>3516</v>
      </c>
      <c r="Q6" s="3514">
        <v>32</v>
      </c>
    </row>
    <row r="7" spans="1:17" s="3514" customFormat="1" ht="16.5" customHeight="1">
      <c r="A7" s="3515" t="s">
        <v>3520</v>
      </c>
      <c r="B7" s="3517">
        <f t="shared" si="0"/>
        <v>4824</v>
      </c>
      <c r="C7" s="3518">
        <f t="shared" si="1"/>
        <v>3881</v>
      </c>
      <c r="D7" s="3519">
        <v>3881</v>
      </c>
      <c r="E7" s="3519"/>
      <c r="F7" s="3519"/>
      <c r="G7" s="3519"/>
      <c r="H7" s="3519"/>
      <c r="I7" s="3518">
        <f t="shared" si="2"/>
        <v>943</v>
      </c>
      <c r="J7" s="3519"/>
      <c r="K7" s="3519">
        <v>943</v>
      </c>
      <c r="L7" s="3520"/>
      <c r="M7" s="3520"/>
      <c r="N7" s="3519"/>
      <c r="O7" s="3519"/>
      <c r="P7" s="3519" t="s">
        <v>3516</v>
      </c>
      <c r="Q7" s="3514">
        <v>48</v>
      </c>
    </row>
    <row r="8" spans="1:17" s="3514" customFormat="1" ht="16.5" customHeight="1">
      <c r="A8" s="3515" t="s">
        <v>3521</v>
      </c>
      <c r="B8" s="3517">
        <f t="shared" si="0"/>
        <v>3945</v>
      </c>
      <c r="C8" s="3518">
        <f t="shared" si="1"/>
        <v>3294</v>
      </c>
      <c r="D8" s="3519">
        <v>3294</v>
      </c>
      <c r="E8" s="3519"/>
      <c r="F8" s="3519"/>
      <c r="G8" s="3519"/>
      <c r="H8" s="3519"/>
      <c r="I8" s="3518">
        <f t="shared" si="2"/>
        <v>651</v>
      </c>
      <c r="J8" s="3519"/>
      <c r="K8" s="3519">
        <v>651</v>
      </c>
      <c r="L8" s="3520"/>
      <c r="M8" s="3519"/>
      <c r="N8" s="3519"/>
      <c r="O8" s="3519"/>
      <c r="P8" s="3519" t="s">
        <v>3516</v>
      </c>
      <c r="Q8" s="3514">
        <v>40</v>
      </c>
    </row>
    <row r="9" spans="1:17" s="3514" customFormat="1" ht="16.5" customHeight="1">
      <c r="A9" s="3515" t="s">
        <v>3522</v>
      </c>
      <c r="B9" s="3517">
        <f t="shared" si="0"/>
        <v>5571</v>
      </c>
      <c r="C9" s="3518">
        <f t="shared" si="1"/>
        <v>4506</v>
      </c>
      <c r="D9" s="3519">
        <v>4506</v>
      </c>
      <c r="E9" s="3519"/>
      <c r="F9" s="3519"/>
      <c r="G9" s="3519"/>
      <c r="H9" s="3519"/>
      <c r="I9" s="3518">
        <f t="shared" si="2"/>
        <v>1065</v>
      </c>
      <c r="J9" s="3519">
        <v>448</v>
      </c>
      <c r="K9" s="3519">
        <v>617</v>
      </c>
      <c r="L9" s="3520"/>
      <c r="M9" s="3519"/>
      <c r="N9" s="3519"/>
      <c r="O9" s="3519"/>
      <c r="P9" s="3519" t="s">
        <v>3516</v>
      </c>
      <c r="Q9" s="3514">
        <v>48</v>
      </c>
    </row>
    <row r="10" spans="1:17" s="3514" customFormat="1" ht="16.5" customHeight="1">
      <c r="A10" s="3515" t="s">
        <v>3523</v>
      </c>
      <c r="B10" s="3517">
        <f t="shared" si="0"/>
        <v>791</v>
      </c>
      <c r="C10" s="3518">
        <f t="shared" si="1"/>
        <v>791</v>
      </c>
      <c r="D10" s="3519"/>
      <c r="E10" s="3519">
        <v>766</v>
      </c>
      <c r="F10" s="3519">
        <v>25</v>
      </c>
      <c r="G10" s="3519"/>
      <c r="H10" s="3519"/>
      <c r="I10" s="3518">
        <f t="shared" si="2"/>
        <v>0</v>
      </c>
      <c r="J10" s="3519"/>
      <c r="K10" s="3519"/>
      <c r="L10" s="3520"/>
      <c r="M10" s="3519"/>
      <c r="N10" s="3519"/>
      <c r="O10" s="3519"/>
      <c r="P10" s="3519" t="s">
        <v>3516</v>
      </c>
    </row>
    <row r="11" spans="1:17" s="3514" customFormat="1" ht="16.5" customHeight="1">
      <c r="A11" s="3515" t="s">
        <v>3524</v>
      </c>
      <c r="B11" s="3517">
        <f t="shared" si="0"/>
        <v>17477</v>
      </c>
      <c r="C11" s="3518">
        <f t="shared" si="1"/>
        <v>526</v>
      </c>
      <c r="D11" s="3519"/>
      <c r="E11" s="3520"/>
      <c r="F11" s="3519"/>
      <c r="G11" s="3519">
        <v>428.71</v>
      </c>
      <c r="H11" s="3519">
        <v>97.29</v>
      </c>
      <c r="I11" s="3518">
        <f t="shared" si="2"/>
        <v>16951</v>
      </c>
      <c r="J11" s="3519"/>
      <c r="K11" s="3519"/>
      <c r="L11" s="3519">
        <v>10279.290000000001</v>
      </c>
      <c r="M11" s="3519">
        <v>2253</v>
      </c>
      <c r="N11" s="3519">
        <v>4418.71</v>
      </c>
      <c r="O11" s="3519"/>
      <c r="P11" s="3519"/>
    </row>
    <row r="12" spans="1:17" s="3514" customFormat="1" ht="16.5" customHeight="1">
      <c r="A12" s="3515" t="s">
        <v>3525</v>
      </c>
      <c r="B12" s="3517">
        <f t="shared" si="0"/>
        <v>46545</v>
      </c>
      <c r="C12" s="3518">
        <f>SUM(C4:C11)</f>
        <v>25229</v>
      </c>
      <c r="D12" s="3518">
        <f t="shared" ref="D12:H12" si="3">SUM(D4:D11)</f>
        <v>23912</v>
      </c>
      <c r="E12" s="3524">
        <f t="shared" si="3"/>
        <v>766</v>
      </c>
      <c r="F12" s="3524">
        <f t="shared" si="3"/>
        <v>25</v>
      </c>
      <c r="G12" s="3526">
        <f t="shared" si="3"/>
        <v>428.71</v>
      </c>
      <c r="H12" s="3526">
        <f t="shared" si="3"/>
        <v>97.29</v>
      </c>
      <c r="I12" s="3518">
        <f>SUM(I4:I11)</f>
        <v>21316</v>
      </c>
      <c r="J12" s="3518">
        <f t="shared" ref="J12:N12" si="4">SUM(J4:J11)</f>
        <v>943</v>
      </c>
      <c r="K12" s="3518">
        <f t="shared" si="4"/>
        <v>3422</v>
      </c>
      <c r="L12" s="3518">
        <f t="shared" si="4"/>
        <v>10279.290000000001</v>
      </c>
      <c r="M12" s="3518">
        <f t="shared" si="4"/>
        <v>2253</v>
      </c>
      <c r="N12" s="3518">
        <f t="shared" si="4"/>
        <v>4418.71</v>
      </c>
      <c r="O12" s="3519"/>
      <c r="P12" s="3519" t="s">
        <v>3516</v>
      </c>
    </row>
    <row r="13" spans="1:17">
      <c r="B13" s="3523">
        <f>B12-E12-F12</f>
        <v>45754</v>
      </c>
      <c r="E13" s="3754" t="s">
        <v>3550</v>
      </c>
      <c r="F13" s="3755"/>
      <c r="G13" s="3525"/>
      <c r="H13" s="3525"/>
      <c r="J13" s="3523"/>
    </row>
    <row r="14" spans="1:17" ht="30.6" hidden="1" customHeight="1">
      <c r="C14">
        <f>E32/C12</f>
        <v>0.17900035673233183</v>
      </c>
    </row>
    <row r="15" spans="1:17" ht="15" hidden="1">
      <c r="A15" s="3747" t="s">
        <v>3508</v>
      </c>
      <c r="B15" s="3747" t="s">
        <v>3509</v>
      </c>
      <c r="C15" s="3747" t="s">
        <v>3510</v>
      </c>
      <c r="D15" s="3747" t="s">
        <v>3481</v>
      </c>
      <c r="E15" s="3747"/>
      <c r="F15" s="3747"/>
      <c r="G15" s="3515"/>
      <c r="H15" s="3515"/>
      <c r="I15" s="3747" t="s">
        <v>3511</v>
      </c>
      <c r="J15" s="3747" t="s">
        <v>3481</v>
      </c>
      <c r="K15" s="3747"/>
      <c r="L15" s="3747"/>
      <c r="M15" s="3747"/>
      <c r="N15" s="3747"/>
      <c r="O15" s="3745" t="s">
        <v>3512</v>
      </c>
      <c r="P15" s="3746"/>
    </row>
    <row r="16" spans="1:17" ht="45" hidden="1">
      <c r="A16" s="3747"/>
      <c r="B16" s="3747"/>
      <c r="C16" s="3747"/>
      <c r="D16" s="3515" t="s">
        <v>3526</v>
      </c>
      <c r="E16" s="3515" t="s">
        <v>3530</v>
      </c>
      <c r="F16" s="3515" t="s">
        <v>3531</v>
      </c>
      <c r="G16" s="3515" t="s">
        <v>3532</v>
      </c>
      <c r="H16" s="3515" t="s">
        <v>3533</v>
      </c>
      <c r="I16" s="3747"/>
      <c r="J16" s="3515" t="s">
        <v>3549</v>
      </c>
      <c r="K16" s="3515" t="s">
        <v>3529</v>
      </c>
      <c r="L16" s="3515" t="s">
        <v>3534</v>
      </c>
      <c r="M16" s="3515" t="s">
        <v>3513</v>
      </c>
      <c r="N16" s="3515" t="s">
        <v>3533</v>
      </c>
      <c r="O16" s="3515" t="s">
        <v>3545</v>
      </c>
      <c r="P16" s="3516" t="s">
        <v>3515</v>
      </c>
      <c r="Q16" s="3522" t="s">
        <v>3543</v>
      </c>
    </row>
    <row r="17" spans="1:17" ht="29.4" hidden="1">
      <c r="A17" s="3515" t="s">
        <v>3535</v>
      </c>
      <c r="B17" s="3517">
        <f>C17+I17+O17</f>
        <v>4939.12</v>
      </c>
      <c r="C17" s="3518">
        <f>SUM(D17:H17)</f>
        <v>4343.42</v>
      </c>
      <c r="D17" s="3519">
        <v>4343.42</v>
      </c>
      <c r="E17" s="3519"/>
      <c r="F17" s="3519"/>
      <c r="G17" s="3519"/>
      <c r="H17" s="3519"/>
      <c r="I17" s="3518">
        <f>SUM(J17:N17)</f>
        <v>518.84</v>
      </c>
      <c r="J17" s="3519">
        <v>518.84</v>
      </c>
      <c r="K17" s="3519"/>
      <c r="L17" s="3520"/>
      <c r="M17" s="3519"/>
      <c r="N17" s="3519"/>
      <c r="O17" s="3519">
        <v>76.86</v>
      </c>
      <c r="P17" s="3519" t="s">
        <v>3516</v>
      </c>
      <c r="Q17" s="3514" t="s">
        <v>3548</v>
      </c>
    </row>
    <row r="18" spans="1:17" ht="29.4" hidden="1">
      <c r="A18" s="3515" t="s">
        <v>3536</v>
      </c>
      <c r="B18" s="3517">
        <f t="shared" ref="B18:B24" si="5">C18+I18+O18</f>
        <v>5557.07</v>
      </c>
      <c r="C18" s="3518">
        <f t="shared" ref="C18:C24" si="6">SUM(D18:H18)</f>
        <v>4818.3999999999996</v>
      </c>
      <c r="D18" s="3519">
        <v>4818.3999999999996</v>
      </c>
      <c r="E18" s="3519"/>
      <c r="F18" s="3519"/>
      <c r="G18" s="3519"/>
      <c r="H18" s="3519"/>
      <c r="I18" s="3518">
        <f t="shared" ref="I18:I24" si="7">SUM(J18:N18)</f>
        <v>602.74</v>
      </c>
      <c r="J18" s="3519">
        <v>602.74</v>
      </c>
      <c r="K18" s="3519"/>
      <c r="L18" s="3520"/>
      <c r="M18" s="3519"/>
      <c r="N18" s="3519"/>
      <c r="O18" s="3519">
        <v>135.93</v>
      </c>
      <c r="P18" s="3519" t="s">
        <v>3516</v>
      </c>
      <c r="Q18" s="3514" t="s">
        <v>3548</v>
      </c>
    </row>
    <row r="19" spans="1:17" ht="15.6" hidden="1">
      <c r="A19" s="3515" t="s">
        <v>3537</v>
      </c>
      <c r="B19" s="3517">
        <f t="shared" si="5"/>
        <v>3786.2900000000004</v>
      </c>
      <c r="C19" s="3518">
        <f t="shared" si="6"/>
        <v>2968.92</v>
      </c>
      <c r="D19" s="3519">
        <v>2968.92</v>
      </c>
      <c r="E19" s="3519"/>
      <c r="F19" s="3519"/>
      <c r="G19" s="3519"/>
      <c r="H19" s="3519"/>
      <c r="I19" s="3518">
        <f t="shared" si="7"/>
        <v>752.61</v>
      </c>
      <c r="J19" s="3519">
        <v>752.61</v>
      </c>
      <c r="K19" s="3519"/>
      <c r="L19" s="3520"/>
      <c r="M19" s="3519"/>
      <c r="N19" s="3519"/>
      <c r="O19" s="3519">
        <v>64.760000000000005</v>
      </c>
      <c r="P19" s="3519" t="s">
        <v>3516</v>
      </c>
      <c r="Q19" s="3514" t="s">
        <v>3546</v>
      </c>
    </row>
    <row r="20" spans="1:17" ht="15.6" hidden="1">
      <c r="A20" s="3515" t="s">
        <v>3538</v>
      </c>
      <c r="B20" s="3517">
        <f t="shared" si="5"/>
        <v>4881.5200000000004</v>
      </c>
      <c r="C20" s="3518">
        <f t="shared" si="6"/>
        <v>3860.99</v>
      </c>
      <c r="D20" s="3519">
        <v>3860.99</v>
      </c>
      <c r="E20" s="3519"/>
      <c r="F20" s="3519"/>
      <c r="G20" s="3519"/>
      <c r="H20" s="3519"/>
      <c r="I20" s="3518">
        <f t="shared" si="7"/>
        <v>940.93</v>
      </c>
      <c r="J20" s="3519">
        <v>940.93</v>
      </c>
      <c r="K20" s="3519"/>
      <c r="L20" s="3520"/>
      <c r="M20" s="3520"/>
      <c r="N20" s="3519"/>
      <c r="O20" s="3519">
        <v>79.599999999999994</v>
      </c>
      <c r="P20" s="3519" t="s">
        <v>3516</v>
      </c>
      <c r="Q20" s="3514" t="s">
        <v>3546</v>
      </c>
    </row>
    <row r="21" spans="1:17" ht="15.6" hidden="1">
      <c r="A21" s="3515" t="s">
        <v>3539</v>
      </c>
      <c r="B21" s="3517">
        <f t="shared" si="5"/>
        <v>5545.1</v>
      </c>
      <c r="C21" s="3518">
        <f t="shared" si="6"/>
        <v>4431.68</v>
      </c>
      <c r="D21" s="3519">
        <v>4431.68</v>
      </c>
      <c r="E21" s="3519"/>
      <c r="F21" s="3519"/>
      <c r="G21" s="3519"/>
      <c r="H21" s="3519"/>
      <c r="I21" s="3518">
        <f t="shared" si="7"/>
        <v>1016.28</v>
      </c>
      <c r="J21" s="3519">
        <v>1016.28</v>
      </c>
      <c r="K21" s="3519"/>
      <c r="L21" s="3520"/>
      <c r="M21" s="3519"/>
      <c r="N21" s="3519"/>
      <c r="O21" s="3519">
        <v>97.14</v>
      </c>
      <c r="P21" s="3519" t="s">
        <v>3516</v>
      </c>
      <c r="Q21" s="3514" t="s">
        <v>3547</v>
      </c>
    </row>
    <row r="22" spans="1:17" ht="29.4" hidden="1">
      <c r="A22" s="3515" t="s">
        <v>3540</v>
      </c>
      <c r="B22" s="3517">
        <f t="shared" si="5"/>
        <v>3930.17</v>
      </c>
      <c r="C22" s="3518">
        <f t="shared" si="6"/>
        <v>3248.45</v>
      </c>
      <c r="D22" s="3519">
        <v>3248.45</v>
      </c>
      <c r="E22" s="3519"/>
      <c r="F22" s="3519"/>
      <c r="G22" s="3519"/>
      <c r="H22" s="3519"/>
      <c r="I22" s="3518">
        <f t="shared" si="7"/>
        <v>618.4</v>
      </c>
      <c r="J22" s="3519">
        <v>618.4</v>
      </c>
      <c r="K22" s="3519"/>
      <c r="L22" s="3520"/>
      <c r="M22" s="3519"/>
      <c r="N22" s="3519"/>
      <c r="O22" s="3519">
        <v>63.32</v>
      </c>
      <c r="P22" s="3519" t="s">
        <v>3516</v>
      </c>
      <c r="Q22" s="3514" t="s">
        <v>3544</v>
      </c>
    </row>
    <row r="23" spans="1:17" ht="15" hidden="1">
      <c r="A23" s="3515" t="s">
        <v>3541</v>
      </c>
      <c r="B23" s="3517">
        <f t="shared" si="5"/>
        <v>785.73</v>
      </c>
      <c r="C23" s="3518">
        <f t="shared" si="6"/>
        <v>785.73</v>
      </c>
      <c r="D23" s="3519"/>
      <c r="E23" s="3519">
        <v>785.73</v>
      </c>
      <c r="F23" s="3519"/>
      <c r="G23" s="3519"/>
      <c r="H23" s="3519"/>
      <c r="I23" s="3518">
        <f t="shared" si="7"/>
        <v>0</v>
      </c>
      <c r="J23" s="3519"/>
      <c r="K23" s="3519"/>
      <c r="L23" s="3520"/>
      <c r="M23" s="3519"/>
      <c r="N23" s="3519"/>
      <c r="O23" s="3519"/>
      <c r="P23" s="3519" t="s">
        <v>3516</v>
      </c>
      <c r="Q23">
        <v>1</v>
      </c>
    </row>
    <row r="24" spans="1:17" ht="15" hidden="1">
      <c r="A24" s="3515" t="s">
        <v>3542</v>
      </c>
      <c r="B24" s="3517">
        <f t="shared" si="5"/>
        <v>12729.49</v>
      </c>
      <c r="C24" s="3518">
        <f t="shared" si="6"/>
        <v>357.71</v>
      </c>
      <c r="D24" s="3519"/>
      <c r="E24" s="3520"/>
      <c r="F24" s="3519"/>
      <c r="G24" s="3519">
        <v>357.71</v>
      </c>
      <c r="H24" s="3519"/>
      <c r="I24" s="3518">
        <f t="shared" si="7"/>
        <v>12371.78</v>
      </c>
      <c r="J24" s="3519"/>
      <c r="K24" s="3519"/>
      <c r="L24" s="3519">
        <v>12371.78</v>
      </c>
      <c r="M24" s="3519"/>
      <c r="N24" s="3519"/>
      <c r="O24" s="3519"/>
      <c r="P24" s="3519"/>
    </row>
    <row r="25" spans="1:17" ht="15" hidden="1">
      <c r="A25" s="3515" t="s">
        <v>2592</v>
      </c>
      <c r="B25" s="3517">
        <f t="shared" ref="B25" si="8">C25+I25</f>
        <v>41636.880000000005</v>
      </c>
      <c r="C25" s="3518">
        <f>SUM(C17:C24)</f>
        <v>24815.3</v>
      </c>
      <c r="D25" s="3518">
        <f t="shared" ref="D25:H25" si="9">SUM(D17:D24)</f>
        <v>23671.86</v>
      </c>
      <c r="E25" s="3518">
        <f t="shared" si="9"/>
        <v>785.73</v>
      </c>
      <c r="F25" s="3518">
        <f t="shared" si="9"/>
        <v>0</v>
      </c>
      <c r="G25" s="3518">
        <f t="shared" si="9"/>
        <v>357.71</v>
      </c>
      <c r="H25" s="3518">
        <f t="shared" si="9"/>
        <v>0</v>
      </c>
      <c r="I25" s="3518">
        <f>SUM(I17:I24)</f>
        <v>16821.580000000002</v>
      </c>
      <c r="J25" s="3518">
        <f t="shared" ref="J25:O25" si="10">SUM(J17:J24)</f>
        <v>4449.7999999999993</v>
      </c>
      <c r="K25" s="3518">
        <f t="shared" si="10"/>
        <v>0</v>
      </c>
      <c r="L25" s="3518">
        <f t="shared" si="10"/>
        <v>12371.78</v>
      </c>
      <c r="M25" s="3518">
        <f t="shared" si="10"/>
        <v>0</v>
      </c>
      <c r="N25" s="3518">
        <f t="shared" si="10"/>
        <v>0</v>
      </c>
      <c r="O25" s="3518">
        <f t="shared" si="10"/>
        <v>517.61</v>
      </c>
      <c r="P25" s="3519" t="s">
        <v>3516</v>
      </c>
    </row>
    <row r="26" spans="1:17" hidden="1"/>
    <row r="27" spans="1:17">
      <c r="B27" s="3523">
        <f>B12-E12-F12-H12-N12</f>
        <v>41238</v>
      </c>
    </row>
    <row r="28" spans="1:17">
      <c r="F28" t="s">
        <v>3807</v>
      </c>
    </row>
    <row r="29" spans="1:17" ht="22.2">
      <c r="A29" s="3715" t="s">
        <v>3825</v>
      </c>
      <c r="B29" s="3715"/>
      <c r="C29" s="3538" t="s">
        <v>3600</v>
      </c>
      <c r="D29" s="3538" t="s">
        <v>3601</v>
      </c>
      <c r="E29" s="3538" t="s">
        <v>3602</v>
      </c>
      <c r="H29" s="3756" t="s">
        <v>3551</v>
      </c>
      <c r="I29" s="3757"/>
      <c r="J29" s="3757"/>
      <c r="K29" s="3757"/>
      <c r="L29" s="3757"/>
      <c r="M29" s="3758"/>
    </row>
    <row r="30" spans="1:17" ht="15.6">
      <c r="A30" s="3718" t="s">
        <v>3400</v>
      </c>
      <c r="B30" s="3718"/>
      <c r="C30" s="3539">
        <f>D12</f>
        <v>23912</v>
      </c>
      <c r="D30" s="3540"/>
      <c r="E30" s="3539">
        <f>C30+D30</f>
        <v>23912</v>
      </c>
      <c r="F30">
        <v>7276</v>
      </c>
      <c r="H30" s="3759" t="s">
        <v>3552</v>
      </c>
      <c r="I30" s="3759"/>
      <c r="J30" s="3759"/>
      <c r="K30" s="3527" t="s">
        <v>3553</v>
      </c>
      <c r="L30" s="3527" t="s">
        <v>3554</v>
      </c>
      <c r="M30" s="3528" t="s">
        <v>3555</v>
      </c>
    </row>
    <row r="31" spans="1:17" ht="15.6">
      <c r="A31" s="3715" t="s">
        <v>3402</v>
      </c>
      <c r="B31" s="3715"/>
      <c r="C31" s="3541">
        <f>E12+F12</f>
        <v>791</v>
      </c>
      <c r="D31" s="3540"/>
      <c r="E31" s="3539">
        <f t="shared" ref="E31:E35" si="11">C31+D31</f>
        <v>791</v>
      </c>
      <c r="H31" s="3748" t="s">
        <v>3556</v>
      </c>
      <c r="I31" s="3748"/>
      <c r="J31" s="3748"/>
      <c r="K31" s="3527" t="s">
        <v>3557</v>
      </c>
      <c r="L31" s="3528">
        <v>14515.745000000001</v>
      </c>
      <c r="M31" s="3528"/>
      <c r="N31">
        <f>L31/C12*(D12+G12+H12)</f>
        <v>14060.635630028937</v>
      </c>
    </row>
    <row r="32" spans="1:17" ht="15.6">
      <c r="A32" s="3538"/>
      <c r="B32" s="3538" t="s">
        <v>3403</v>
      </c>
      <c r="C32" s="3539">
        <f>H12</f>
        <v>97.29</v>
      </c>
      <c r="D32" s="3539">
        <f>N12</f>
        <v>4418.71</v>
      </c>
      <c r="E32" s="3539">
        <f t="shared" si="11"/>
        <v>4516</v>
      </c>
      <c r="F32">
        <v>6496</v>
      </c>
      <c r="G32">
        <f>E32*F32/100000000</f>
        <v>0.29335936000000001</v>
      </c>
      <c r="H32" s="3748" t="s">
        <v>3558</v>
      </c>
      <c r="I32" s="3748"/>
      <c r="J32" s="3748"/>
      <c r="K32" s="3527"/>
      <c r="L32" s="3529"/>
      <c r="M32" s="3527"/>
    </row>
    <row r="33" spans="1:13" ht="15.6">
      <c r="A33" s="3542"/>
      <c r="B33" s="3538" t="s">
        <v>3824</v>
      </c>
      <c r="C33" s="3539"/>
      <c r="D33" s="3539">
        <f>J12+M12</f>
        <v>3196</v>
      </c>
      <c r="E33" s="3539">
        <f t="shared" si="11"/>
        <v>3196</v>
      </c>
      <c r="F33">
        <v>5504</v>
      </c>
      <c r="G33">
        <f t="shared" ref="G33:G35" si="12">E33*F33/100000000</f>
        <v>0.17590784000000001</v>
      </c>
      <c r="H33" s="3748" t="s">
        <v>3559</v>
      </c>
      <c r="I33" s="3748"/>
      <c r="J33" s="3748"/>
      <c r="K33" s="3527" t="s">
        <v>3557</v>
      </c>
      <c r="L33" s="3529">
        <v>46545</v>
      </c>
      <c r="M33" s="3527"/>
    </row>
    <row r="34" spans="1:13" ht="15.6">
      <c r="A34" s="3719">
        <v>242</v>
      </c>
      <c r="B34" s="3719"/>
      <c r="C34" s="3541">
        <f>G12</f>
        <v>428.71</v>
      </c>
      <c r="D34" s="3541">
        <f>L12</f>
        <v>10279.290000000001</v>
      </c>
      <c r="E34" s="3541">
        <f t="shared" si="11"/>
        <v>10708</v>
      </c>
      <c r="F34">
        <v>5504</v>
      </c>
      <c r="G34">
        <f t="shared" si="12"/>
        <v>0.58936831999999995</v>
      </c>
      <c r="H34" s="3749" t="s">
        <v>3481</v>
      </c>
      <c r="I34" s="3748" t="s">
        <v>3560</v>
      </c>
      <c r="J34" s="3748"/>
      <c r="K34" s="3527" t="s">
        <v>3557</v>
      </c>
      <c r="L34" s="3529">
        <v>25229</v>
      </c>
      <c r="M34" s="3527"/>
    </row>
    <row r="35" spans="1:13" ht="46.8">
      <c r="A35" s="3715" t="s">
        <v>3406</v>
      </c>
      <c r="B35" s="3715"/>
      <c r="C35" s="3541"/>
      <c r="D35" s="3541">
        <f>K12</f>
        <v>3422</v>
      </c>
      <c r="E35" s="3541">
        <f t="shared" si="11"/>
        <v>3422</v>
      </c>
      <c r="F35">
        <v>5504</v>
      </c>
      <c r="G35">
        <f t="shared" si="12"/>
        <v>0.18834687999999999</v>
      </c>
      <c r="H35" s="3750"/>
      <c r="I35" s="3752" t="s">
        <v>3481</v>
      </c>
      <c r="J35" s="3530" t="s">
        <v>3561</v>
      </c>
      <c r="K35" s="3527" t="s">
        <v>3557</v>
      </c>
      <c r="L35" s="3529">
        <v>23912</v>
      </c>
      <c r="M35" s="3531" t="s">
        <v>3562</v>
      </c>
    </row>
    <row r="36" spans="1:13" ht="31.2">
      <c r="A36" s="3716" t="s">
        <v>3603</v>
      </c>
      <c r="B36" s="3716"/>
      <c r="C36" s="3539">
        <f>C30+C31+C32+C33+C34+C35</f>
        <v>25229</v>
      </c>
      <c r="D36" s="3539">
        <f>D30+D31+D32+D33+D34+D35</f>
        <v>21316</v>
      </c>
      <c r="E36" s="3539">
        <f>C36+D36</f>
        <v>46545</v>
      </c>
      <c r="H36" s="3750"/>
      <c r="I36" s="3752"/>
      <c r="J36" s="3530" t="s">
        <v>3563</v>
      </c>
      <c r="K36" s="3527" t="s">
        <v>3557</v>
      </c>
      <c r="L36" s="3529">
        <v>25</v>
      </c>
      <c r="M36" s="3531"/>
    </row>
    <row r="37" spans="1:13" ht="31.2">
      <c r="B37" s="3446" t="s">
        <v>3604</v>
      </c>
      <c r="C37">
        <f>C36/1.74</f>
        <v>14499.425287356322</v>
      </c>
      <c r="E37" s="3523"/>
      <c r="H37" s="3750"/>
      <c r="I37" s="3752"/>
      <c r="J37" s="3530" t="s">
        <v>3564</v>
      </c>
      <c r="K37" s="3527" t="s">
        <v>3557</v>
      </c>
      <c r="L37" s="3529">
        <v>766</v>
      </c>
      <c r="M37" s="3531"/>
    </row>
    <row r="38" spans="1:13" ht="31.2">
      <c r="C38" s="3446" t="s">
        <v>3633</v>
      </c>
      <c r="D38" s="3523">
        <f>E30+E32+E33+F12+G12</f>
        <v>32077.71</v>
      </c>
      <c r="H38" s="3750"/>
      <c r="I38" s="3752"/>
      <c r="J38" s="3530" t="s">
        <v>3842</v>
      </c>
      <c r="K38" s="3527" t="s">
        <v>3557</v>
      </c>
      <c r="L38" s="3529">
        <v>97</v>
      </c>
      <c r="M38" s="3531"/>
    </row>
    <row r="39" spans="1:13" ht="62.4">
      <c r="C39" s="3446" t="s">
        <v>3634</v>
      </c>
      <c r="D39" s="3523">
        <f>E12+K12+L12</f>
        <v>14467.29</v>
      </c>
      <c r="H39" s="3750"/>
      <c r="I39" s="3752"/>
      <c r="J39" s="3530" t="s">
        <v>3565</v>
      </c>
      <c r="K39" s="3527" t="s">
        <v>3566</v>
      </c>
      <c r="L39" s="3529">
        <v>429</v>
      </c>
      <c r="M39" s="3531" t="s">
        <v>3567</v>
      </c>
    </row>
    <row r="40" spans="1:13" ht="15.6">
      <c r="C40" s="3446" t="s">
        <v>3635</v>
      </c>
      <c r="D40" s="3523">
        <f>SUM(D38:D39)</f>
        <v>46545</v>
      </c>
      <c r="H40" s="3750"/>
      <c r="I40" s="3753" t="s">
        <v>3568</v>
      </c>
      <c r="J40" s="3753"/>
      <c r="K40" s="3527" t="s">
        <v>3557</v>
      </c>
      <c r="L40" s="3529">
        <v>21316</v>
      </c>
      <c r="M40" s="3532"/>
    </row>
    <row r="41" spans="1:13" ht="31.2">
      <c r="H41" s="3750"/>
      <c r="I41" s="3749" t="s">
        <v>3481</v>
      </c>
      <c r="J41" s="3530" t="s">
        <v>3569</v>
      </c>
      <c r="K41" s="3527" t="s">
        <v>3557</v>
      </c>
      <c r="L41" s="3529">
        <v>1043</v>
      </c>
      <c r="M41" s="3531"/>
    </row>
    <row r="42" spans="1:13" ht="31.2">
      <c r="H42" s="3750"/>
      <c r="I42" s="3750"/>
      <c r="J42" s="3530" t="s">
        <v>3570</v>
      </c>
      <c r="K42" s="3527" t="s">
        <v>3557</v>
      </c>
      <c r="L42" s="3529">
        <v>3322</v>
      </c>
      <c r="M42" s="3531"/>
    </row>
    <row r="43" spans="1:13" ht="31.2">
      <c r="H43" s="3750"/>
      <c r="I43" s="3750"/>
      <c r="J43" s="3530" t="s">
        <v>3513</v>
      </c>
      <c r="K43" s="3527" t="s">
        <v>3557</v>
      </c>
      <c r="L43" s="3529">
        <v>2253</v>
      </c>
      <c r="M43" s="3531"/>
    </row>
    <row r="44" spans="1:13" ht="15.6">
      <c r="H44" s="3750"/>
      <c r="I44" s="3750"/>
      <c r="J44" s="3530" t="s">
        <v>3571</v>
      </c>
      <c r="K44" s="3527" t="s">
        <v>3557</v>
      </c>
      <c r="L44" s="3529">
        <v>10279</v>
      </c>
      <c r="M44" s="3531"/>
    </row>
    <row r="45" spans="1:13" ht="31.2">
      <c r="H45" s="3751"/>
      <c r="I45" s="3751"/>
      <c r="J45" s="3530" t="s">
        <v>3514</v>
      </c>
      <c r="K45" s="3527" t="s">
        <v>3557</v>
      </c>
      <c r="L45" s="3529">
        <v>4419</v>
      </c>
      <c r="M45" s="3531"/>
    </row>
    <row r="46" spans="1:13" ht="15.6">
      <c r="H46" s="3753" t="s">
        <v>3572</v>
      </c>
      <c r="I46" s="3753"/>
      <c r="J46" s="3753"/>
      <c r="K46" s="3527"/>
      <c r="L46" s="3544">
        <v>1.73804375869099</v>
      </c>
      <c r="M46" s="3531"/>
    </row>
    <row r="47" spans="1:13" ht="15.6">
      <c r="H47" s="3753" t="s">
        <v>3573</v>
      </c>
      <c r="I47" s="3753"/>
      <c r="J47" s="3753"/>
      <c r="K47" s="3527" t="s">
        <v>3574</v>
      </c>
      <c r="L47" s="3533">
        <v>695.8</v>
      </c>
      <c r="M47" s="3531"/>
    </row>
    <row r="48" spans="1:13" ht="15.6">
      <c r="H48" s="3753" t="s">
        <v>3575</v>
      </c>
      <c r="I48" s="3753"/>
      <c r="J48" s="3753"/>
      <c r="K48" s="3527" t="s">
        <v>3576</v>
      </c>
      <c r="L48" s="3529">
        <v>2.4500000000000002</v>
      </c>
      <c r="M48" s="3531"/>
    </row>
    <row r="49" spans="8:13" ht="15.6">
      <c r="H49" s="3760" t="s">
        <v>3577</v>
      </c>
      <c r="I49" s="3760"/>
      <c r="J49" s="3760"/>
      <c r="K49" s="3527" t="s">
        <v>3578</v>
      </c>
      <c r="L49" s="3543">
        <v>284</v>
      </c>
      <c r="M49" s="3531"/>
    </row>
    <row r="50" spans="8:13" ht="15.6">
      <c r="H50" s="3760" t="s">
        <v>3579</v>
      </c>
      <c r="I50" s="3760"/>
      <c r="J50" s="3760"/>
      <c r="K50" s="3527"/>
      <c r="L50" s="3533"/>
      <c r="M50" s="3531"/>
    </row>
    <row r="51" spans="8:13" ht="62.4">
      <c r="H51" s="3752" t="s">
        <v>3481</v>
      </c>
      <c r="I51" s="3752" t="s">
        <v>3383</v>
      </c>
      <c r="J51" s="3752"/>
      <c r="K51" s="3527" t="s">
        <v>3580</v>
      </c>
      <c r="L51" s="3529">
        <v>32.6</v>
      </c>
      <c r="M51" s="3531" t="s">
        <v>3581</v>
      </c>
    </row>
    <row r="52" spans="8:13" ht="15.6">
      <c r="H52" s="3752"/>
      <c r="I52" s="3752" t="s">
        <v>3384</v>
      </c>
      <c r="J52" s="3752"/>
      <c r="K52" s="3527" t="s">
        <v>3580</v>
      </c>
      <c r="L52" s="3529">
        <v>10.199999999999999</v>
      </c>
      <c r="M52" s="3531"/>
    </row>
    <row r="53" spans="8:13" ht="15.6">
      <c r="H53" s="3760" t="s">
        <v>3582</v>
      </c>
      <c r="I53" s="3760"/>
      <c r="J53" s="3760"/>
      <c r="K53" s="3527"/>
      <c r="L53" s="3533"/>
      <c r="M53" s="3531"/>
    </row>
    <row r="54" spans="8:13" ht="15.6">
      <c r="H54" s="3752" t="s">
        <v>3481</v>
      </c>
      <c r="I54" s="3753" t="s">
        <v>3583</v>
      </c>
      <c r="J54" s="3753"/>
      <c r="K54" s="3527" t="s">
        <v>3584</v>
      </c>
      <c r="L54" s="3533">
        <v>10</v>
      </c>
      <c r="M54" s="3531"/>
    </row>
    <row r="55" spans="8:13" ht="15.6">
      <c r="H55" s="3752"/>
      <c r="I55" s="3753" t="s">
        <v>3585</v>
      </c>
      <c r="J55" s="3753"/>
      <c r="K55" s="3527" t="s">
        <v>3584</v>
      </c>
      <c r="L55" s="3533">
        <v>3</v>
      </c>
      <c r="M55" s="3531"/>
    </row>
    <row r="56" spans="8:13" ht="15.6">
      <c r="H56" s="3760" t="s">
        <v>3586</v>
      </c>
      <c r="I56" s="3760"/>
      <c r="J56" s="3760"/>
      <c r="K56" s="3527"/>
      <c r="L56" s="3533"/>
      <c r="M56" s="3531"/>
    </row>
    <row r="57" spans="8:13" ht="78">
      <c r="H57" s="3752" t="s">
        <v>3481</v>
      </c>
      <c r="I57" s="3752" t="s">
        <v>3587</v>
      </c>
      <c r="J57" s="3752"/>
      <c r="K57" s="3527" t="s">
        <v>3588</v>
      </c>
      <c r="L57" s="3543">
        <v>301.14150000000001</v>
      </c>
      <c r="M57" s="3534" t="s">
        <v>3589</v>
      </c>
    </row>
    <row r="58" spans="8:13" ht="46.8">
      <c r="H58" s="3752"/>
      <c r="I58" s="3752" t="s">
        <v>3481</v>
      </c>
      <c r="J58" s="3527" t="s">
        <v>3590</v>
      </c>
      <c r="K58" s="3527" t="s">
        <v>3588</v>
      </c>
      <c r="L58" s="3533">
        <v>0</v>
      </c>
      <c r="M58" s="3535"/>
    </row>
    <row r="59" spans="8:13" ht="46.8">
      <c r="H59" s="3752"/>
      <c r="I59" s="3752"/>
      <c r="J59" s="3527" t="s">
        <v>3591</v>
      </c>
      <c r="K59" s="3527" t="s">
        <v>3588</v>
      </c>
      <c r="L59" s="3533">
        <v>301.14150000000001</v>
      </c>
      <c r="M59" s="3533"/>
    </row>
    <row r="60" spans="8:13" ht="78">
      <c r="H60" s="3752"/>
      <c r="I60" s="3752" t="s">
        <v>3592</v>
      </c>
      <c r="J60" s="3752"/>
      <c r="K60" s="3527" t="s">
        <v>3588</v>
      </c>
      <c r="L60" s="3533">
        <v>599.64</v>
      </c>
      <c r="M60" s="3531" t="s">
        <v>3593</v>
      </c>
    </row>
    <row r="61" spans="8:13" ht="46.8">
      <c r="H61" s="3752"/>
      <c r="I61" s="3752" t="s">
        <v>3481</v>
      </c>
      <c r="J61" s="3527" t="s">
        <v>3590</v>
      </c>
      <c r="K61" s="3527" t="s">
        <v>3588</v>
      </c>
      <c r="L61" s="3533">
        <v>0</v>
      </c>
      <c r="M61" s="3531"/>
    </row>
    <row r="62" spans="8:13" ht="46.8">
      <c r="H62" s="3752"/>
      <c r="I62" s="3752"/>
      <c r="J62" s="3527" t="s">
        <v>3591</v>
      </c>
      <c r="K62" s="3527" t="s">
        <v>3588</v>
      </c>
      <c r="L62" s="3533">
        <v>599.64</v>
      </c>
      <c r="M62" s="3531"/>
    </row>
    <row r="63" spans="8:13" ht="78">
      <c r="H63" s="3760" t="s">
        <v>3594</v>
      </c>
      <c r="I63" s="3760"/>
      <c r="J63" s="3760"/>
      <c r="K63" s="3527"/>
      <c r="L63" s="3531"/>
      <c r="M63" s="3531" t="s">
        <v>3595</v>
      </c>
    </row>
    <row r="64" spans="8:13" ht="15.6">
      <c r="H64" s="3753" t="s">
        <v>3596</v>
      </c>
      <c r="I64" s="3753"/>
      <c r="J64" s="3753"/>
      <c r="K64" s="3527" t="s">
        <v>3557</v>
      </c>
      <c r="L64" s="3536">
        <v>4184</v>
      </c>
      <c r="M64" s="3531"/>
    </row>
    <row r="65" spans="1:16" ht="15.6">
      <c r="H65" s="3753" t="s">
        <v>3597</v>
      </c>
      <c r="I65" s="3753"/>
      <c r="J65" s="3753"/>
      <c r="K65" s="3527"/>
      <c r="L65" s="3537">
        <v>0.28823873662702099</v>
      </c>
      <c r="M65" s="3531"/>
    </row>
    <row r="66" spans="1:16" ht="15.6">
      <c r="H66" s="3753" t="s">
        <v>3598</v>
      </c>
      <c r="I66" s="3753"/>
      <c r="J66" s="3753"/>
      <c r="K66" s="3527" t="s">
        <v>3599</v>
      </c>
      <c r="L66" s="3527">
        <v>195.64962046384801</v>
      </c>
      <c r="M66" s="3531"/>
    </row>
    <row r="69" spans="1:16" ht="14.4" thickBot="1"/>
    <row r="70" spans="1:16" ht="14.4">
      <c r="A70" s="3732" t="s">
        <v>3783</v>
      </c>
      <c r="B70" s="3735" t="s">
        <v>3784</v>
      </c>
      <c r="C70" s="3736"/>
      <c r="D70" s="3736"/>
      <c r="E70" s="3736"/>
      <c r="F70" s="3720"/>
      <c r="G70" s="3737" t="s">
        <v>3785</v>
      </c>
      <c r="H70" s="3736"/>
      <c r="I70" s="3736"/>
      <c r="J70" s="3720"/>
      <c r="K70" s="3738" t="s">
        <v>3786</v>
      </c>
      <c r="L70" s="3739"/>
      <c r="M70" s="3742" t="s">
        <v>3787</v>
      </c>
      <c r="N70" s="3720" t="s">
        <v>3788</v>
      </c>
      <c r="O70" s="3723" t="s">
        <v>3789</v>
      </c>
      <c r="P70" s="3726" t="s">
        <v>3790</v>
      </c>
    </row>
    <row r="71" spans="1:16" ht="14.4">
      <c r="A71" s="3733"/>
      <c r="B71" s="3729" t="s">
        <v>3791</v>
      </c>
      <c r="C71" s="3730"/>
      <c r="D71" s="3730"/>
      <c r="E71" s="3730"/>
      <c r="F71" s="3721"/>
      <c r="G71" s="3731" t="s">
        <v>3791</v>
      </c>
      <c r="H71" s="3730"/>
      <c r="I71" s="3730"/>
      <c r="J71" s="3721"/>
      <c r="K71" s="3740"/>
      <c r="L71" s="3741"/>
      <c r="M71" s="3743"/>
      <c r="N71" s="3721"/>
      <c r="O71" s="3724"/>
      <c r="P71" s="3727"/>
    </row>
    <row r="72" spans="1:16" ht="15" thickBot="1">
      <c r="A72" s="3734"/>
      <c r="B72" s="3551" t="s">
        <v>3792</v>
      </c>
      <c r="C72" s="3552" t="s">
        <v>3793</v>
      </c>
      <c r="D72" s="3552" t="s">
        <v>3794</v>
      </c>
      <c r="E72" s="3552" t="s">
        <v>3795</v>
      </c>
      <c r="F72" s="3553" t="s">
        <v>3788</v>
      </c>
      <c r="G72" s="3554" t="s">
        <v>3794</v>
      </c>
      <c r="H72" s="3555" t="s">
        <v>3796</v>
      </c>
      <c r="I72" s="3555" t="s">
        <v>3797</v>
      </c>
      <c r="J72" s="3556" t="s">
        <v>3788</v>
      </c>
      <c r="K72" s="3557" t="s">
        <v>3798</v>
      </c>
      <c r="L72" s="3557" t="s">
        <v>3400</v>
      </c>
      <c r="M72" s="3744"/>
      <c r="N72" s="3722"/>
      <c r="O72" s="3725"/>
      <c r="P72" s="3728"/>
    </row>
    <row r="73" spans="1:16" ht="14.4">
      <c r="A73" s="3558" t="s">
        <v>3799</v>
      </c>
      <c r="B73" s="3559">
        <f>B74+B75</f>
        <v>475005.20000000007</v>
      </c>
      <c r="C73" s="3560">
        <f>C74+C75</f>
        <v>0</v>
      </c>
      <c r="D73" s="3560">
        <f>D74+D75+D76</f>
        <v>36672.75</v>
      </c>
      <c r="E73" s="3560">
        <v>0</v>
      </c>
      <c r="F73" s="3561">
        <f t="shared" ref="F73:F75" si="13">SUM(B73:E73)</f>
        <v>511677.95000000007</v>
      </c>
      <c r="G73" s="3562"/>
      <c r="H73" s="3563">
        <v>177622</v>
      </c>
      <c r="I73" s="3563">
        <f t="shared" ref="I73:M73" si="14">SUM(I74:I76)</f>
        <v>56210.95</v>
      </c>
      <c r="J73" s="3564">
        <f t="shared" ref="J73:J75" si="15">SUM(G73:I73)</f>
        <v>233832.95</v>
      </c>
      <c r="K73" s="3565">
        <f>SUM(K74:K78)</f>
        <v>0</v>
      </c>
      <c r="L73" s="3565">
        <v>23912</v>
      </c>
      <c r="M73" s="3563">
        <f t="shared" si="14"/>
        <v>172508</v>
      </c>
      <c r="N73" s="3564">
        <f>SUM(G73+F73+H73+I73+K73+M73+L73)</f>
        <v>941930.9</v>
      </c>
      <c r="O73" s="3565">
        <f>SUM(O74:O76)</f>
        <v>55607.47</v>
      </c>
      <c r="P73" s="3566">
        <f>O73/F73</f>
        <v>0.10867669791125452</v>
      </c>
    </row>
    <row r="74" spans="1:16">
      <c r="A74" s="3567" t="s">
        <v>403</v>
      </c>
      <c r="B74" s="3568">
        <v>307616.53000000003</v>
      </c>
      <c r="C74" s="3569">
        <v>0</v>
      </c>
      <c r="D74" s="3570">
        <v>13879.44</v>
      </c>
      <c r="E74" s="3569"/>
      <c r="F74" s="3571">
        <f t="shared" si="13"/>
        <v>321495.97000000003</v>
      </c>
      <c r="G74" s="3572"/>
      <c r="H74" s="3573">
        <v>108200</v>
      </c>
      <c r="I74" s="3574">
        <v>20336</v>
      </c>
      <c r="J74" s="3571">
        <f t="shared" si="15"/>
        <v>128536</v>
      </c>
      <c r="K74" s="3575"/>
      <c r="L74" s="3575"/>
      <c r="M74" s="3574">
        <v>113470</v>
      </c>
      <c r="N74" s="3571">
        <v>563500.93999999994</v>
      </c>
      <c r="O74" s="3576">
        <v>32013</v>
      </c>
      <c r="P74" s="3577">
        <f>O74/B74</f>
        <v>0.10406787957721257</v>
      </c>
    </row>
    <row r="75" spans="1:16">
      <c r="A75" s="3578" t="s">
        <v>404</v>
      </c>
      <c r="B75" s="3579">
        <v>167388.67000000001</v>
      </c>
      <c r="C75" s="3580">
        <v>0</v>
      </c>
      <c r="D75" s="3580">
        <f>9698.82+108.49</f>
        <v>9807.31</v>
      </c>
      <c r="E75" s="3580"/>
      <c r="F75" s="3581">
        <f t="shared" si="13"/>
        <v>177195.98</v>
      </c>
      <c r="G75" s="3582"/>
      <c r="H75" s="3583">
        <f>10279+55272.55</f>
        <v>65551.55</v>
      </c>
      <c r="I75" s="3583">
        <v>35874.949999999997</v>
      </c>
      <c r="J75" s="3581">
        <f t="shared" si="15"/>
        <v>101426.5</v>
      </c>
      <c r="K75" s="3584"/>
      <c r="L75" s="3584">
        <v>23912</v>
      </c>
      <c r="M75" s="3583">
        <v>56876</v>
      </c>
      <c r="N75" s="3581">
        <v>359410.66</v>
      </c>
      <c r="O75" s="3583">
        <f>4419+17616.47</f>
        <v>22035.47</v>
      </c>
      <c r="P75" s="3577">
        <f>O75/B75</f>
        <v>0.13164254187574345</v>
      </c>
    </row>
    <row r="76" spans="1:16" ht="14.4">
      <c r="A76" s="3585" t="s">
        <v>3800</v>
      </c>
      <c r="B76" s="3586"/>
      <c r="C76" s="3569"/>
      <c r="D76" s="3569">
        <v>12986</v>
      </c>
      <c r="E76" s="3569"/>
      <c r="F76" s="3571">
        <f t="shared" ref="F76" si="16">F77+F78</f>
        <v>12986</v>
      </c>
      <c r="G76" s="3572"/>
      <c r="H76" s="3574">
        <f>H77+H78</f>
        <v>3871</v>
      </c>
      <c r="I76" s="3574"/>
      <c r="J76" s="3571">
        <f t="shared" ref="J76:O76" si="17">J77+J78</f>
        <v>3871</v>
      </c>
      <c r="K76" s="3575"/>
      <c r="L76" s="3575"/>
      <c r="M76" s="3574">
        <v>2162</v>
      </c>
      <c r="N76" s="3571">
        <f t="shared" si="17"/>
        <v>19019</v>
      </c>
      <c r="O76" s="3575">
        <f t="shared" si="17"/>
        <v>1559</v>
      </c>
      <c r="P76" s="3577"/>
    </row>
    <row r="77" spans="1:16">
      <c r="A77" s="3585" t="s">
        <v>3801</v>
      </c>
      <c r="B77" s="3586"/>
      <c r="C77" s="3569"/>
      <c r="D77" s="3570">
        <v>6356</v>
      </c>
      <c r="E77" s="3569"/>
      <c r="F77" s="3571">
        <f t="shared" ref="F77:F78" si="18">SUM(B77:E77)</f>
        <v>6356</v>
      </c>
      <c r="G77" s="3572"/>
      <c r="H77" s="3573">
        <v>1448</v>
      </c>
      <c r="I77" s="3574"/>
      <c r="J77" s="3571">
        <f t="shared" ref="J77:J78" si="19">SUM(G77:I77)</f>
        <v>1448</v>
      </c>
      <c r="K77" s="3575"/>
      <c r="L77" s="3575"/>
      <c r="M77" s="3574">
        <v>1010</v>
      </c>
      <c r="N77" s="3571">
        <f>SUM(G77+F77+H77+I77+K77+M77)</f>
        <v>8814</v>
      </c>
      <c r="O77" s="3576">
        <v>610</v>
      </c>
      <c r="P77" s="3577">
        <f>O77/D77</f>
        <v>9.5972309628697294E-2</v>
      </c>
    </row>
    <row r="78" spans="1:16" ht="14.4" thickBot="1">
      <c r="A78" s="3587" t="s">
        <v>3802</v>
      </c>
      <c r="B78" s="3588"/>
      <c r="C78" s="3589"/>
      <c r="D78" s="3590">
        <v>6630</v>
      </c>
      <c r="E78" s="3589"/>
      <c r="F78" s="3591">
        <f t="shared" si="18"/>
        <v>6630</v>
      </c>
      <c r="G78" s="3592"/>
      <c r="H78" s="3593">
        <v>2423</v>
      </c>
      <c r="I78" s="3594"/>
      <c r="J78" s="3591">
        <f t="shared" si="19"/>
        <v>2423</v>
      </c>
      <c r="K78" s="3595"/>
      <c r="L78" s="3595"/>
      <c r="M78" s="3594">
        <v>1152</v>
      </c>
      <c r="N78" s="3591">
        <f>SUM(G78+F78+H78+I78+K78+M78)</f>
        <v>10205</v>
      </c>
      <c r="O78" s="3596">
        <v>949</v>
      </c>
      <c r="P78" s="3597">
        <f>O78/D78</f>
        <v>0.14313725490196078</v>
      </c>
    </row>
    <row r="79" spans="1:16">
      <c r="B79" t="s">
        <v>3803</v>
      </c>
      <c r="C79" t="s">
        <v>3804</v>
      </c>
      <c r="D79" t="s">
        <v>3805</v>
      </c>
    </row>
    <row r="80" spans="1:16" ht="14.4">
      <c r="A80" s="3609" t="s">
        <v>3822</v>
      </c>
      <c r="B80" s="3598">
        <f>资料整理!J18</f>
        <v>3543338940.6100001</v>
      </c>
      <c r="C80" s="3598">
        <f>B80/B81*C81</f>
        <v>1227071473.4796579</v>
      </c>
      <c r="D80" s="3599">
        <f>B80/B81*D81</f>
        <v>165589157.68769461</v>
      </c>
      <c r="E80" s="3600"/>
    </row>
    <row r="81" spans="1:4">
      <c r="A81" s="3608" t="s">
        <v>3821</v>
      </c>
      <c r="B81" s="3607">
        <f>F73</f>
        <v>511677.95000000007</v>
      </c>
      <c r="C81" s="3607">
        <f>F75</f>
        <v>177195.98</v>
      </c>
      <c r="D81" s="3523">
        <f>D12</f>
        <v>23912</v>
      </c>
    </row>
    <row r="82" spans="1:4">
      <c r="A82" s="3608" t="s">
        <v>3823</v>
      </c>
      <c r="B82">
        <f>B80/B81</f>
        <v>6924.9396824897376</v>
      </c>
      <c r="C82">
        <f t="shared" ref="C82:D82" si="20">C80/C81</f>
        <v>6924.9396824897376</v>
      </c>
      <c r="D82">
        <f t="shared" si="20"/>
        <v>6924.9396824897376</v>
      </c>
    </row>
    <row r="85" spans="1:4">
      <c r="A85" s="3606" t="s">
        <v>3814</v>
      </c>
      <c r="B85" s="3606" t="s">
        <v>3817</v>
      </c>
      <c r="C85" s="3606"/>
    </row>
    <row r="86" spans="1:4">
      <c r="A86" s="3606" t="s">
        <v>3815</v>
      </c>
      <c r="B86" s="3606">
        <v>1.69</v>
      </c>
      <c r="C86" s="3606" t="s">
        <v>3818</v>
      </c>
    </row>
    <row r="87" spans="1:4">
      <c r="A87" s="3606" t="s">
        <v>3810</v>
      </c>
      <c r="B87" s="3606">
        <v>1.18</v>
      </c>
      <c r="C87" s="3606" t="s">
        <v>3818</v>
      </c>
    </row>
    <row r="88" spans="1:4">
      <c r="A88" s="3606" t="s">
        <v>3819</v>
      </c>
      <c r="B88" s="3717">
        <v>35.43</v>
      </c>
      <c r="C88" s="3606"/>
    </row>
    <row r="89" spans="1:4">
      <c r="A89" s="3606" t="s">
        <v>3811</v>
      </c>
      <c r="B89" s="3717"/>
      <c r="C89" s="3606"/>
    </row>
    <row r="90" spans="1:4">
      <c r="A90" s="3606" t="s">
        <v>3812</v>
      </c>
      <c r="B90" s="3717"/>
      <c r="C90" s="3606"/>
    </row>
    <row r="91" spans="1:4">
      <c r="A91" s="3606" t="s">
        <v>3813</v>
      </c>
      <c r="B91" s="3606">
        <v>0.04</v>
      </c>
      <c r="C91" s="3606" t="s">
        <v>3820</v>
      </c>
    </row>
    <row r="92" spans="1:4">
      <c r="A92" s="3606" t="s">
        <v>3816</v>
      </c>
      <c r="B92" s="3606">
        <v>35.119999999999997</v>
      </c>
      <c r="C92" s="3606"/>
    </row>
    <row r="93" spans="1:4">
      <c r="B93">
        <f>SUM(B86:B92)</f>
        <v>73.459999999999994</v>
      </c>
    </row>
    <row r="94" spans="1:4">
      <c r="B94" s="3606">
        <v>74.150000000000006</v>
      </c>
    </row>
    <row r="95" spans="1:4">
      <c r="B95">
        <f>B94-B93</f>
        <v>0.69000000000001194</v>
      </c>
    </row>
    <row r="97" spans="1:4" ht="14.4">
      <c r="A97" s="3715" t="s">
        <v>3825</v>
      </c>
      <c r="B97" s="3715"/>
      <c r="C97" s="3538" t="s">
        <v>3826</v>
      </c>
      <c r="D97" t="s">
        <v>3827</v>
      </c>
    </row>
    <row r="98" spans="1:4" ht="14.4">
      <c r="A98" s="3718" t="s">
        <v>3400</v>
      </c>
      <c r="B98" s="3718"/>
      <c r="C98" s="3539">
        <f>D12</f>
        <v>23912</v>
      </c>
    </row>
    <row r="99" spans="1:4" ht="14.4">
      <c r="A99" s="3715" t="s">
        <v>3402</v>
      </c>
      <c r="B99" s="3715"/>
      <c r="C99" s="3541">
        <v>0</v>
      </c>
    </row>
    <row r="100" spans="1:4" ht="14.4">
      <c r="A100" s="3538"/>
      <c r="B100" s="3538" t="s">
        <v>3403</v>
      </c>
      <c r="C100" s="3539">
        <f>H12</f>
        <v>97.29</v>
      </c>
    </row>
    <row r="101" spans="1:4" ht="14.4">
      <c r="A101" s="3542"/>
      <c r="B101" s="3538" t="s">
        <v>3824</v>
      </c>
      <c r="C101" s="3539">
        <v>0</v>
      </c>
    </row>
    <row r="102" spans="1:4" ht="14.4">
      <c r="A102" s="3719">
        <v>242</v>
      </c>
      <c r="B102" s="3719"/>
      <c r="C102" s="3541">
        <f>G12</f>
        <v>428.71</v>
      </c>
    </row>
    <row r="103" spans="1:4" ht="14.4">
      <c r="A103" s="3715" t="s">
        <v>3406</v>
      </c>
      <c r="B103" s="3715"/>
      <c r="C103" s="3541">
        <v>0</v>
      </c>
    </row>
    <row r="104" spans="1:4">
      <c r="A104" s="3716" t="s">
        <v>3603</v>
      </c>
      <c r="B104" s="3716"/>
      <c r="C104" s="3539">
        <f>SUM(C98:C103)</f>
        <v>24438</v>
      </c>
    </row>
    <row r="105" spans="1:4">
      <c r="C105" s="3523"/>
    </row>
  </sheetData>
  <mergeCells count="70">
    <mergeCell ref="A36:B36"/>
    <mergeCell ref="H63:J63"/>
    <mergeCell ref="H64:J64"/>
    <mergeCell ref="H65:J65"/>
    <mergeCell ref="H66:J66"/>
    <mergeCell ref="H56:J56"/>
    <mergeCell ref="H57:H62"/>
    <mergeCell ref="I57:J57"/>
    <mergeCell ref="I58:I59"/>
    <mergeCell ref="I60:J60"/>
    <mergeCell ref="I61:I62"/>
    <mergeCell ref="H51:H52"/>
    <mergeCell ref="I51:J51"/>
    <mergeCell ref="I52:J52"/>
    <mergeCell ref="H53:J53"/>
    <mergeCell ref="H54:H55"/>
    <mergeCell ref="I54:J54"/>
    <mergeCell ref="I55:J55"/>
    <mergeCell ref="H46:J46"/>
    <mergeCell ref="H47:J47"/>
    <mergeCell ref="H48:J48"/>
    <mergeCell ref="H49:J49"/>
    <mergeCell ref="H50:J50"/>
    <mergeCell ref="E13:F13"/>
    <mergeCell ref="H29:M29"/>
    <mergeCell ref="H30:J30"/>
    <mergeCell ref="H31:J31"/>
    <mergeCell ref="H32:J32"/>
    <mergeCell ref="J15:N15"/>
    <mergeCell ref="H33:J33"/>
    <mergeCell ref="H34:H45"/>
    <mergeCell ref="I34:J34"/>
    <mergeCell ref="I35:I39"/>
    <mergeCell ref="I40:J40"/>
    <mergeCell ref="I41:I45"/>
    <mergeCell ref="A29:B29"/>
    <mergeCell ref="A30:B30"/>
    <mergeCell ref="A31:B31"/>
    <mergeCell ref="A34:B34"/>
    <mergeCell ref="A35:B35"/>
    <mergeCell ref="O2:P2"/>
    <mergeCell ref="A2:A3"/>
    <mergeCell ref="B2:B3"/>
    <mergeCell ref="C2:C3"/>
    <mergeCell ref="D2:F2"/>
    <mergeCell ref="I2:I3"/>
    <mergeCell ref="J2:N2"/>
    <mergeCell ref="O15:P15"/>
    <mergeCell ref="A15:A16"/>
    <mergeCell ref="B15:B16"/>
    <mergeCell ref="C15:C16"/>
    <mergeCell ref="D15:F15"/>
    <mergeCell ref="I15:I16"/>
    <mergeCell ref="A70:A72"/>
    <mergeCell ref="B70:F70"/>
    <mergeCell ref="G70:J70"/>
    <mergeCell ref="K70:L71"/>
    <mergeCell ref="M70:M72"/>
    <mergeCell ref="N70:N72"/>
    <mergeCell ref="O70:O72"/>
    <mergeCell ref="P70:P72"/>
    <mergeCell ref="B71:F71"/>
    <mergeCell ref="G71:J71"/>
    <mergeCell ref="A103:B103"/>
    <mergeCell ref="A104:B104"/>
    <mergeCell ref="B88:B90"/>
    <mergeCell ref="A97:B97"/>
    <mergeCell ref="A98:B98"/>
    <mergeCell ref="A99:B99"/>
    <mergeCell ref="A102:B102"/>
  </mergeCells>
  <phoneticPr fontId="134"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tabSelected="1" zoomScale="80" zoomScaleNormal="80" workbookViewId="0">
      <selection activeCell="F9" sqref="F9"/>
    </sheetView>
  </sheetViews>
  <sheetFormatPr defaultColWidth="8.77734375" defaultRowHeight="13.2"/>
  <cols>
    <col min="1" max="1" width="8.88671875" style="3610" bestFit="1" customWidth="1"/>
    <col min="2" max="2" width="23" style="3610" customWidth="1"/>
    <col min="3" max="3" width="17.5546875" style="3610" customWidth="1"/>
    <col min="4" max="4" width="19" style="3610" customWidth="1"/>
    <col min="5" max="5" width="26.88671875" style="3610" customWidth="1"/>
    <col min="6" max="6" width="44.109375" style="3612" customWidth="1"/>
    <col min="7" max="7" width="8.77734375" style="3612"/>
    <col min="8" max="8" width="12.21875" style="3612" bestFit="1" customWidth="1"/>
    <col min="9" max="16384" width="8.77734375" style="3612"/>
  </cols>
  <sheetData>
    <row r="1" spans="1:8">
      <c r="D1" s="3611"/>
    </row>
    <row r="2" spans="1:8" s="3613" customFormat="1" ht="26.4">
      <c r="A2" s="3614" t="s">
        <v>3623</v>
      </c>
      <c r="B2" s="3614" t="s">
        <v>669</v>
      </c>
      <c r="C2" s="3614" t="s">
        <v>3834</v>
      </c>
      <c r="D2" s="3614" t="s">
        <v>3609</v>
      </c>
      <c r="E2" s="3614" t="s">
        <v>3835</v>
      </c>
      <c r="F2" s="3614" t="s">
        <v>3610</v>
      </c>
    </row>
    <row r="3" spans="1:8" s="3613" customFormat="1">
      <c r="A3" s="3614" t="s">
        <v>3611</v>
      </c>
      <c r="B3" s="3614" t="s">
        <v>3612</v>
      </c>
      <c r="C3" s="3614">
        <v>23912</v>
      </c>
      <c r="D3" s="3614">
        <f>ROUND(E3*10000/C3,0)</f>
        <v>6925</v>
      </c>
      <c r="E3" s="3624">
        <f>E4</f>
        <v>16558.914150670211</v>
      </c>
      <c r="F3" s="3615"/>
    </row>
    <row r="4" spans="1:8" ht="90" customHeight="1">
      <c r="A4" s="3616">
        <v>1</v>
      </c>
      <c r="B4" s="3616" t="s">
        <v>3613</v>
      </c>
      <c r="C4" s="3616" t="s">
        <v>3836</v>
      </c>
      <c r="D4" s="3617" t="s">
        <v>3836</v>
      </c>
      <c r="E4" s="3618">
        <f>3543338940.61/511678*C3/10000</f>
        <v>16558.914150670211</v>
      </c>
      <c r="F4" s="3619" t="s">
        <v>3828</v>
      </c>
    </row>
    <row r="5" spans="1:8" s="3613" customFormat="1">
      <c r="A5" s="3614" t="s">
        <v>3614</v>
      </c>
      <c r="B5" s="3614" t="s">
        <v>3615</v>
      </c>
      <c r="C5" s="3614">
        <v>45754</v>
      </c>
      <c r="D5" s="3620">
        <f>ROUND(E5*10000/C5,0)</f>
        <v>6000</v>
      </c>
      <c r="E5" s="3621">
        <f>E6+E7</f>
        <v>27451.007462915968</v>
      </c>
      <c r="F5" s="3615" t="s">
        <v>3632</v>
      </c>
    </row>
    <row r="6" spans="1:8" ht="121.8" customHeight="1">
      <c r="A6" s="3616">
        <v>1</v>
      </c>
      <c r="B6" s="3616" t="s">
        <v>3616</v>
      </c>
      <c r="C6" s="3616" t="s">
        <v>3836</v>
      </c>
      <c r="D6" s="3617" t="s">
        <v>3836</v>
      </c>
      <c r="E6" s="3618">
        <f>1004058708.88/187433.8*C5/10000</f>
        <v>24509.828091889256</v>
      </c>
      <c r="F6" s="3619" t="s">
        <v>3833</v>
      </c>
      <c r="H6" s="3612" t="e">
        <f>(E6+E7)/C6</f>
        <v>#VALUE!</v>
      </c>
    </row>
    <row r="7" spans="1:8" ht="96" customHeight="1">
      <c r="A7" s="3616">
        <v>2</v>
      </c>
      <c r="B7" s="3616" t="s">
        <v>3844</v>
      </c>
      <c r="C7" s="3616" t="s">
        <v>3836</v>
      </c>
      <c r="D7" s="3622">
        <v>0.12</v>
      </c>
      <c r="E7" s="3618">
        <f>E6*D7</f>
        <v>2941.1793710267107</v>
      </c>
      <c r="F7" s="3619" t="s">
        <v>3829</v>
      </c>
    </row>
    <row r="8" spans="1:8" s="3613" customFormat="1" ht="85.8" customHeight="1">
      <c r="A8" s="3614" t="s">
        <v>3617</v>
      </c>
      <c r="B8" s="3614" t="s">
        <v>3618</v>
      </c>
      <c r="C8" s="3614" t="s">
        <v>3836</v>
      </c>
      <c r="D8" s="3623">
        <v>0.02</v>
      </c>
      <c r="E8" s="3624">
        <f>(E4+E6+E7)*D8</f>
        <v>880.19843227172362</v>
      </c>
      <c r="F8" s="3615" t="s">
        <v>3845</v>
      </c>
    </row>
    <row r="9" spans="1:8" s="3613" customFormat="1" ht="107.4" customHeight="1">
      <c r="A9" s="3614" t="s">
        <v>3619</v>
      </c>
      <c r="B9" s="3614" t="s">
        <v>3620</v>
      </c>
      <c r="C9" s="3614" t="s">
        <v>3836</v>
      </c>
      <c r="D9" s="3625">
        <v>3.5799999999999998E-2</v>
      </c>
      <c r="E9" s="3624">
        <f>E4*70%*((1+3.58%)^1-1)+(E6+E7+E8)*70%*((1+3.58%)^0.5-1)</f>
        <v>766.83486763204928</v>
      </c>
      <c r="F9" s="3615" t="s">
        <v>3843</v>
      </c>
    </row>
    <row r="10" spans="1:8" s="3613" customFormat="1" ht="60" customHeight="1">
      <c r="A10" s="3614" t="s">
        <v>3621</v>
      </c>
      <c r="B10" s="3614" t="s">
        <v>3622</v>
      </c>
      <c r="C10" s="3614" t="s">
        <v>3836</v>
      </c>
      <c r="D10" s="3625">
        <v>5.33E-2</v>
      </c>
      <c r="E10" s="3614" t="s">
        <v>3831</v>
      </c>
      <c r="F10" s="3615" t="s">
        <v>3830</v>
      </c>
    </row>
    <row r="11" spans="1:8" s="3613" customFormat="1" ht="62.4" customHeight="1">
      <c r="A11" s="3614" t="s">
        <v>3624</v>
      </c>
      <c r="B11" s="3614" t="s">
        <v>3625</v>
      </c>
      <c r="C11" s="3614" t="s">
        <v>3836</v>
      </c>
      <c r="D11" s="3623">
        <v>0.03</v>
      </c>
      <c r="E11" s="3624">
        <f>(E4+E6+E7)*3%</f>
        <v>1320.2976484075853</v>
      </c>
      <c r="F11" s="3615" t="s">
        <v>3631</v>
      </c>
    </row>
    <row r="12" spans="1:8">
      <c r="A12" s="3616" t="s">
        <v>3627</v>
      </c>
      <c r="B12" s="3616" t="s">
        <v>3626</v>
      </c>
      <c r="C12" s="3616">
        <f>C3</f>
        <v>23912</v>
      </c>
      <c r="D12" s="3617">
        <f>E12*10000/C12</f>
        <v>20751.923720307794</v>
      </c>
      <c r="E12" s="3616">
        <f>ROUND((E4+E6+E7+E8+E9+E11)/(1-D10),0)</f>
        <v>49622</v>
      </c>
      <c r="F12" s="3619" t="s">
        <v>3630</v>
      </c>
    </row>
    <row r="13" spans="1:8">
      <c r="A13" s="3616" t="s">
        <v>3837</v>
      </c>
      <c r="B13" s="3616" t="s">
        <v>3628</v>
      </c>
      <c r="C13" s="3616" t="s">
        <v>3839</v>
      </c>
      <c r="D13" s="3616" t="s">
        <v>3840</v>
      </c>
      <c r="E13" s="3616">
        <f>E12</f>
        <v>49622</v>
      </c>
      <c r="F13" s="3619" t="s">
        <v>3841</v>
      </c>
    </row>
    <row r="14" spans="1:8">
      <c r="A14" s="3616" t="s">
        <v>3838</v>
      </c>
      <c r="B14" s="3616" t="s">
        <v>3629</v>
      </c>
      <c r="C14" s="3616" t="s">
        <v>3836</v>
      </c>
      <c r="D14" s="3617">
        <f>D12</f>
        <v>20751.923720307794</v>
      </c>
      <c r="E14" s="3616" t="s">
        <v>3836</v>
      </c>
      <c r="F14" s="3619" t="s">
        <v>3832</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7" sqref="D7"/>
    </sheetView>
  </sheetViews>
  <sheetFormatPr defaultColWidth="8.33203125" defaultRowHeight="13.2"/>
  <cols>
    <col min="1" max="1" width="10.33203125" style="268" customWidth="1"/>
    <col min="2" max="2" width="29.109375" style="250" customWidth="1"/>
    <col min="3" max="3" width="12.109375" style="250" customWidth="1"/>
    <col min="4" max="5" width="11.109375" style="271" customWidth="1"/>
    <col min="6" max="6" width="9.44140625" style="250" customWidth="1"/>
    <col min="7" max="7" width="31.77734375" style="250" customWidth="1"/>
    <col min="8" max="254" width="9" style="250" customWidth="1"/>
    <col min="255" max="16384" width="8.33203125" style="250"/>
  </cols>
  <sheetData>
    <row r="1" spans="1:9" s="199" customFormat="1" ht="21">
      <c r="A1" s="195" t="s">
        <v>1460</v>
      </c>
      <c r="B1" s="1467"/>
      <c r="C1" s="197"/>
      <c r="D1" s="197"/>
      <c r="E1" s="197"/>
      <c r="F1" s="197"/>
      <c r="G1" s="1123">
        <f>MATCH(B1,'数据-取费表'!A6:A16,0)+5</f>
        <v>9</v>
      </c>
    </row>
    <row r="2" spans="1:9" s="199" customFormat="1" ht="18" customHeight="1">
      <c r="A2" s="200" t="s">
        <v>1461</v>
      </c>
      <c r="B2" s="201">
        <f ca="1">IF(D2="——",C52,C52-E2)</f>
        <v>53990</v>
      </c>
      <c r="C2" s="198" t="s">
        <v>1462</v>
      </c>
      <c r="D2" s="1850" t="s">
        <v>43</v>
      </c>
      <c r="E2" s="1166" t="e">
        <f ca="1">SUMIF(INDIRECT("'"&amp;G2&amp;"'"&amp;"!A:A"),"承租人权益价值",INDIRECT("'"&amp;G2&amp;"'"&amp;"!c:c"))</f>
        <v>#REF!</v>
      </c>
      <c r="F2" s="1851" t="s">
        <v>1462</v>
      </c>
      <c r="G2" s="1852"/>
    </row>
    <row r="3" spans="1:9" s="199" customFormat="1" ht="18" customHeight="1" thickBot="1">
      <c r="A3" s="202" t="s">
        <v>1463</v>
      </c>
      <c r="B3" s="203">
        <f ca="1">ROUND(B2*10000/(IF(B1="",'数据-汇总表'!E3,INDIRECT("'数据-取费表'!k"&amp;$G$1))),0)</f>
        <v>13092</v>
      </c>
      <c r="C3" s="198" t="s">
        <v>1464</v>
      </c>
      <c r="D3" s="198"/>
      <c r="E3" s="198"/>
      <c r="F3" s="198"/>
      <c r="G3" s="198"/>
    </row>
    <row r="4" spans="1:9" s="207" customFormat="1" ht="16.2">
      <c r="A4" s="204" t="s">
        <v>1465</v>
      </c>
      <c r="B4" s="205"/>
      <c r="C4" s="205"/>
      <c r="D4" s="205"/>
      <c r="E4" s="205"/>
      <c r="F4" s="205"/>
      <c r="G4" s="206"/>
    </row>
    <row r="5" spans="1:9" s="213" customFormat="1" ht="13.5" customHeight="1">
      <c r="A5" s="254" t="s">
        <v>1466</v>
      </c>
      <c r="B5" s="209" t="s">
        <v>1467</v>
      </c>
      <c r="C5" s="210">
        <f>C6+C7+C8</f>
        <v>18711</v>
      </c>
      <c r="D5" s="210" t="s">
        <v>1468</v>
      </c>
      <c r="E5" s="211" t="s">
        <v>1469</v>
      </c>
      <c r="F5" s="211" t="s">
        <v>1470</v>
      </c>
      <c r="G5" s="212"/>
    </row>
    <row r="6" spans="1:9" s="213" customFormat="1" ht="13.5" customHeight="1">
      <c r="A6" s="776" t="s">
        <v>1471</v>
      </c>
      <c r="B6" s="214" t="s">
        <v>1472</v>
      </c>
      <c r="C6" s="215">
        <f>ROUND(6925*(面积表!C12+面积表!E12)/10000,0)</f>
        <v>18002</v>
      </c>
      <c r="D6" s="216"/>
      <c r="E6" s="217"/>
      <c r="F6" s="217"/>
      <c r="G6" s="218"/>
    </row>
    <row r="7" spans="1:9" s="213" customFormat="1" ht="13.5" customHeight="1">
      <c r="A7" s="776" t="s">
        <v>1473</v>
      </c>
      <c r="B7" s="214" t="s">
        <v>1474</v>
      </c>
      <c r="C7" s="219">
        <f>ROUND(C6*F7,0)</f>
        <v>549</v>
      </c>
      <c r="D7" s="219"/>
      <c r="E7" s="217"/>
      <c r="F7" s="220">
        <f>IF(项目基本情况!B8="出让",0,'数据-取费表'!B48+'数据-取费表'!B49)</f>
        <v>3.0499999999999999E-2</v>
      </c>
      <c r="G7" s="218"/>
    </row>
    <row r="8" spans="1:9" s="222" customFormat="1">
      <c r="A8" s="776" t="s">
        <v>1475</v>
      </c>
      <c r="B8" s="214" t="s">
        <v>1476</v>
      </c>
      <c r="C8" s="219">
        <f>IF(G8="已包含在土地购买价格中","0",IF(B1="",'数据-取费表'!B29,IF(G9="全部缴纳",C9+C10,H9)))</f>
        <v>160</v>
      </c>
      <c r="D8" s="221"/>
      <c r="E8" s="219"/>
      <c r="F8" s="220"/>
      <c r="G8" s="1853" t="s">
        <v>3640</v>
      </c>
    </row>
    <row r="9" spans="1:9" s="213" customFormat="1" ht="13.5" customHeight="1">
      <c r="A9" s="777" t="s">
        <v>355</v>
      </c>
      <c r="B9" s="223" t="s">
        <v>1477</v>
      </c>
      <c r="C9" s="224">
        <f ca="1">ROUND(D9*E9/10000,0)</f>
        <v>383</v>
      </c>
      <c r="D9" s="843">
        <f ca="1">IF(B1="",'数据-汇总表'!E5,IF(INDIRECT("'数据-取费表'!c"&amp;$G$1)="住宅",INDIRECT("'数据-取费表'!k"&amp;$G$1),0))</f>
        <v>23912</v>
      </c>
      <c r="E9" s="224">
        <f>'数据-取费表'!B27</f>
        <v>160</v>
      </c>
      <c r="F9" s="220"/>
      <c r="G9" s="1854" t="s">
        <v>3642</v>
      </c>
      <c r="H9" s="1134"/>
      <c r="I9" s="1855" t="s">
        <v>1478</v>
      </c>
    </row>
    <row r="10" spans="1:9" s="213" customFormat="1" ht="13.5" customHeight="1">
      <c r="A10" s="777" t="s">
        <v>356</v>
      </c>
      <c r="B10" s="223" t="s">
        <v>1479</v>
      </c>
      <c r="C10" s="224">
        <f ca="1">ROUND(D10*E10/10000,0)</f>
        <v>347</v>
      </c>
      <c r="D10" s="843">
        <f ca="1">IF(B1="",'数据-汇总表'!E6,IF(INDIRECT("'数据-取费表'!c"&amp;$G$1)="住宅",INDIRECT("'数据-取费表'!s"&amp;$G$1),INDIRECT("'数据-取费表'!k"&amp;$G$1)+INDIRECT("'数据-取费表'!s"&amp;$G$1)))</f>
        <v>17326</v>
      </c>
      <c r="E10" s="224">
        <f>'数据-取费表'!B28</f>
        <v>200</v>
      </c>
      <c r="F10" s="220"/>
      <c r="G10" s="225"/>
    </row>
    <row r="11" spans="1:9" s="213" customFormat="1" ht="13.5" hidden="1" customHeight="1">
      <c r="A11" s="226" t="s">
        <v>4</v>
      </c>
      <c r="B11" s="214" t="s">
        <v>1480</v>
      </c>
      <c r="C11" s="210"/>
      <c r="D11" s="845"/>
      <c r="E11" s="217"/>
      <c r="F11" s="217"/>
      <c r="G11" s="218"/>
    </row>
    <row r="12" spans="1:9" s="213" customFormat="1" ht="13.5" hidden="1" customHeight="1">
      <c r="A12" s="226" t="s">
        <v>5</v>
      </c>
      <c r="B12" s="214" t="s">
        <v>1481</v>
      </c>
      <c r="C12" s="210">
        <v>0</v>
      </c>
      <c r="D12" s="845"/>
      <c r="E12" s="227"/>
      <c r="F12" s="220">
        <v>3.0499999999999999E-2</v>
      </c>
      <c r="G12" s="218"/>
    </row>
    <row r="13" spans="1:9" s="213" customFormat="1" ht="13.5" hidden="1" customHeight="1">
      <c r="A13" s="226" t="s">
        <v>6</v>
      </c>
      <c r="B13" s="214" t="s">
        <v>1482</v>
      </c>
      <c r="C13" s="210"/>
      <c r="D13" s="845"/>
      <c r="E13" s="217"/>
      <c r="F13" s="217"/>
      <c r="G13" s="218"/>
    </row>
    <row r="14" spans="1:9" s="213" customFormat="1" ht="13.5" hidden="1" customHeight="1">
      <c r="A14" s="226" t="s">
        <v>7</v>
      </c>
      <c r="B14" s="214" t="s">
        <v>1483</v>
      </c>
      <c r="C14" s="210"/>
      <c r="D14" s="845"/>
      <c r="E14" s="217"/>
      <c r="F14" s="217"/>
      <c r="G14" s="218" t="s">
        <v>1484</v>
      </c>
    </row>
    <row r="15" spans="1:9" s="213" customFormat="1" ht="13.5" hidden="1" customHeight="1">
      <c r="A15" s="226" t="s">
        <v>8</v>
      </c>
      <c r="B15" s="214" t="s">
        <v>1485</v>
      </c>
      <c r="C15" s="219"/>
      <c r="D15" s="845"/>
      <c r="E15" s="217"/>
      <c r="F15" s="217"/>
      <c r="G15" s="218" t="s">
        <v>1486</v>
      </c>
    </row>
    <row r="16" spans="1:9" s="213" customFormat="1" ht="13.5" hidden="1" customHeight="1">
      <c r="A16" s="226" t="s">
        <v>9</v>
      </c>
      <c r="B16" s="214" t="s">
        <v>1483</v>
      </c>
      <c r="C16" s="219"/>
      <c r="D16" s="845"/>
      <c r="E16" s="217"/>
      <c r="F16" s="217"/>
      <c r="G16" s="218"/>
    </row>
    <row r="17" spans="1:7" s="213" customFormat="1" ht="13.5" hidden="1" customHeight="1">
      <c r="A17" s="226" t="s">
        <v>10</v>
      </c>
      <c r="B17" s="214" t="s">
        <v>1487</v>
      </c>
      <c r="C17" s="228"/>
      <c r="D17" s="846"/>
      <c r="E17" s="228"/>
      <c r="F17" s="228"/>
      <c r="G17" s="218" t="s">
        <v>1486</v>
      </c>
    </row>
    <row r="18" spans="1:7" s="213" customFormat="1" ht="13.5" hidden="1" customHeight="1">
      <c r="A18" s="226" t="s">
        <v>11</v>
      </c>
      <c r="B18" s="214" t="s">
        <v>1488</v>
      </c>
      <c r="C18" s="219">
        <v>0</v>
      </c>
      <c r="D18" s="845"/>
      <c r="E18" s="217"/>
      <c r="F18" s="220">
        <v>3.0499999999999999E-2</v>
      </c>
      <c r="G18" s="218" t="s">
        <v>1489</v>
      </c>
    </row>
    <row r="19" spans="1:7" s="222" customFormat="1" ht="13.5" customHeight="1">
      <c r="A19" s="254" t="s">
        <v>1490</v>
      </c>
      <c r="B19" s="209" t="s">
        <v>1491</v>
      </c>
      <c r="C19" s="210" t="str">
        <f>IF(G19="已包含在土地取得成本中","0",ROUND(D19*E19/10000,0))</f>
        <v>0</v>
      </c>
      <c r="D19" s="847">
        <f ca="1">D9+D10</f>
        <v>41238</v>
      </c>
      <c r="E19" s="210">
        <f>'数据-取费表'!B31</f>
        <v>200</v>
      </c>
      <c r="F19" s="230"/>
      <c r="G19" s="1853" t="s">
        <v>3641</v>
      </c>
    </row>
    <row r="20" spans="1:7" s="213" customFormat="1" ht="13.5" customHeight="1">
      <c r="A20" s="254" t="s">
        <v>1492</v>
      </c>
      <c r="B20" s="209" t="s">
        <v>1493</v>
      </c>
      <c r="C20" s="231">
        <f>ROUND((C5+C19)*F20,0)</f>
        <v>374</v>
      </c>
      <c r="D20" s="231"/>
      <c r="E20" s="231"/>
      <c r="F20" s="232">
        <f>'数据-取费表'!B37</f>
        <v>0.02</v>
      </c>
      <c r="G20" s="233" t="s">
        <v>1494</v>
      </c>
    </row>
    <row r="21" spans="1:7" s="213" customFormat="1" ht="13.5" customHeight="1">
      <c r="A21" s="254" t="s">
        <v>1495</v>
      </c>
      <c r="B21" s="209" t="s">
        <v>1496</v>
      </c>
      <c r="C21" s="234">
        <f>F21</f>
        <v>0.02</v>
      </c>
      <c r="D21" s="235" t="s">
        <v>3808</v>
      </c>
      <c r="E21" s="231"/>
      <c r="F21" s="232">
        <f>'数据-取费表'!B38</f>
        <v>0.02</v>
      </c>
      <c r="G21" s="233" t="s">
        <v>1498</v>
      </c>
    </row>
    <row r="22" spans="1:7" s="213" customFormat="1" ht="13.5" customHeight="1">
      <c r="A22" s="254" t="s">
        <v>1499</v>
      </c>
      <c r="B22" s="209" t="s">
        <v>1500</v>
      </c>
      <c r="C22" s="1101">
        <f ca="1">ROUND(SUM(C23:C25),0)</f>
        <v>2102</v>
      </c>
      <c r="D22" s="234">
        <f ca="1">C26</f>
        <v>1.1000000000000001E-3</v>
      </c>
      <c r="E22" s="235" t="s">
        <v>1497</v>
      </c>
      <c r="F22" s="236">
        <f ca="1">'数据-取费表'!B40</f>
        <v>3.5799999999999998E-2</v>
      </c>
      <c r="G22" s="233" t="str">
        <f>IF('数据-取费表'!B22&lt;=1,"单利计息","复利计息")</f>
        <v>复利计息</v>
      </c>
    </row>
    <row r="23" spans="1:7" s="213" customFormat="1" ht="13.5" customHeight="1">
      <c r="A23" s="778" t="s">
        <v>1501</v>
      </c>
      <c r="B23" s="214" t="s">
        <v>1502</v>
      </c>
      <c r="C23" s="1102">
        <f ca="1">ROUND(IF('数据-取费表'!B22&lt;=1,C5*F22*'数据-取费表'!B23,C5*(POWER((1+F22),'数据-取费表'!B23)-1)),0)</f>
        <v>2082</v>
      </c>
      <c r="D23" s="237"/>
      <c r="E23" s="237"/>
      <c r="F23" s="238"/>
      <c r="G23" s="239" t="s">
        <v>1503</v>
      </c>
    </row>
    <row r="24" spans="1:7" s="213" customFormat="1" ht="13.5" customHeight="1">
      <c r="A24" s="778" t="s">
        <v>1504</v>
      </c>
      <c r="B24" s="214" t="s">
        <v>1505</v>
      </c>
      <c r="C24" s="1102">
        <f ca="1">ROUND(IF('数据-取费表'!B22&lt;=1,C19*F22*('数据-取费表'!B19/2+'数据-取费表'!B21),C19*(POWER((1+F22),('数据-取费表'!B19/2+'数据-取费表'!B21))-1)),0)</f>
        <v>0</v>
      </c>
      <c r="D24" s="237"/>
      <c r="E24" s="237"/>
      <c r="F24" s="238"/>
      <c r="G24" s="239" t="s">
        <v>1506</v>
      </c>
    </row>
    <row r="25" spans="1:7" s="213" customFormat="1" ht="24">
      <c r="A25" s="778" t="s">
        <v>1507</v>
      </c>
      <c r="B25" s="214" t="s">
        <v>1508</v>
      </c>
      <c r="C25" s="1102">
        <f ca="1">ROUND(IF('数据-取费表'!B22&lt;=1,C20*F22*'数据-取费表'!B23/2,C20*(POWER((1+F22),'数据-取费表'!B23/2)-1)),0)</f>
        <v>20</v>
      </c>
      <c r="D25" s="237"/>
      <c r="E25" s="240"/>
      <c r="F25" s="238"/>
      <c r="G25" s="241" t="s">
        <v>1509</v>
      </c>
    </row>
    <row r="26" spans="1:7" s="213" customFormat="1">
      <c r="A26" s="778" t="s">
        <v>350</v>
      </c>
      <c r="B26" s="214" t="s">
        <v>1510</v>
      </c>
      <c r="C26" s="237">
        <f ca="1">ROUND(IF('数据-取费表'!B22&lt;=1,F21*F22*'数据-取费表'!B23/2,F21*(POWER((1+F22),'数据-取费表'!B23/2)-1)),4)</f>
        <v>1.1000000000000001E-3</v>
      </c>
      <c r="D26" s="237"/>
      <c r="E26" s="240"/>
      <c r="F26" s="238"/>
      <c r="G26" s="242"/>
    </row>
    <row r="27" spans="1:7" s="213" customFormat="1" ht="26.4">
      <c r="A27" s="254" t="s">
        <v>1511</v>
      </c>
      <c r="B27" s="243" t="s">
        <v>1512</v>
      </c>
      <c r="C27" s="244">
        <f ca="1">C28</f>
        <v>573</v>
      </c>
      <c r="D27" s="234">
        <f ca="1">C29</f>
        <v>5.9999999999999995E-4</v>
      </c>
      <c r="E27" s="235" t="s">
        <v>1513</v>
      </c>
      <c r="F27" s="245">
        <f ca="1">IF(B1="",'数据-取费表'!Q16,INDIRECT("'数据-取费表'!q"&amp;$G$1))</f>
        <v>0.03</v>
      </c>
      <c r="G27" s="246" t="s">
        <v>1514</v>
      </c>
    </row>
    <row r="28" spans="1:7" s="213" customFormat="1" ht="13.5" customHeight="1">
      <c r="A28" s="778" t="s">
        <v>346</v>
      </c>
      <c r="B28" s="247" t="s">
        <v>1515</v>
      </c>
      <c r="C28" s="248">
        <f ca="1">ROUND((C5+C19+C20)*F27*'数据-取费表'!B21/'数据-取费表'!B20,0)</f>
        <v>573</v>
      </c>
      <c r="D28" s="234"/>
      <c r="E28" s="235"/>
      <c r="F28" s="245"/>
      <c r="G28" s="246"/>
    </row>
    <row r="29" spans="1:7" s="213" customFormat="1" ht="13.5" customHeight="1">
      <c r="A29" s="778" t="s">
        <v>347</v>
      </c>
      <c r="B29" s="247" t="s">
        <v>1516</v>
      </c>
      <c r="C29" s="237">
        <f ca="1">ROUND(C21*F27*'数据-取费表'!B21/'数据-取费表'!B20,4)</f>
        <v>5.9999999999999995E-4</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23501</v>
      </c>
      <c r="D31" s="229"/>
      <c r="E31" s="210"/>
      <c r="F31" s="249"/>
      <c r="G31" s="233" t="s">
        <v>1521</v>
      </c>
    </row>
    <row r="32" spans="1:7" s="207" customFormat="1" ht="16.2">
      <c r="A32" s="251" t="s">
        <v>1522</v>
      </c>
      <c r="B32" s="252"/>
      <c r="C32" s="252"/>
      <c r="D32" s="252"/>
      <c r="E32" s="252"/>
      <c r="F32" s="252"/>
      <c r="G32" s="253"/>
    </row>
    <row r="33" spans="1:7" s="213" customFormat="1" ht="13.5" customHeight="1">
      <c r="A33" s="254" t="s">
        <v>337</v>
      </c>
      <c r="B33" s="209" t="s">
        <v>1523</v>
      </c>
      <c r="C33" s="255">
        <f ca="1">SUM(C34:C38)</f>
        <v>25978</v>
      </c>
      <c r="D33" s="231"/>
      <c r="E33" s="211">
        <f ca="1">ROUND(C33*10000/(D9+D10),0)</f>
        <v>6300</v>
      </c>
      <c r="F33" s="240"/>
      <c r="G33" s="233"/>
    </row>
    <row r="34" spans="1:7" s="257" customFormat="1" ht="13.5" customHeight="1">
      <c r="A34" s="778" t="s">
        <v>346</v>
      </c>
      <c r="B34" s="214" t="s">
        <v>1524</v>
      </c>
      <c r="C34" s="219">
        <f ca="1">IF(B1="",IF(F34=100%,'数据-取费表'!M16,'数据-取费表'!O16),IF(F34=100%,INDIRECT("'数据-取费表'!m"&amp;$G$1)+INDIRECT("'数据-取费表'!t"&amp;$G$1),INDIRECT("'数据-取费表'!o"&amp;$G$1)+INDIRECT("'数据-取费表'!aq"&amp;$G$1)))</f>
        <v>21486</v>
      </c>
      <c r="D34" s="216"/>
      <c r="E34" s="219"/>
      <c r="F34" s="256">
        <f ca="1">IF('数据-取费表'!B24=0,1,IF(B1="",'数据-取费表'!N16,INDIRECT("'数据-取费表'!n"&amp;$G$1)))</f>
        <v>1</v>
      </c>
      <c r="G34" s="218" t="s">
        <v>1525</v>
      </c>
    </row>
    <row r="35" spans="1:7" ht="13.5" customHeight="1">
      <c r="A35" s="778" t="s">
        <v>351</v>
      </c>
      <c r="B35" s="214" t="s">
        <v>1526</v>
      </c>
      <c r="C35" s="219">
        <f ca="1">ROUND(C34*F35,0)</f>
        <v>2149</v>
      </c>
      <c r="D35" s="219"/>
      <c r="E35" s="219"/>
      <c r="F35" s="258">
        <f>'数据-取费表'!B33</f>
        <v>0.1</v>
      </c>
      <c r="G35" s="218" t="s">
        <v>1527</v>
      </c>
    </row>
    <row r="36" spans="1:7" ht="24">
      <c r="A36" s="778" t="s">
        <v>352</v>
      </c>
      <c r="B36" s="214" t="s">
        <v>1528</v>
      </c>
      <c r="C36" s="219">
        <f ca="1">ROUND(IF(B1="",SUMIF('数据-取费表'!C:C,"住宅",IF(F34=100%,'数据-取费表'!M:M,'数据-取费表'!O:O))*F36,IF(INDIRECT("'数据-取费表'!c"&amp;$G$1)="住宅",IF(F34=100%,INDIRECT("'数据-取费表'!m"&amp;$G$1)*F36,INDIRECT("'数据-取费表'!o"&amp;$G$1)*F36),0)),0)</f>
        <v>1196</v>
      </c>
      <c r="D36" s="219"/>
      <c r="E36" s="219"/>
      <c r="F36" s="258">
        <f>'数据-取费表'!B34</f>
        <v>0.1</v>
      </c>
      <c r="G36" s="259" t="s">
        <v>1529</v>
      </c>
    </row>
    <row r="37" spans="1:7" s="257" customFormat="1" ht="13.5" customHeight="1">
      <c r="A37" s="778" t="s">
        <v>353</v>
      </c>
      <c r="B37" s="214" t="s">
        <v>1530</v>
      </c>
      <c r="C37" s="248">
        <f ca="1">ROUND(E37*D37*F34/10000,0)</f>
        <v>825</v>
      </c>
      <c r="D37" s="216">
        <f ca="1">D19</f>
        <v>41238</v>
      </c>
      <c r="E37" s="248">
        <f>'数据-取费表'!B35</f>
        <v>200</v>
      </c>
      <c r="F37" s="258"/>
      <c r="G37" s="260" t="s">
        <v>1531</v>
      </c>
    </row>
    <row r="38" spans="1:7" ht="13.5" customHeight="1">
      <c r="A38" s="778" t="s">
        <v>354</v>
      </c>
      <c r="B38" s="214" t="s">
        <v>1532</v>
      </c>
      <c r="C38" s="219">
        <f ca="1">ROUND(C34*F38,0)</f>
        <v>322</v>
      </c>
      <c r="D38" s="219"/>
      <c r="E38" s="219"/>
      <c r="F38" s="258">
        <f>'数据-取费表'!B36</f>
        <v>1.4999999999999999E-2</v>
      </c>
      <c r="G38" s="218" t="s">
        <v>1527</v>
      </c>
    </row>
    <row r="39" spans="1:7" s="213" customFormat="1" ht="13.5" customHeight="1">
      <c r="A39" s="254" t="s">
        <v>1533</v>
      </c>
      <c r="B39" s="209" t="s">
        <v>1534</v>
      </c>
      <c r="C39" s="231">
        <f ca="1">ROUND(C33*F20,0)</f>
        <v>520</v>
      </c>
      <c r="D39" s="231"/>
      <c r="E39" s="231"/>
      <c r="F39" s="232">
        <f>F20</f>
        <v>0.02</v>
      </c>
      <c r="G39" s="233" t="s">
        <v>1535</v>
      </c>
    </row>
    <row r="40" spans="1:7" s="213" customFormat="1" ht="13.5" customHeight="1">
      <c r="A40" s="254" t="s">
        <v>1536</v>
      </c>
      <c r="B40" s="209" t="s">
        <v>1537</v>
      </c>
      <c r="C40" s="1324">
        <f>F21</f>
        <v>0.02</v>
      </c>
      <c r="D40" s="235" t="s">
        <v>1538</v>
      </c>
      <c r="E40" s="231"/>
      <c r="F40" s="232">
        <f>F21</f>
        <v>0.02</v>
      </c>
      <c r="G40" s="233" t="s">
        <v>1539</v>
      </c>
    </row>
    <row r="41" spans="1:7" s="213" customFormat="1" ht="13.5" customHeight="1">
      <c r="A41" s="254" t="s">
        <v>1540</v>
      </c>
      <c r="B41" s="209" t="s">
        <v>1541</v>
      </c>
      <c r="C41" s="231">
        <f ca="1">ROUND(SUM(C42:C43),0)</f>
        <v>949</v>
      </c>
      <c r="D41" s="234">
        <f ca="1">C44</f>
        <v>6.9999999999999999E-4</v>
      </c>
      <c r="E41" s="235" t="s">
        <v>1538</v>
      </c>
      <c r="F41" s="236">
        <f ca="1">F22</f>
        <v>3.5799999999999998E-2</v>
      </c>
      <c r="G41" s="233" t="str">
        <f>IF('数据-取费表'!B22&lt;=1,"单利计息","复利计息")</f>
        <v>复利计息</v>
      </c>
    </row>
    <row r="42" spans="1:7" ht="13.5" customHeight="1">
      <c r="A42" s="778" t="s">
        <v>346</v>
      </c>
      <c r="B42" s="214" t="s">
        <v>1542</v>
      </c>
      <c r="C42" s="237">
        <f ca="1">ROUND(IF('数据-取费表'!B22&lt;=1,C33*F22*'数据-取费表'!B21/2,C33*(POWER((1+F22),'数据-取费表'!B21/2)-1)),0)</f>
        <v>930</v>
      </c>
      <c r="D42" s="237"/>
      <c r="E42" s="237"/>
      <c r="F42" s="238"/>
      <c r="G42" s="3761" t="s">
        <v>1543</v>
      </c>
    </row>
    <row r="43" spans="1:7" ht="13.5" customHeight="1">
      <c r="A43" s="778" t="s">
        <v>347</v>
      </c>
      <c r="B43" s="214" t="s">
        <v>1544</v>
      </c>
      <c r="C43" s="237">
        <f ca="1">ROUND(IF('数据-取费表'!B22&lt;=1,C39*F22*'数据-取费表'!B21/2,C39*(POWER((1+F22),'数据-取费表'!B21/2)-1)),0)</f>
        <v>19</v>
      </c>
      <c r="D43" s="237"/>
      <c r="E43" s="237"/>
      <c r="F43" s="238"/>
      <c r="G43" s="3762"/>
    </row>
    <row r="44" spans="1:7" ht="13.5" customHeight="1">
      <c r="A44" s="778" t="s">
        <v>348</v>
      </c>
      <c r="B44" s="214" t="s">
        <v>1545</v>
      </c>
      <c r="C44" s="237">
        <f ca="1">ROUND(IF('数据-取费表'!B22&lt;=1,C40*F22*'数据-取费表'!B21/2,C40*(POWER((1+F22),'数据-取费表'!B21/2)-1)),4)</f>
        <v>6.9999999999999999E-4</v>
      </c>
      <c r="D44" s="237"/>
      <c r="E44" s="237"/>
      <c r="F44" s="238"/>
      <c r="G44" s="3763"/>
    </row>
    <row r="45" spans="1:7" s="213" customFormat="1" ht="13.5" customHeight="1">
      <c r="A45" s="254" t="s">
        <v>1546</v>
      </c>
      <c r="B45" s="243" t="s">
        <v>1512</v>
      </c>
      <c r="C45" s="244">
        <f ca="1">C46</f>
        <v>795</v>
      </c>
      <c r="D45" s="234">
        <f ca="1">C47</f>
        <v>5.9999999999999995E-4</v>
      </c>
      <c r="E45" s="235" t="s">
        <v>1538</v>
      </c>
      <c r="F45" s="245">
        <f ca="1">F27</f>
        <v>0.03</v>
      </c>
      <c r="G45" s="246" t="s">
        <v>1547</v>
      </c>
    </row>
    <row r="46" spans="1:7" s="213" customFormat="1" ht="13.5" customHeight="1">
      <c r="A46" s="778" t="s">
        <v>346</v>
      </c>
      <c r="B46" s="247" t="s">
        <v>1548</v>
      </c>
      <c r="C46" s="248">
        <f ca="1">ROUND((C33+C39)*F27,0)</f>
        <v>795</v>
      </c>
      <c r="D46" s="262"/>
      <c r="E46" s="235"/>
      <c r="F46" s="245"/>
      <c r="G46" s="246"/>
    </row>
    <row r="47" spans="1:7" s="213" customFormat="1" ht="13.5" customHeight="1">
      <c r="A47" s="778" t="s">
        <v>347</v>
      </c>
      <c r="B47" s="247" t="s">
        <v>1549</v>
      </c>
      <c r="C47" s="237">
        <f ca="1">ROUND(C40*F27,4)</f>
        <v>5.9999999999999995E-4</v>
      </c>
      <c r="D47" s="262"/>
      <c r="E47" s="235"/>
      <c r="F47" s="245"/>
      <c r="G47" s="246"/>
    </row>
    <row r="48" spans="1:7" s="213" customFormat="1" ht="13.5" customHeight="1">
      <c r="A48" s="254" t="s">
        <v>1511</v>
      </c>
      <c r="B48" s="209" t="s">
        <v>1550</v>
      </c>
      <c r="C48" s="1324">
        <f>ROUND(F30/(1+'数据-取费表'!C42),4)</f>
        <v>5.2400000000000002E-2</v>
      </c>
      <c r="D48" s="235" t="s">
        <v>1538</v>
      </c>
      <c r="E48" s="231"/>
      <c r="F48" s="236">
        <f>F30</f>
        <v>5.5000000000000007E-2</v>
      </c>
      <c r="G48" s="233" t="s">
        <v>1551</v>
      </c>
    </row>
    <row r="49" spans="1:7" ht="16.5" customHeight="1">
      <c r="A49" s="254" t="s">
        <v>1517</v>
      </c>
      <c r="B49" s="209" t="s">
        <v>1552</v>
      </c>
      <c r="C49" s="231">
        <f ca="1">ROUND((C33+C39+C41+C45)/(1-C40-D41-D45-C48),0)</f>
        <v>30489</v>
      </c>
      <c r="D49" s="231"/>
      <c r="E49" s="231"/>
      <c r="F49" s="263"/>
      <c r="G49" s="233" t="s">
        <v>1553</v>
      </c>
    </row>
    <row r="50" spans="1:7" s="257" customFormat="1" ht="24">
      <c r="A50" s="254" t="s">
        <v>1554</v>
      </c>
      <c r="B50" s="209" t="s">
        <v>1555</v>
      </c>
      <c r="C50" s="231"/>
      <c r="D50" s="231"/>
      <c r="E50" s="231"/>
      <c r="F50" s="263">
        <f>IF('数据-取费表'!B24=0,'数据-取费表'!N16,1)</f>
        <v>1</v>
      </c>
      <c r="G50" s="246" t="s">
        <v>1556</v>
      </c>
    </row>
    <row r="51" spans="1:7" ht="16.5" customHeight="1">
      <c r="A51" s="254" t="s">
        <v>1557</v>
      </c>
      <c r="B51" s="209" t="s">
        <v>1558</v>
      </c>
      <c r="C51" s="231">
        <f ca="1">ROUND(C49*F50,0)</f>
        <v>30489</v>
      </c>
      <c r="D51" s="231"/>
      <c r="E51" s="231"/>
      <c r="F51" s="263"/>
      <c r="G51" s="233" t="s">
        <v>1559</v>
      </c>
    </row>
    <row r="52" spans="1:7" s="207" customFormat="1" ht="16.8" thickBot="1">
      <c r="A52" s="264" t="s">
        <v>1560</v>
      </c>
      <c r="B52" s="265"/>
      <c r="C52" s="266">
        <f ca="1">C31+C51</f>
        <v>53990</v>
      </c>
      <c r="D52" s="265"/>
      <c r="E52" s="265"/>
      <c r="F52" s="265"/>
      <c r="G52" s="267"/>
    </row>
    <row r="53" spans="1:7">
      <c r="C53" s="250">
        <f ca="1">C52/'数据-基础表'!I13</f>
        <v>2.2578621612579459</v>
      </c>
    </row>
    <row r="55" spans="1:7" ht="15">
      <c r="B55" s="269" t="s">
        <v>1561</v>
      </c>
      <c r="C55" s="270"/>
    </row>
    <row r="56" spans="1:7">
      <c r="B56" s="272" t="s">
        <v>802</v>
      </c>
      <c r="C56" s="274">
        <f ca="1">1-C57</f>
        <v>0.43500000000000005</v>
      </c>
    </row>
    <row r="57" spans="1:7">
      <c r="B57" s="272" t="s">
        <v>803</v>
      </c>
      <c r="C57" s="273">
        <f ca="1">ROUND(C51/C52,3)</f>
        <v>0.56499999999999995</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8"/>
  <cols>
    <col min="1" max="1" width="3.44140625" style="841" customWidth="1"/>
    <col min="2" max="9" width="10" style="841" customWidth="1"/>
    <col min="10" max="16384" width="9" style="841"/>
  </cols>
  <sheetData>
    <row r="36" spans="1:9" ht="14.4">
      <c r="A36" s="840" t="s">
        <v>371</v>
      </c>
      <c r="B36" s="840" t="s">
        <v>372</v>
      </c>
    </row>
    <row r="37" spans="1:9" ht="27.75" customHeight="1">
      <c r="A37" s="840"/>
      <c r="B37" s="3626" t="str">
        <f>项目基本情况!B1</f>
        <v>北京市房地产市场价值预评估</v>
      </c>
      <c r="C37" s="3626"/>
      <c r="D37" s="3626"/>
      <c r="E37" s="3626"/>
      <c r="F37" s="3626"/>
      <c r="G37" s="3626"/>
      <c r="H37" s="3626"/>
      <c r="I37" s="3626"/>
    </row>
    <row r="38" spans="1:9" ht="14.4">
      <c r="A38" s="842"/>
      <c r="B38" s="842"/>
    </row>
    <row r="39" spans="1:9" ht="14.4">
      <c r="A39" s="840" t="s">
        <v>371</v>
      </c>
      <c r="B39" s="840" t="s">
        <v>373</v>
      </c>
    </row>
    <row r="40" spans="1:9" ht="14.4">
      <c r="A40" s="840"/>
      <c r="B40" s="1471">
        <f>项目基本情况!B5</f>
        <v>0</v>
      </c>
    </row>
    <row r="41" spans="1:9" ht="14.4">
      <c r="A41" s="840"/>
      <c r="B41" s="840"/>
    </row>
    <row r="42" spans="1:9" ht="14.4">
      <c r="A42" s="840" t="s">
        <v>371</v>
      </c>
      <c r="B42" s="840" t="s">
        <v>374</v>
      </c>
    </row>
    <row r="43" spans="1:9" ht="14.4">
      <c r="A43" s="840"/>
      <c r="B43" s="1471" t="s">
        <v>375</v>
      </c>
    </row>
    <row r="44" spans="1:9" ht="14.4">
      <c r="A44" s="840"/>
      <c r="B44" s="840"/>
    </row>
    <row r="45" spans="1:9" ht="14.4">
      <c r="A45" s="840" t="s">
        <v>371</v>
      </c>
      <c r="B45" s="840" t="s">
        <v>376</v>
      </c>
    </row>
    <row r="46" spans="1:9" s="840" customFormat="1" ht="14.4">
      <c r="B46" s="1471" t="str">
        <f>项目基本情况!K4</f>
        <v>（注册号：0)、（注册号：0)</v>
      </c>
    </row>
    <row r="47" spans="1:9" ht="14.4">
      <c r="A47" s="840"/>
      <c r="B47" s="840" t="str">
        <f>项目基本情况!K5</f>
        <v>（注册号：0)、（注册号：0)</v>
      </c>
    </row>
    <row r="48" spans="1:9" ht="14.4">
      <c r="A48" s="840" t="s">
        <v>371</v>
      </c>
      <c r="B48" s="840" t="s">
        <v>377</v>
      </c>
    </row>
    <row r="49" spans="2:2" ht="14.4">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3" sqref="K43"/>
    </sheetView>
  </sheetViews>
  <sheetFormatPr defaultColWidth="9" defaultRowHeight="13.2"/>
  <cols>
    <col min="1" max="1" width="9" style="257" customWidth="1"/>
    <col min="2" max="2" width="20.6640625" style="654" customWidth="1"/>
    <col min="3" max="3" width="11.77734375" style="654" customWidth="1"/>
    <col min="4" max="4" width="40.44140625" style="257" customWidth="1"/>
    <col min="5" max="5" width="15.77734375" style="257" customWidth="1"/>
    <col min="6" max="6" width="10.6640625" style="257" customWidth="1"/>
    <col min="7" max="7" width="4.77734375" style="257" customWidth="1"/>
    <col min="8" max="8" width="8.44140625" style="257" customWidth="1"/>
    <col min="9" max="9" width="21.109375" style="257" customWidth="1"/>
    <col min="10" max="10" width="12.109375" style="257" customWidth="1"/>
    <col min="11" max="11" width="45.109375" style="1465" customWidth="1"/>
    <col min="12" max="12" width="16.33203125" style="257" customWidth="1"/>
    <col min="13" max="13" width="13" style="257"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109375" style="1381" customWidth="1"/>
    <col min="20" max="37" width="9" style="1381"/>
    <col min="38" max="16384" width="9" style="257"/>
  </cols>
  <sheetData>
    <row r="1" spans="1:37" s="292" customFormat="1" ht="21.6">
      <c r="A1" s="1372" t="s">
        <v>877</v>
      </c>
      <c r="B1" s="711"/>
      <c r="C1" s="1376"/>
      <c r="D1" s="1359" t="s">
        <v>43</v>
      </c>
      <c r="E1" s="1360" t="s">
        <v>678</v>
      </c>
      <c r="F1" s="1059">
        <f ca="1">J53</f>
        <v>0</v>
      </c>
      <c r="G1" s="1375">
        <f>MATCH(C1,'数据-取费表'!A6:A16,0)+5</f>
        <v>9</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66" t="s">
        <v>694</v>
      </c>
      <c r="C6" s="1071">
        <f ca="1">ROUND(F6*F8*F7*(1-F9)/10000,0)</f>
        <v>0</v>
      </c>
      <c r="D6" s="154" t="s">
        <v>2108</v>
      </c>
      <c r="E6" s="301" t="s">
        <v>696</v>
      </c>
      <c r="F6" s="302">
        <f ca="1">INDIRECT("'数据-取费表'!u"&amp;$G$1)</f>
        <v>0</v>
      </c>
      <c r="G6" s="1381"/>
      <c r="H6" s="1066" t="s">
        <v>398</v>
      </c>
      <c r="I6" s="3766" t="s">
        <v>694</v>
      </c>
      <c r="J6" s="300">
        <f ca="1">ROUND(M6*M8*M7*(1-M9)/10000,0)</f>
        <v>0</v>
      </c>
      <c r="K6" s="154" t="s">
        <v>2107</v>
      </c>
      <c r="L6" s="301" t="s">
        <v>696</v>
      </c>
      <c r="M6" s="302">
        <f ca="1">INDIRECT("'数据-取费表'!z"&amp;$G$1)</f>
        <v>0</v>
      </c>
    </row>
    <row r="7" spans="1:37" ht="18" customHeight="1">
      <c r="A7" s="1070"/>
      <c r="B7" s="3767"/>
      <c r="C7" s="1072"/>
      <c r="D7" s="306"/>
      <c r="E7" s="1073" t="s">
        <v>697</v>
      </c>
      <c r="F7" s="302">
        <f ca="1">IF(INDIRECT("'数据-取费表'!ah"&amp;$G$1)="",INDIRECT("'数据-取费表'!k"&amp;$G$1),INDIRECT("'数据-取费表'!ah"&amp;$G$1))</f>
        <v>0</v>
      </c>
      <c r="G7" s="1381"/>
      <c r="H7" s="303"/>
      <c r="I7" s="3767"/>
      <c r="J7" s="305"/>
      <c r="K7" s="306"/>
      <c r="L7" s="301" t="s">
        <v>697</v>
      </c>
      <c r="M7" s="302">
        <f ca="1">F7</f>
        <v>0</v>
      </c>
    </row>
    <row r="8" spans="1:37" ht="18" customHeight="1">
      <c r="A8" s="303"/>
      <c r="B8" s="3767"/>
      <c r="C8" s="305"/>
      <c r="D8" s="306"/>
      <c r="E8" s="301" t="s">
        <v>698</v>
      </c>
      <c r="F8" s="302">
        <f ca="1">INDIRECT("'数据-取费表'!ai"&amp;$G$1)</f>
        <v>0</v>
      </c>
      <c r="G8" s="1381"/>
      <c r="H8" s="303"/>
      <c r="I8" s="3767"/>
      <c r="J8" s="305"/>
      <c r="K8" s="306"/>
      <c r="L8" s="301" t="s">
        <v>698</v>
      </c>
      <c r="M8" s="302">
        <f ca="1">INDIRECT("'数据-取费表'!ai"&amp;$G$1)</f>
        <v>0</v>
      </c>
    </row>
    <row r="9" spans="1:37" ht="18" customHeight="1">
      <c r="A9" s="303"/>
      <c r="B9" s="3768"/>
      <c r="C9" s="305"/>
      <c r="D9" s="306"/>
      <c r="E9" s="301" t="s">
        <v>699</v>
      </c>
      <c r="F9" s="311">
        <f ca="1">INDIRECT("'数据-取费表'!w"&amp;$G$1)</f>
        <v>0</v>
      </c>
      <c r="G9" s="1381"/>
      <c r="H9" s="303"/>
      <c r="I9" s="376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0.1</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3336</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3.5799999999999998E-2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3336</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IF(项目基本情况!B11="自然人","——",ROUND(F34*F35/10000,2))</f>
        <v>0</v>
      </c>
      <c r="D34" s="323" t="s">
        <v>731</v>
      </c>
      <c r="E34" s="301" t="s">
        <v>732</v>
      </c>
      <c r="F34" s="324">
        <f>'数据-取费表'!B52</f>
        <v>1.5</v>
      </c>
      <c r="G34" s="1381"/>
      <c r="H34" s="2694"/>
      <c r="I34" s="1395"/>
      <c r="J34" s="1396"/>
      <c r="K34" s="2699"/>
      <c r="L34" s="2700"/>
      <c r="M34" s="2700"/>
    </row>
    <row r="35" spans="1:18" ht="18" customHeight="1">
      <c r="A35" s="1100"/>
      <c r="B35" s="1098"/>
      <c r="C35" s="26"/>
      <c r="D35" s="326"/>
      <c r="E35" s="301" t="s">
        <v>736</v>
      </c>
      <c r="F35" s="302">
        <f ca="1">INDIRECT("'数据-取费表'!r"&amp;$G$1)</f>
        <v>0</v>
      </c>
      <c r="G35" s="1381"/>
      <c r="H35" s="2694"/>
      <c r="I35" s="1395"/>
      <c r="J35" s="1396"/>
      <c r="K35" s="2698"/>
      <c r="L35" s="2697"/>
      <c r="M35" s="2697"/>
    </row>
    <row r="36" spans="1:18" ht="18" customHeight="1">
      <c r="A36" s="1099" t="s">
        <v>402</v>
      </c>
      <c r="B36" s="301" t="s">
        <v>738</v>
      </c>
      <c r="C36" s="21">
        <f ca="1">ROUND(C29*F36,2)</f>
        <v>0</v>
      </c>
      <c r="D36" s="1341" t="s">
        <v>771</v>
      </c>
      <c r="E36" s="301" t="s">
        <v>712</v>
      </c>
      <c r="F36" s="327">
        <f ca="1">INDIRECT("'数据-取费表'!Ak"&amp;$G$1)</f>
        <v>0</v>
      </c>
      <c r="G36" s="1381"/>
      <c r="H36" s="2697"/>
      <c r="I36" s="1395"/>
      <c r="J36" s="1396"/>
      <c r="K36" s="2541"/>
      <c r="L36" s="2697"/>
      <c r="M36" s="2697"/>
    </row>
    <row r="37" spans="1:18" ht="18" customHeight="1">
      <c r="A37" s="980" t="s">
        <v>437</v>
      </c>
      <c r="B37" s="301" t="s">
        <v>742</v>
      </c>
      <c r="C37" s="21">
        <f ca="1">ROUND(C13*F37,2)</f>
        <v>0</v>
      </c>
      <c r="D37" s="1341" t="s">
        <v>743</v>
      </c>
      <c r="E37" s="301" t="s">
        <v>744</v>
      </c>
      <c r="F37" s="329">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45" customHeight="1" thickTop="1">
      <c r="A39" s="1076" t="s">
        <v>394</v>
      </c>
      <c r="B39" s="1091" t="s">
        <v>772</v>
      </c>
      <c r="C39" s="309">
        <f ca="1">C5-C30</f>
        <v>0</v>
      </c>
      <c r="D39" s="1092" t="s">
        <v>773</v>
      </c>
      <c r="E39" s="1093"/>
      <c r="F39" s="1094"/>
      <c r="G39" s="1381"/>
      <c r="H39" s="2697"/>
      <c r="I39" s="1395"/>
      <c r="J39" s="1396"/>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8"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8"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40.200000000000003"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8" thickBot="1">
      <c r="A49" s="973" t="s">
        <v>439</v>
      </c>
      <c r="B49" s="1368" t="s">
        <v>779</v>
      </c>
      <c r="C49" s="1111">
        <f ca="1">ROUND(F49*F51*F50*(1-F52)/10000,0)</f>
        <v>0</v>
      </c>
      <c r="D49" s="1052" t="s">
        <v>2109</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8"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8"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8"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6.6"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0</v>
      </c>
      <c r="K53" s="3764" t="s">
        <v>837</v>
      </c>
      <c r="L53" s="3765"/>
      <c r="O53" s="1415" t="s">
        <v>409</v>
      </c>
      <c r="P53" s="1416" t="s">
        <v>838</v>
      </c>
      <c r="Q53" s="1417" t="e">
        <f ca="1">Q47+Q48</f>
        <v>#DIV/0!</v>
      </c>
      <c r="R53" s="1417" t="s">
        <v>410</v>
      </c>
    </row>
    <row r="54" spans="1:18" s="1381" customFormat="1" ht="24.6"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8"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7.200000000000003"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6"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6"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8" thickBot="1">
      <c r="A61" s="980" t="s">
        <v>781</v>
      </c>
      <c r="B61" s="948" t="s">
        <v>782</v>
      </c>
      <c r="C61" s="21">
        <f ca="1">IF(项目基本情况!B11="自然人","——",IF(D61="按租金收入计税",ROUND(C49*F61/(1+'数据-取费表'!C42),2),IF(D61="按房产原值计税",ROUND(C57*F61*0.7,2),INDIRECT("'数据-取费表'!Aj"&amp;$G$1))))</f>
        <v>0</v>
      </c>
      <c r="D61" s="1367" t="s">
        <v>3336</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f ca="1">IF(项目基本情况!B11="自然人","——",ROUND(F62*F63/10000,2))</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8"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2"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24.6"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2"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8" thickBot="1">
      <c r="A69" s="949"/>
      <c r="B69" s="950"/>
      <c r="C69" s="305"/>
      <c r="D69" s="968" t="s">
        <v>762</v>
      </c>
      <c r="E69" s="948" t="s">
        <v>763</v>
      </c>
      <c r="F69" s="332">
        <f ca="1">F41</f>
        <v>0</v>
      </c>
      <c r="O69" s="1425" t="s">
        <v>411</v>
      </c>
      <c r="P69" s="1464" t="s">
        <v>872</v>
      </c>
      <c r="Q69" s="1417">
        <f ca="1">C39</f>
        <v>0</v>
      </c>
      <c r="R69" s="1417" t="s">
        <v>818</v>
      </c>
    </row>
    <row r="70" spans="1:18" s="1381" customFormat="1" ht="13.8" thickBot="1">
      <c r="A70" s="952"/>
      <c r="B70" s="953"/>
      <c r="C70" s="309"/>
      <c r="D70" s="964"/>
      <c r="E70" s="948" t="s">
        <v>766</v>
      </c>
      <c r="F70" s="1051"/>
      <c r="O70" s="1425" t="s">
        <v>412</v>
      </c>
      <c r="P70" s="1464" t="s">
        <v>873</v>
      </c>
      <c r="Q70" s="1417">
        <f ca="1">C13</f>
        <v>0</v>
      </c>
      <c r="R70" s="1417" t="s">
        <v>818</v>
      </c>
    </row>
    <row r="71" spans="1:18" s="1381" customFormat="1" ht="13.8"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topLeftCell="A4" workbookViewId="0">
      <selection activeCell="A24" sqref="A24"/>
    </sheetView>
  </sheetViews>
  <sheetFormatPr defaultColWidth="10.77734375" defaultRowHeight="13.8"/>
  <cols>
    <col min="1" max="1" width="15.109375" style="3545" customWidth="1"/>
    <col min="2" max="2" width="33.33203125" style="3545" customWidth="1"/>
    <col min="3" max="3" width="20" style="3545" customWidth="1"/>
    <col min="4" max="4" width="23.109375" style="3545" customWidth="1"/>
    <col min="5" max="5" width="10.77734375" style="3545"/>
    <col min="6" max="6" width="22" style="3545" customWidth="1"/>
    <col min="7" max="9" width="10.77734375" style="3545"/>
    <col min="10" max="10" width="18.109375" style="3545" customWidth="1"/>
    <col min="11" max="11" width="11.44140625" style="3545" bestFit="1" customWidth="1"/>
    <col min="12" max="16384" width="10.77734375" style="3545"/>
  </cols>
  <sheetData>
    <row r="1" spans="1:15" ht="36" customHeight="1">
      <c r="A1" s="3769" t="s">
        <v>3646</v>
      </c>
      <c r="B1" s="3769"/>
      <c r="C1" s="3769"/>
      <c r="D1" s="3769"/>
    </row>
    <row r="2" spans="1:15">
      <c r="A2" s="3545" t="s">
        <v>3669</v>
      </c>
      <c r="B2" s="3545" t="s">
        <v>3652</v>
      </c>
      <c r="C2" s="3545" t="s">
        <v>3653</v>
      </c>
      <c r="D2" s="3545" t="s">
        <v>3654</v>
      </c>
      <c r="E2" s="3545" t="s">
        <v>3655</v>
      </c>
      <c r="F2" s="3545" t="s">
        <v>3658</v>
      </c>
      <c r="G2" s="3545" t="s">
        <v>3659</v>
      </c>
      <c r="H2" s="3545" t="s">
        <v>3663</v>
      </c>
      <c r="J2" s="3545" t="s">
        <v>3667</v>
      </c>
    </row>
    <row r="3" spans="1:15" ht="40.950000000000003" customHeight="1">
      <c r="A3" s="3545" t="s">
        <v>3647</v>
      </c>
      <c r="B3" s="3545" t="s">
        <v>3648</v>
      </c>
      <c r="C3" s="3545" t="s">
        <v>3651</v>
      </c>
      <c r="D3" s="3545" t="s">
        <v>3661</v>
      </c>
      <c r="F3" s="3545" t="s">
        <v>3662</v>
      </c>
      <c r="G3" s="3545" t="s">
        <v>3660</v>
      </c>
      <c r="J3" s="3545" t="s">
        <v>3668</v>
      </c>
    </row>
    <row r="4" spans="1:15" ht="40.950000000000003" customHeight="1">
      <c r="A4" s="3545" t="s">
        <v>3649</v>
      </c>
      <c r="B4" s="3545" t="s">
        <v>3650</v>
      </c>
      <c r="C4" s="3545" t="s">
        <v>3687</v>
      </c>
      <c r="D4" s="3545" t="s">
        <v>3657</v>
      </c>
      <c r="E4" s="3545" t="s">
        <v>3656</v>
      </c>
      <c r="G4" s="3545" t="s">
        <v>3666</v>
      </c>
      <c r="H4" s="3545" t="s">
        <v>3664</v>
      </c>
      <c r="I4" s="3545" t="s">
        <v>3665</v>
      </c>
    </row>
    <row r="6" spans="1:15">
      <c r="B6" s="3545" t="s">
        <v>2825</v>
      </c>
    </row>
    <row r="7" spans="1:15" ht="40.049999999999997" customHeight="1">
      <c r="A7" s="3769" t="s">
        <v>3645</v>
      </c>
      <c r="B7" s="3769"/>
      <c r="C7" s="3769"/>
      <c r="D7" s="3769"/>
    </row>
    <row r="8" spans="1:15" ht="27.6">
      <c r="A8" s="3545" t="s">
        <v>3669</v>
      </c>
      <c r="B8" s="3545" t="s">
        <v>3652</v>
      </c>
      <c r="C8" s="3545" t="s">
        <v>3653</v>
      </c>
      <c r="D8" s="3545" t="s">
        <v>3654</v>
      </c>
      <c r="E8" s="3545" t="s">
        <v>3655</v>
      </c>
      <c r="F8" s="3545" t="s">
        <v>3658</v>
      </c>
      <c r="G8" s="3545" t="s">
        <v>3659</v>
      </c>
      <c r="H8" s="3545" t="s">
        <v>3663</v>
      </c>
      <c r="J8" s="3545" t="s">
        <v>3673</v>
      </c>
      <c r="K8" s="3545" t="s">
        <v>3675</v>
      </c>
    </row>
    <row r="9" spans="1:15" ht="40.950000000000003" customHeight="1">
      <c r="A9" s="3545" t="s">
        <v>3649</v>
      </c>
      <c r="B9" s="3545" t="s">
        <v>3650</v>
      </c>
      <c r="C9" s="3545" t="s">
        <v>3687</v>
      </c>
      <c r="D9" s="3545" t="s">
        <v>3657</v>
      </c>
      <c r="E9" s="3545" t="s">
        <v>3656</v>
      </c>
      <c r="F9" s="3545" t="s">
        <v>3670</v>
      </c>
      <c r="H9" s="3545" t="s">
        <v>3671</v>
      </c>
      <c r="I9" s="3545" t="s">
        <v>3665</v>
      </c>
      <c r="J9" s="3545" t="s">
        <v>3674</v>
      </c>
      <c r="K9" s="3545" t="s">
        <v>3676</v>
      </c>
      <c r="L9" s="3545" t="s">
        <v>3677</v>
      </c>
      <c r="M9" s="3545">
        <f>396739.19*79.26%</f>
        <v>314455.48199400003</v>
      </c>
    </row>
    <row r="10" spans="1:15" ht="82.8">
      <c r="K10" s="3546" t="s">
        <v>3678</v>
      </c>
      <c r="L10" s="3547">
        <v>0.67600000000000005</v>
      </c>
      <c r="M10" s="3546" t="s">
        <v>3679</v>
      </c>
      <c r="N10" s="3546">
        <v>212257.45</v>
      </c>
      <c r="O10" s="3546" t="s">
        <v>3680</v>
      </c>
    </row>
    <row r="11" spans="1:15" ht="40.049999999999997" customHeight="1">
      <c r="A11" s="3769" t="s">
        <v>3681</v>
      </c>
      <c r="B11" s="3769"/>
      <c r="C11" s="3769"/>
      <c r="D11" s="3769"/>
    </row>
    <row r="12" spans="1:15">
      <c r="A12" s="3545" t="s">
        <v>3669</v>
      </c>
      <c r="B12" s="3545" t="s">
        <v>3652</v>
      </c>
      <c r="C12" s="3545" t="s">
        <v>3653</v>
      </c>
      <c r="D12" s="3545" t="s">
        <v>3682</v>
      </c>
    </row>
    <row r="13" spans="1:15" ht="27.6">
      <c r="A13" s="3545" t="s">
        <v>3647</v>
      </c>
      <c r="B13" s="3545" t="s">
        <v>3648</v>
      </c>
      <c r="C13" s="3545" t="s">
        <v>3651</v>
      </c>
      <c r="D13" s="3545">
        <v>366554.45</v>
      </c>
      <c r="E13" s="3545" t="s">
        <v>3672</v>
      </c>
    </row>
    <row r="14" spans="1:15" ht="69">
      <c r="A14" s="3545" t="s">
        <v>3649</v>
      </c>
      <c r="B14" s="3545" t="s">
        <v>3650</v>
      </c>
      <c r="C14" s="3545" t="s">
        <v>3687</v>
      </c>
      <c r="D14" s="3545">
        <v>290546.14</v>
      </c>
      <c r="E14" s="3545" t="s">
        <v>3683</v>
      </c>
    </row>
    <row r="16" spans="1:15" ht="40.049999999999997" customHeight="1">
      <c r="A16" s="3769" t="s">
        <v>3684</v>
      </c>
      <c r="B16" s="3769"/>
      <c r="C16" s="3769"/>
      <c r="D16" s="3769"/>
      <c r="E16" s="3545" t="s">
        <v>3685</v>
      </c>
    </row>
    <row r="17" spans="1:11" ht="27.6">
      <c r="A17" s="3545" t="s">
        <v>3669</v>
      </c>
      <c r="B17" s="3545" t="s">
        <v>3652</v>
      </c>
      <c r="C17" s="3545" t="s">
        <v>3653</v>
      </c>
      <c r="D17" s="3545" t="s">
        <v>3654</v>
      </c>
      <c r="E17" s="3545" t="s">
        <v>3655</v>
      </c>
      <c r="F17" s="3545" t="s">
        <v>3658</v>
      </c>
      <c r="G17" s="3545" t="s">
        <v>3659</v>
      </c>
      <c r="H17" s="3545" t="s">
        <v>3663</v>
      </c>
      <c r="J17" s="3545" t="s">
        <v>3688</v>
      </c>
      <c r="K17" s="3545" t="s">
        <v>3689</v>
      </c>
    </row>
    <row r="18" spans="1:11" s="3548" customFormat="1" ht="40.950000000000003" customHeight="1">
      <c r="A18" s="3548" t="s">
        <v>3649</v>
      </c>
      <c r="B18" s="3548" t="s">
        <v>3650</v>
      </c>
      <c r="C18" s="3548" t="s">
        <v>3687</v>
      </c>
      <c r="D18" s="3548" t="s">
        <v>3657</v>
      </c>
      <c r="E18" s="3548" t="s">
        <v>3656</v>
      </c>
      <c r="F18" s="3548" t="s">
        <v>3686</v>
      </c>
      <c r="I18" s="3548" t="s">
        <v>3665</v>
      </c>
      <c r="J18" s="3549">
        <v>3543338940.6100001</v>
      </c>
      <c r="K18" s="3548">
        <f>J18/700000</f>
        <v>5061.9127723000001</v>
      </c>
    </row>
  </sheetData>
  <mergeCells count="4">
    <mergeCell ref="A1:D1"/>
    <mergeCell ref="A7:D7"/>
    <mergeCell ref="A11:D11"/>
    <mergeCell ref="A16:D16"/>
  </mergeCells>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S33" sqref="S33"/>
    </sheetView>
  </sheetViews>
  <sheetFormatPr defaultColWidth="9" defaultRowHeight="13.8"/>
  <cols>
    <col min="1" max="1" width="25" style="2510" customWidth="1"/>
    <col min="2" max="9" width="15.77734375" style="2510" customWidth="1"/>
    <col min="10" max="16384" width="9" style="2510"/>
  </cols>
  <sheetData>
    <row r="1" spans="1:11" ht="16.2">
      <c r="A1" s="2509" t="s">
        <v>665</v>
      </c>
      <c r="B1" s="2509">
        <f>SUM(B14:B23)</f>
        <v>0</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45511</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SUM(D14:D23)</f>
        <v>0</v>
      </c>
      <c r="C5" s="2509">
        <f ca="1">IF(B5=D14,结果表!H102,ROUND(B5*10000/$B$1,0))</f>
        <v>0</v>
      </c>
      <c r="D5" s="2509" t="e">
        <f>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3356</v>
      </c>
      <c r="D10" s="2509" t="s">
        <v>3357</v>
      </c>
      <c r="E10" s="3438"/>
      <c r="F10" s="3442" t="s">
        <v>3358</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c r="C14" s="2515"/>
      <c r="D14" s="2515"/>
      <c r="E14" s="2515" t="e">
        <f>ROUND(D14*10000/B14,0)</f>
        <v>#DIV/0!</v>
      </c>
      <c r="F14" s="2515" t="e">
        <f>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5.6">
      <c r="A16" s="2514" t="s">
        <v>648</v>
      </c>
      <c r="B16" s="2516"/>
      <c r="C16" s="2516"/>
      <c r="D16" s="2516"/>
      <c r="E16" s="2515" t="e">
        <f t="shared" si="0"/>
        <v>#DIV/0!</v>
      </c>
      <c r="F16" s="2515" t="e">
        <f t="shared" si="1"/>
        <v>#DIV/0!</v>
      </c>
      <c r="G16" s="1328"/>
      <c r="H16" s="1328"/>
      <c r="I16" s="2516"/>
      <c r="J16" s="2685"/>
      <c r="K16" s="2685"/>
    </row>
    <row r="17" spans="1:11" ht="15.6">
      <c r="A17" s="2514" t="s">
        <v>647</v>
      </c>
      <c r="B17" s="2516"/>
      <c r="C17" s="2516"/>
      <c r="D17" s="2516"/>
      <c r="E17" s="2515" t="e">
        <f t="shared" si="0"/>
        <v>#DIV/0!</v>
      </c>
      <c r="F17" s="2515" t="e">
        <f t="shared" si="1"/>
        <v>#DIV/0!</v>
      </c>
      <c r="G17" s="1328"/>
      <c r="H17" s="1328"/>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SheetLayoutView="70" zoomScalePageLayoutView="80" workbookViewId="0">
      <selection activeCell="S33" sqref="S33"/>
    </sheetView>
  </sheetViews>
  <sheetFormatPr defaultColWidth="12.6640625" defaultRowHeight="21.75" customHeight="1"/>
  <cols>
    <col min="1" max="2" width="12.6640625" style="1750"/>
    <col min="3" max="4" width="12.6640625" style="1750" customWidth="1"/>
    <col min="5" max="9" width="12.6640625" style="1750"/>
    <col min="10" max="11" width="12.6640625" style="723" customWidth="1"/>
    <col min="12" max="12" width="12.6640625" style="723"/>
    <col min="13" max="13" width="14.109375" style="723" bestFit="1" customWidth="1"/>
    <col min="14" max="26" width="12.6640625" style="723"/>
    <col min="27" max="35" width="12.6640625" style="1749"/>
    <col min="36" max="16384" width="12.6640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837" t="str">
        <f>项目基本情况!S2</f>
        <v>北京市房地产</v>
      </c>
      <c r="B2" s="3838"/>
      <c r="C2" s="3838"/>
      <c r="D2" s="3838"/>
      <c r="E2" s="3838"/>
      <c r="F2" s="3838"/>
      <c r="G2" s="3838"/>
      <c r="H2" s="3838"/>
      <c r="I2" s="3839"/>
    </row>
    <row r="3" spans="1:12" ht="13.2">
      <c r="A3" s="3841" t="s">
        <v>1263</v>
      </c>
      <c r="B3" s="3842"/>
      <c r="C3" s="3842"/>
      <c r="D3" s="3842"/>
      <c r="E3" s="3842"/>
      <c r="F3" s="3842"/>
      <c r="G3" s="3842"/>
      <c r="H3" s="3842"/>
      <c r="I3" s="3842"/>
    </row>
    <row r="4" spans="1:12" ht="14.4">
      <c r="A4" s="1751" t="s">
        <v>1264</v>
      </c>
      <c r="B4" s="1752" t="s">
        <v>1265</v>
      </c>
      <c r="C4" s="1753"/>
      <c r="D4" s="1753"/>
      <c r="E4" s="3846" t="s">
        <v>1266</v>
      </c>
      <c r="F4" s="3847"/>
      <c r="G4" s="3847"/>
      <c r="H4" s="3847"/>
      <c r="I4" s="3848"/>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785" t="s">
        <v>1267</v>
      </c>
      <c r="B5" s="3840">
        <v>25</v>
      </c>
      <c r="C5" s="3843"/>
      <c r="D5" s="3831"/>
      <c r="E5" s="130" t="s">
        <v>1268</v>
      </c>
      <c r="F5" s="1754"/>
      <c r="G5" s="1754"/>
      <c r="H5" s="1754"/>
      <c r="I5" s="1370"/>
    </row>
    <row r="6" spans="1:12" ht="13.2">
      <c r="A6" s="3785"/>
      <c r="B6" s="3840"/>
      <c r="C6" s="3845"/>
      <c r="D6" s="3831"/>
      <c r="E6" s="130" t="s">
        <v>1269</v>
      </c>
      <c r="F6" s="1754"/>
      <c r="G6" s="1754"/>
      <c r="H6" s="1754"/>
      <c r="I6" s="1370"/>
    </row>
    <row r="7" spans="1:12" ht="13.2">
      <c r="A7" s="3785"/>
      <c r="B7" s="3840"/>
      <c r="C7" s="3844"/>
      <c r="D7" s="3831"/>
      <c r="E7" s="130" t="s">
        <v>1270</v>
      </c>
      <c r="F7" s="1754"/>
      <c r="G7" s="1754"/>
      <c r="H7" s="1754"/>
      <c r="I7" s="1370"/>
    </row>
    <row r="8" spans="1:12" ht="13.2">
      <c r="A8" s="3785" t="s">
        <v>1271</v>
      </c>
      <c r="B8" s="3840">
        <v>15</v>
      </c>
      <c r="C8" s="3843"/>
      <c r="D8" s="3831"/>
      <c r="E8" s="130" t="s">
        <v>1272</v>
      </c>
      <c r="F8" s="1754"/>
      <c r="G8" s="1754"/>
      <c r="H8" s="1754"/>
      <c r="I8" s="1370"/>
    </row>
    <row r="9" spans="1:12" ht="13.2">
      <c r="A9" s="3785"/>
      <c r="B9" s="3840"/>
      <c r="C9" s="3844"/>
      <c r="D9" s="3831"/>
      <c r="E9" s="130" t="s">
        <v>1273</v>
      </c>
      <c r="F9" s="1754"/>
      <c r="G9" s="1754"/>
      <c r="H9" s="1754"/>
      <c r="I9" s="1370"/>
    </row>
    <row r="10" spans="1:12" ht="13.2">
      <c r="A10" s="3785" t="s">
        <v>1274</v>
      </c>
      <c r="B10" s="3840">
        <v>15</v>
      </c>
      <c r="C10" s="3843"/>
      <c r="D10" s="3831"/>
      <c r="E10" s="130" t="s">
        <v>1275</v>
      </c>
      <c r="F10" s="1754"/>
      <c r="G10" s="1754"/>
      <c r="H10" s="1754"/>
      <c r="I10" s="1370"/>
    </row>
    <row r="11" spans="1:12" ht="13.2">
      <c r="A11" s="3785"/>
      <c r="B11" s="3840"/>
      <c r="C11" s="3844"/>
      <c r="D11" s="3831"/>
      <c r="E11" s="130" t="s">
        <v>1276</v>
      </c>
      <c r="F11" s="1754"/>
      <c r="G11" s="1754"/>
      <c r="H11" s="1754"/>
      <c r="I11" s="1370"/>
    </row>
    <row r="12" spans="1:12" ht="13.2">
      <c r="A12" s="3785" t="s">
        <v>1277</v>
      </c>
      <c r="B12" s="3840">
        <v>15</v>
      </c>
      <c r="C12" s="3843"/>
      <c r="D12" s="3831"/>
      <c r="E12" s="130" t="s">
        <v>1278</v>
      </c>
      <c r="F12" s="1754"/>
      <c r="G12" s="1754"/>
      <c r="H12" s="1754"/>
      <c r="I12" s="1370"/>
    </row>
    <row r="13" spans="1:12" ht="13.2">
      <c r="A13" s="3785"/>
      <c r="B13" s="3840"/>
      <c r="C13" s="3844"/>
      <c r="D13" s="3831"/>
      <c r="E13" s="130" t="s">
        <v>1279</v>
      </c>
      <c r="F13" s="1754"/>
      <c r="G13" s="1754"/>
      <c r="H13" s="1754"/>
      <c r="I13" s="1370"/>
    </row>
    <row r="14" spans="1:12" ht="13.2">
      <c r="A14" s="3785" t="s">
        <v>1280</v>
      </c>
      <c r="B14" s="3840">
        <v>30</v>
      </c>
      <c r="C14" s="3843"/>
      <c r="D14" s="3831"/>
      <c r="E14" s="130" t="s">
        <v>1281</v>
      </c>
      <c r="F14" s="1754"/>
      <c r="G14" s="1754"/>
      <c r="H14" s="1754"/>
      <c r="I14" s="1370"/>
    </row>
    <row r="15" spans="1:12" ht="13.2">
      <c r="A15" s="3785"/>
      <c r="B15" s="3840"/>
      <c r="C15" s="3845"/>
      <c r="D15" s="3831"/>
      <c r="E15" s="130" t="s">
        <v>1282</v>
      </c>
      <c r="F15" s="1754"/>
      <c r="G15" s="1754"/>
      <c r="H15" s="1754"/>
      <c r="I15" s="1370"/>
    </row>
    <row r="16" spans="1:12" ht="13.2">
      <c r="A16" s="3785"/>
      <c r="B16" s="3840"/>
      <c r="C16" s="3844"/>
      <c r="D16" s="3831"/>
      <c r="E16" s="130" t="s">
        <v>1283</v>
      </c>
      <c r="F16" s="1754"/>
      <c r="G16" s="1754"/>
      <c r="H16" s="1754"/>
      <c r="I16" s="1370"/>
    </row>
    <row r="17" spans="1:36" ht="14.4">
      <c r="A17" s="1755" t="s">
        <v>1284</v>
      </c>
      <c r="B17" s="56"/>
      <c r="C17" s="131">
        <f>SUM(C5:C16)</f>
        <v>0</v>
      </c>
      <c r="D17" s="131">
        <f>SUM(D5:D16)</f>
        <v>0</v>
      </c>
      <c r="E17" s="128"/>
      <c r="F17" s="128"/>
      <c r="G17" s="128"/>
      <c r="H17" s="128"/>
      <c r="I17" s="128"/>
      <c r="K17" s="301"/>
      <c r="L17" s="301" t="s">
        <v>1285</v>
      </c>
      <c r="M17" s="301" t="s">
        <v>1286</v>
      </c>
    </row>
    <row r="18" spans="1:36" ht="31.95" customHeight="1" thickBot="1">
      <c r="A18" s="1756" t="s">
        <v>1287</v>
      </c>
      <c r="B18" s="1757"/>
      <c r="C18" s="132" t="e">
        <f>ROUND(C17/SUM(C17:D17),2)</f>
        <v>#DIV/0!</v>
      </c>
      <c r="D18" s="132" t="e">
        <f>1-C18</f>
        <v>#DIV/0!</v>
      </c>
      <c r="E18" s="3862" t="s">
        <v>2130</v>
      </c>
      <c r="F18" s="3863"/>
      <c r="G18" s="3863"/>
      <c r="H18" s="3863"/>
      <c r="I18" s="3863"/>
      <c r="K18" s="301" t="s">
        <v>1288</v>
      </c>
      <c r="L18" s="301">
        <f>IF(C1="",'数据-汇总表'!E3,SUMIF(项目类型,C1,'数据-汇总表'!E17:E26)+SUMIF(项目类型,C1,'数据-汇总表'!I17:I26))</f>
        <v>41238</v>
      </c>
      <c r="M18" s="301">
        <f>IF(C1="",'数据-汇总表'!E3,SUMIF(项目类型,C1,'数据-汇总表'!E17:E26))</f>
        <v>41238</v>
      </c>
    </row>
    <row r="19" spans="1:36" ht="14.4">
      <c r="A19" s="1758" t="s">
        <v>1289</v>
      </c>
      <c r="B19" s="1759" t="s">
        <v>1290</v>
      </c>
      <c r="C19" s="133" t="e">
        <f ca="1">SUMIF(INDIRECT("'"&amp;C4&amp;"'"&amp;"!A:A"),结果表!B19,INDIRECT("'"&amp;C4&amp;"'"&amp;"!B:B"))</f>
        <v>#REF!</v>
      </c>
      <c r="D19" s="134" t="e">
        <f ca="1">SUMIF(INDIRECT("'"&amp;D4&amp;"'"&amp;"!A:A"),结果表!B19,INDIRECT("'"&amp;D4&amp;"'"&amp;"!B:B"))</f>
        <v>#REF!</v>
      </c>
      <c r="E19" s="1758" t="s">
        <v>1291</v>
      </c>
      <c r="F19" s="1759" t="s">
        <v>1290</v>
      </c>
      <c r="G19" s="135" t="e">
        <f ca="1">ROUND(C19*$C$18+D19*$D$18,0)</f>
        <v>#REF!</v>
      </c>
      <c r="H19" s="1760" t="s">
        <v>1292</v>
      </c>
      <c r="I19" s="128"/>
      <c r="K19" s="301" t="s">
        <v>1293</v>
      </c>
      <c r="L19" s="301">
        <f>IF(C1="",'数据-汇总表'!D3,SUMIF(项目类型,C1,'数据-汇总表'!D17:D26)+SUMIF(项目类型,C1,'数据-汇总表'!H17:H27))</f>
        <v>14060.635630028937</v>
      </c>
      <c r="M19" s="301">
        <f>IF(C1="",'数据-汇总表'!D3,SUMIF(项目类型,C1,'数据-汇总表'!D17:D26))</f>
        <v>14060.635630028937</v>
      </c>
    </row>
    <row r="20" spans="1:36" ht="14.4">
      <c r="A20" s="1761"/>
      <c r="B20" s="1024" t="s">
        <v>1294</v>
      </c>
      <c r="C20" s="136" t="e">
        <f ca="1">SUMIF(INDIRECT("'"&amp;C4&amp;"'"&amp;"!A:A"),结果表!B20,INDIRECT("'"&amp;C4&amp;"'"&amp;"!B:B"))</f>
        <v>#REF!</v>
      </c>
      <c r="D20" s="137" t="e">
        <f ca="1">SUMIF(INDIRECT("'"&amp;D4&amp;"'"&amp;"!A:A"),结果表!B20,INDIRECT("'"&amp;D4&amp;"'"&amp;"!B:B"))</f>
        <v>#REF!</v>
      </c>
      <c r="E20" s="1761"/>
      <c r="F20" s="1024" t="s">
        <v>1294</v>
      </c>
      <c r="G20" s="138" t="e">
        <f ca="1">ROUND(C20*$C$18+D20*$D$18,0)</f>
        <v>#REF!</v>
      </c>
      <c r="H20" s="806" t="s">
        <v>1295</v>
      </c>
      <c r="I20" s="128"/>
    </row>
    <row r="21" spans="1:36" ht="15" customHeight="1" thickBot="1">
      <c r="A21" s="826"/>
      <c r="B21" s="1762" t="s">
        <v>1296</v>
      </c>
      <c r="C21" s="717" t="e">
        <f ca="1">ROUND(C19*10000/L19,0)</f>
        <v>#REF!</v>
      </c>
      <c r="D21" s="718" t="e">
        <f ca="1">ROUND(D19*10000/L19,0)</f>
        <v>#REF!</v>
      </c>
      <c r="E21" s="826"/>
      <c r="F21" s="1762" t="s">
        <v>1296</v>
      </c>
      <c r="G21" s="139" t="e">
        <f ca="1">ROUND(G19*10000/L19,0)</f>
        <v>#REF!</v>
      </c>
      <c r="H21" s="1763" t="s">
        <v>1295</v>
      </c>
      <c r="I21" s="128"/>
    </row>
    <row r="22" spans="1:36" ht="15" thickBot="1">
      <c r="A22" s="1685" t="s">
        <v>1297</v>
      </c>
      <c r="B22" s="1764"/>
      <c r="C22" s="1765"/>
      <c r="D22" s="719" t="e">
        <f ca="1">IF(C19&lt;D19,D19/C19-1,C19/D19-1)</f>
        <v>#REF!</v>
      </c>
      <c r="E22" s="128"/>
      <c r="F22" s="128"/>
      <c r="G22" s="128"/>
      <c r="H22" s="128"/>
      <c r="I22" s="128"/>
    </row>
    <row r="23" spans="1:36" ht="13.8" thickBot="1">
      <c r="A23" s="1744"/>
      <c r="B23" s="1744"/>
      <c r="C23" s="1744"/>
      <c r="D23" s="1744"/>
      <c r="E23" s="128"/>
      <c r="F23" s="128"/>
      <c r="G23" s="128"/>
      <c r="H23" s="128"/>
      <c r="I23" s="128"/>
    </row>
    <row r="24" spans="1:36" ht="14.4">
      <c r="A24" s="3855" t="s">
        <v>1298</v>
      </c>
      <c r="B24" s="1759" t="s">
        <v>1290</v>
      </c>
      <c r="C24" s="135">
        <f>IF(B30=0,0,D30)</f>
        <v>0</v>
      </c>
      <c r="D24" s="1766"/>
      <c r="E24" s="128"/>
      <c r="F24" s="128"/>
      <c r="G24" s="128"/>
      <c r="H24" s="128"/>
      <c r="I24" s="128"/>
    </row>
    <row r="25" spans="1:36" ht="14.4">
      <c r="A25" s="3856"/>
      <c r="B25" s="1024" t="s">
        <v>1294</v>
      </c>
      <c r="C25" s="140">
        <f>IF(B30=0,0,C30)</f>
        <v>0</v>
      </c>
      <c r="D25" s="1767"/>
      <c r="E25" s="128"/>
      <c r="F25" s="128"/>
      <c r="G25" s="128"/>
      <c r="H25" s="128"/>
      <c r="I25" s="128"/>
    </row>
    <row r="26" spans="1:36" ht="13.5" customHeight="1">
      <c r="A26" s="1768" t="s">
        <v>1299</v>
      </c>
      <c r="B26" s="141" t="s">
        <v>1300</v>
      </c>
      <c r="C26" s="141" t="s">
        <v>1301</v>
      </c>
      <c r="D26" s="142" t="s">
        <v>1302</v>
      </c>
      <c r="E26" s="128"/>
      <c r="F26" s="128"/>
      <c r="G26" s="128"/>
      <c r="H26" s="128"/>
      <c r="I26" s="128"/>
    </row>
    <row r="27" spans="1:36" ht="13.8">
      <c r="A27" s="1768"/>
      <c r="B27" s="141">
        <v>0</v>
      </c>
      <c r="C27" s="141">
        <v>0</v>
      </c>
      <c r="D27" s="142">
        <f>ROUND(C27*B27/10000,0)</f>
        <v>0</v>
      </c>
      <c r="E27" s="128"/>
      <c r="F27" s="128"/>
      <c r="G27" s="128"/>
      <c r="H27" s="128"/>
      <c r="I27" s="128"/>
    </row>
    <row r="28" spans="1:36" ht="13.8">
      <c r="A28" s="1768"/>
      <c r="B28" s="141"/>
      <c r="C28" s="141"/>
      <c r="D28" s="142"/>
      <c r="E28" s="128"/>
      <c r="F28" s="128"/>
      <c r="G28" s="128"/>
      <c r="H28" s="128"/>
      <c r="I28" s="128"/>
    </row>
    <row r="29" spans="1:36" ht="13.8">
      <c r="A29" s="1768"/>
      <c r="B29" s="141"/>
      <c r="C29" s="141"/>
      <c r="D29" s="142"/>
      <c r="E29" s="128"/>
      <c r="F29" s="128"/>
      <c r="G29" s="128"/>
      <c r="H29" s="128"/>
      <c r="I29" s="128"/>
    </row>
    <row r="30" spans="1:36" ht="15" thickBot="1">
      <c r="A30" s="141" t="s">
        <v>1303</v>
      </c>
      <c r="B30" s="141"/>
      <c r="C30" s="141"/>
      <c r="D30" s="141"/>
      <c r="E30" s="2300" t="s">
        <v>2131</v>
      </c>
      <c r="F30" s="128"/>
      <c r="G30" s="128"/>
      <c r="H30" s="128"/>
      <c r="I30" s="128"/>
    </row>
    <row r="31" spans="1:36" s="2306" customFormat="1" ht="26.5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0" t="s">
        <v>1304</v>
      </c>
      <c r="B32" s="1771"/>
      <c r="C32" s="143" t="e">
        <f ca="1">IF(D32="总价",G19-C24,G20-C25)</f>
        <v>#REF!</v>
      </c>
      <c r="D32" s="1772"/>
      <c r="E32" s="128"/>
      <c r="F32" s="128"/>
      <c r="G32" s="128"/>
      <c r="H32" s="128"/>
      <c r="I32" s="128"/>
    </row>
    <row r="33" spans="1:15" ht="14.4">
      <c r="A33" s="784" t="s">
        <v>1305</v>
      </c>
      <c r="B33" s="1773"/>
      <c r="C33" s="1774"/>
      <c r="D33" s="1775"/>
      <c r="E33" s="1776" t="s">
        <v>1306</v>
      </c>
      <c r="F33" s="1777" t="str">
        <f>IF(D32="楼面单价","取值（单价）","取值（总价）")</f>
        <v>取值（总价）</v>
      </c>
      <c r="G33" s="128"/>
      <c r="H33" s="128"/>
      <c r="I33" s="128"/>
    </row>
    <row r="34" spans="1:15" ht="14.4">
      <c r="A34" s="1778"/>
      <c r="B34" s="1779" t="s">
        <v>1307</v>
      </c>
      <c r="C34" s="147" t="e">
        <f ca="1">IF(C33="自定义",F34,C32-C35)</f>
        <v>#REF!</v>
      </c>
      <c r="D34" s="859" t="e">
        <f ca="1">IF(C33="自定义",ROUND(C34/C32,3),IF(C33="收益比率",SUMIF(INDIRECT("'"&amp;D33&amp;"'"&amp;"!b:b"),"土地收益比率",INDIRECT("'"&amp;D33&amp;"'"&amp;"!c:c")),SUMIF(INDIRECT("'"&amp;D33&amp;"'"&amp;"!b:b"),"土地成本比率",INDIRECT("'"&amp;D33&amp;"'"&amp;"!c:c"))))</f>
        <v>#REF!</v>
      </c>
      <c r="E34" s="1780" t="s">
        <v>1308</v>
      </c>
      <c r="F34" s="1327"/>
      <c r="G34" s="128"/>
      <c r="H34" s="128"/>
      <c r="I34" s="128"/>
    </row>
    <row r="35" spans="1:15" ht="15" thickBot="1">
      <c r="A35" s="1781"/>
      <c r="B35" s="1782" t="s">
        <v>1309</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1310</v>
      </c>
      <c r="F35" s="153"/>
      <c r="G35" s="128"/>
      <c r="H35" s="128"/>
      <c r="I35" s="128"/>
    </row>
    <row r="36" spans="1:15" ht="15" thickBot="1">
      <c r="A36" s="3832" t="s">
        <v>1311</v>
      </c>
      <c r="B36" s="1784" t="s">
        <v>1312</v>
      </c>
      <c r="C36" s="144"/>
      <c r="D36" s="1785"/>
      <c r="E36" s="1786"/>
      <c r="F36" s="1787"/>
      <c r="G36" s="128"/>
      <c r="H36" s="128"/>
      <c r="I36" s="128"/>
    </row>
    <row r="37" spans="1:15" ht="15" thickBot="1">
      <c r="A37" s="3833"/>
      <c r="B37" s="1671" t="s">
        <v>1313</v>
      </c>
      <c r="C37" s="146"/>
      <c r="D37" s="1136"/>
      <c r="E37" s="1136"/>
      <c r="F37" s="1787"/>
      <c r="G37" s="128"/>
      <c r="H37" s="128"/>
      <c r="I37" s="128"/>
    </row>
    <row r="38" spans="1:15" ht="15" thickBot="1">
      <c r="A38" s="3834"/>
      <c r="B38" s="1788" t="s">
        <v>1314</v>
      </c>
      <c r="C38" s="672"/>
      <c r="D38" s="1789" t="s">
        <v>1315</v>
      </c>
      <c r="E38" s="1136"/>
      <c r="F38" s="1787"/>
      <c r="G38" s="128"/>
      <c r="H38" s="128"/>
      <c r="I38" s="128"/>
    </row>
    <row r="39" spans="1:15" ht="14.4">
      <c r="A39" s="1761" t="s">
        <v>1316</v>
      </c>
      <c r="B39" s="1790" t="s">
        <v>1317</v>
      </c>
      <c r="C39" s="1791" t="s">
        <v>1318</v>
      </c>
      <c r="D39" s="1791" t="s">
        <v>1319</v>
      </c>
      <c r="E39" s="1792" t="s">
        <v>1320</v>
      </c>
      <c r="F39" s="1787"/>
      <c r="G39" s="128"/>
      <c r="H39" s="128"/>
      <c r="I39" s="128"/>
    </row>
    <row r="40" spans="1:15" ht="13.8">
      <c r="A40" s="1793" t="s">
        <v>1321</v>
      </c>
      <c r="B40" s="148"/>
      <c r="C40" s="149"/>
      <c r="D40" s="149"/>
      <c r="E40" s="150"/>
      <c r="F40" s="1787"/>
      <c r="G40" s="128"/>
      <c r="H40" s="128"/>
      <c r="I40" s="128"/>
    </row>
    <row r="41" spans="1:15" ht="13.8">
      <c r="A41" s="1793" t="s">
        <v>1322</v>
      </c>
      <c r="B41" s="148"/>
      <c r="C41" s="149"/>
      <c r="D41" s="149"/>
      <c r="E41" s="150"/>
      <c r="F41" s="1787"/>
      <c r="G41" s="128"/>
      <c r="H41" s="128"/>
      <c r="I41" s="128"/>
    </row>
    <row r="42" spans="1:15" ht="14.4" thickBot="1">
      <c r="A42" s="1794"/>
      <c r="B42" s="151"/>
      <c r="C42" s="152"/>
      <c r="D42" s="152"/>
      <c r="E42" s="153"/>
      <c r="F42" s="1787"/>
      <c r="G42" s="128"/>
      <c r="H42" s="128"/>
      <c r="I42" s="128"/>
    </row>
    <row r="43" spans="1:15" ht="13.2">
      <c r="A43" s="1574"/>
      <c r="B43" s="1574"/>
      <c r="C43" s="1574"/>
      <c r="D43" s="1574"/>
      <c r="E43" s="1574"/>
      <c r="F43" s="1795"/>
      <c r="G43" s="1795"/>
      <c r="H43" s="1795"/>
      <c r="I43" s="1796"/>
    </row>
    <row r="44" spans="1:15" ht="17.399999999999999">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852" t="s">
        <v>1325</v>
      </c>
      <c r="B45" s="3853"/>
      <c r="C45" s="3854"/>
      <c r="D45" s="154" t="e">
        <f ca="1">ROUND(H101*F45,0)</f>
        <v>#REF!</v>
      </c>
      <c r="E45" s="155" t="s">
        <v>1326</v>
      </c>
      <c r="F45" s="156">
        <v>1</v>
      </c>
      <c r="G45" s="157" t="s">
        <v>1327</v>
      </c>
      <c r="H45" s="128"/>
      <c r="I45" s="128"/>
      <c r="J45" s="3772" t="s">
        <v>1328</v>
      </c>
      <c r="K45" s="3772"/>
      <c r="L45" s="3772"/>
      <c r="M45" s="3772"/>
      <c r="N45" s="3772"/>
      <c r="O45" s="3772"/>
    </row>
    <row r="46" spans="1:15" ht="14.25" customHeight="1">
      <c r="A46" s="3849" t="s">
        <v>1329</v>
      </c>
      <c r="B46" s="3850"/>
      <c r="C46" s="3850"/>
      <c r="D46" s="3850"/>
      <c r="E46" s="3850"/>
      <c r="F46" s="3850"/>
      <c r="G46" s="3851"/>
      <c r="H46" s="1803"/>
      <c r="I46" s="158"/>
      <c r="J46" s="2520">
        <v>1</v>
      </c>
      <c r="K46" s="3773" t="s">
        <v>1330</v>
      </c>
      <c r="L46" s="3773"/>
      <c r="M46" s="3774"/>
      <c r="N46" s="3774"/>
      <c r="O46" s="3774"/>
    </row>
    <row r="47" spans="1:15" ht="12" customHeight="1">
      <c r="A47" s="159" t="s">
        <v>1331</v>
      </c>
      <c r="B47" s="160"/>
      <c r="C47" s="161"/>
      <c r="D47" s="1084" t="s">
        <v>1332</v>
      </c>
      <c r="E47" s="301" t="s">
        <v>1333</v>
      </c>
      <c r="F47" s="162" t="s">
        <v>1334</v>
      </c>
      <c r="G47" s="2543" t="s">
        <v>1335</v>
      </c>
      <c r="H47" s="2544"/>
      <c r="I47" s="158"/>
      <c r="J47" s="2520">
        <v>2</v>
      </c>
      <c r="K47" s="3773" t="s">
        <v>1336</v>
      </c>
      <c r="L47" s="3773"/>
      <c r="M47" s="3775">
        <f>'数据-取费表'!B2</f>
        <v>45511</v>
      </c>
      <c r="N47" s="3775"/>
      <c r="O47" s="3775"/>
    </row>
    <row r="48" spans="1:15" ht="26.4">
      <c r="A48" s="3835" t="s">
        <v>1337</v>
      </c>
      <c r="B48" s="3836"/>
      <c r="C48" s="3836"/>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1338</v>
      </c>
      <c r="H48" s="2547"/>
      <c r="I48" s="1803"/>
      <c r="J48" s="2520">
        <v>3</v>
      </c>
      <c r="K48" s="3773" t="s">
        <v>1339</v>
      </c>
      <c r="L48" s="3773"/>
      <c r="M48" s="3776" t="e">
        <f ca="1">H101</f>
        <v>#REF!</v>
      </c>
      <c r="N48" s="3776"/>
      <c r="O48" s="3776"/>
    </row>
    <row r="49" spans="1:35" ht="25.5" customHeight="1">
      <c r="A49" s="2330" t="s">
        <v>1340</v>
      </c>
      <c r="B49" s="3821" t="s">
        <v>1341</v>
      </c>
      <c r="C49" s="3821"/>
      <c r="D49" s="1587">
        <v>0</v>
      </c>
      <c r="E49" s="323" t="s">
        <v>1342</v>
      </c>
      <c r="F49" s="2421" t="s">
        <v>28</v>
      </c>
      <c r="G49" s="3804"/>
      <c r="H49" s="2307" t="s">
        <v>2133</v>
      </c>
      <c r="I49" s="2308"/>
      <c r="J49" s="2520">
        <v>4</v>
      </c>
      <c r="K49" s="3773" t="str">
        <f>IF(项目基本情况!E8="房地产抵押价值","房地产抵押价值","抵押担保权已注销时的房地产抵押价值")</f>
        <v>抵押担保权已注销时的房地产抵押价值</v>
      </c>
      <c r="L49" s="3773"/>
      <c r="M49" s="3776" t="str">
        <f>IF(项目基本情况!E8="房地产抵押价值",H107,H109)</f>
        <v>——</v>
      </c>
      <c r="N49" s="3776"/>
      <c r="O49" s="3776"/>
    </row>
    <row r="50" spans="1:35" ht="25.5" customHeight="1">
      <c r="A50" s="2548"/>
      <c r="B50" s="3821" t="s">
        <v>1343</v>
      </c>
      <c r="C50" s="3821"/>
      <c r="D50" s="2549"/>
      <c r="E50" s="331"/>
      <c r="F50" s="2421"/>
      <c r="G50" s="3805"/>
      <c r="H50" s="2309" t="s">
        <v>2134</v>
      </c>
      <c r="I50" s="2308"/>
      <c r="J50" s="3772" t="s">
        <v>1344</v>
      </c>
      <c r="K50" s="3772"/>
      <c r="L50" s="3772"/>
      <c r="M50" s="3772"/>
      <c r="N50" s="3772"/>
      <c r="O50" s="3772"/>
    </row>
    <row r="51" spans="1:35" ht="20.55" customHeight="1">
      <c r="A51" s="2550"/>
      <c r="B51" s="3821" t="s">
        <v>1345</v>
      </c>
      <c r="C51" s="3821"/>
      <c r="D51" s="1084"/>
      <c r="E51" s="326"/>
      <c r="F51" s="2421"/>
      <c r="G51" s="3806"/>
      <c r="H51" s="2309" t="s">
        <v>2135</v>
      </c>
      <c r="I51" s="2308"/>
      <c r="J51" s="2521" t="s">
        <v>1346</v>
      </c>
      <c r="K51" s="3773" t="s">
        <v>1347</v>
      </c>
      <c r="L51" s="3773"/>
      <c r="M51" s="2521" t="s">
        <v>1348</v>
      </c>
      <c r="N51" s="2521" t="s">
        <v>1349</v>
      </c>
      <c r="O51" s="2521" t="s">
        <v>1350</v>
      </c>
    </row>
    <row r="52" spans="1:35" ht="24" customHeight="1">
      <c r="A52" s="2332" t="s">
        <v>1351</v>
      </c>
      <c r="B52" s="3821" t="s">
        <v>1352</v>
      </c>
      <c r="C52" s="3821"/>
      <c r="D52" s="1084" t="e">
        <f ca="1">ROUND(D45*'数据-取费表'!B41/(1+'数据-取费表'!C42),0)</f>
        <v>#REF!</v>
      </c>
      <c r="E52" s="2331" t="s">
        <v>1353</v>
      </c>
      <c r="F52" s="2551">
        <f>'数据-取费表'!B41</f>
        <v>5.5000000000000007E-2</v>
      </c>
      <c r="G52" s="2552"/>
      <c r="H52" s="2541"/>
      <c r="I52" s="1804"/>
      <c r="J52" s="2520">
        <v>1</v>
      </c>
      <c r="K52" s="3798" t="s">
        <v>1354</v>
      </c>
      <c r="L52" s="3798"/>
      <c r="M52" s="2522" t="b">
        <f>D48</f>
        <v>0</v>
      </c>
      <c r="N52" s="2520" t="str">
        <f>E48</f>
        <v>销售额×税（费）率</v>
      </c>
      <c r="O52" s="2523">
        <f>F48</f>
        <v>5.5000000000000007E-2</v>
      </c>
    </row>
    <row r="53" spans="1:35" ht="12" customHeight="1">
      <c r="A53" s="2332" t="s">
        <v>1355</v>
      </c>
      <c r="B53" s="3822" t="s">
        <v>2290</v>
      </c>
      <c r="C53" s="3823"/>
      <c r="D53" s="1084" t="e">
        <f ca="1">ROUND(D45*'数据-取费表'!B41/(1+'数据-取费表'!C42),0)</f>
        <v>#REF!</v>
      </c>
      <c r="E53" s="2331" t="s">
        <v>1353</v>
      </c>
      <c r="F53" s="2551">
        <f>'数据-取费表'!B41</f>
        <v>5.5000000000000007E-2</v>
      </c>
      <c r="G53" s="2552"/>
      <c r="H53" s="2541"/>
      <c r="I53" s="1804"/>
      <c r="J53" s="2520">
        <v>2</v>
      </c>
      <c r="K53" s="3798" t="s">
        <v>1356</v>
      </c>
      <c r="L53" s="3798"/>
      <c r="M53" s="2522" t="e">
        <f t="shared" ref="M53:O54" ca="1" si="0">D55</f>
        <v>#REF!</v>
      </c>
      <c r="N53" s="2520" t="str">
        <f t="shared" si="0"/>
        <v>销售额×税（费）率</v>
      </c>
      <c r="O53" s="2523" t="str">
        <f t="shared" si="0"/>
        <v>免征</v>
      </c>
    </row>
    <row r="54" spans="1:35" ht="12" customHeight="1">
      <c r="A54" s="2332" t="s">
        <v>1357</v>
      </c>
      <c r="B54" s="3822" t="s">
        <v>2291</v>
      </c>
      <c r="C54" s="3823"/>
      <c r="D54" s="1084" t="e">
        <f ca="1">C68</f>
        <v>#REF!</v>
      </c>
      <c r="E54" s="326" t="s">
        <v>1358</v>
      </c>
      <c r="F54" s="2551">
        <f>'数据-取费表'!B41</f>
        <v>5.5000000000000007E-2</v>
      </c>
      <c r="G54" s="2552"/>
      <c r="H54" s="2553"/>
      <c r="I54" s="1804"/>
      <c r="J54" s="2520">
        <v>3</v>
      </c>
      <c r="K54" s="3798" t="s">
        <v>1359</v>
      </c>
      <c r="L54" s="3798"/>
      <c r="M54" s="2522" t="e">
        <f t="shared" ca="1" si="0"/>
        <v>#REF!</v>
      </c>
      <c r="N54" s="2520" t="str">
        <f t="shared" si="0"/>
        <v>增值额×税（费）率</v>
      </c>
      <c r="O54" s="2524" t="str">
        <f t="shared" si="0"/>
        <v>免征</v>
      </c>
    </row>
    <row r="55" spans="1:35" ht="24" customHeight="1">
      <c r="A55" s="3858" t="s">
        <v>1360</v>
      </c>
      <c r="B55" s="3836"/>
      <c r="C55" s="3836"/>
      <c r="D55" s="2321" t="e">
        <f ca="1">IF(H55="个人住宅",0,ROUND(D45*I55,0))</f>
        <v>#REF!</v>
      </c>
      <c r="E55" s="2331" t="s">
        <v>1361</v>
      </c>
      <c r="F55" s="2551" t="str">
        <f>IF(H55="正常",I55,"免征")</f>
        <v>免征</v>
      </c>
      <c r="G55" s="2552"/>
      <c r="H55" s="2547"/>
      <c r="I55" s="164">
        <f>'数据-取费表'!B49</f>
        <v>5.0000000000000001E-4</v>
      </c>
      <c r="J55" s="2520">
        <f>IF(H59="非个人房产","",4)</f>
        <v>4</v>
      </c>
      <c r="K55" s="3798" t="str">
        <f>IF(H59="非个人房产","——","个人所得税")</f>
        <v>个人所得税</v>
      </c>
      <c r="L55" s="3798"/>
      <c r="M55" s="2525" t="e">
        <f ca="1">D59</f>
        <v>#REF!</v>
      </c>
      <c r="N55" s="2037" t="str">
        <f>E59</f>
        <v>差额计税</v>
      </c>
      <c r="O55" s="2526">
        <f>F59</f>
        <v>0.01</v>
      </c>
    </row>
    <row r="56" spans="1:35" ht="25.2">
      <c r="A56" s="3858" t="s">
        <v>1362</v>
      </c>
      <c r="B56" s="3836"/>
      <c r="C56" s="3836"/>
      <c r="D56" s="2321" t="e">
        <f ca="1">IF(H56="个人住宅",D57,D58)</f>
        <v>#REF!</v>
      </c>
      <c r="E56" s="2331" t="s">
        <v>1363</v>
      </c>
      <c r="F56" s="2551" t="str">
        <f>IF(H56="正常",F58,"免征")</f>
        <v>免征</v>
      </c>
      <c r="G56" s="2554" t="s">
        <v>1364</v>
      </c>
      <c r="H56" s="2555"/>
      <c r="I56" s="1805"/>
      <c r="J56" s="2520" t="str">
        <f>IF(项目基本情况!K6="上海银行",IF(J55="",4,J55+1),"")</f>
        <v/>
      </c>
      <c r="K56" s="3779" t="str">
        <f>IF(项目基本情况!K6="上海银行","其他处置费用","")</f>
        <v/>
      </c>
      <c r="L56" s="3780"/>
      <c r="M56" s="2522" t="str">
        <f>IF(项目基本情况!K6="上海银行",M69,"")</f>
        <v/>
      </c>
      <c r="N56" s="3779" t="str">
        <f>IF(项目基本情况!K6="上海银行","包含处置中涉及的律师、诉讼、拍卖、评估等费用","")</f>
        <v/>
      </c>
      <c r="O56" s="3782"/>
    </row>
    <row r="57" spans="1:35" ht="13.2">
      <c r="A57" s="2332" t="s">
        <v>1340</v>
      </c>
      <c r="B57" s="3822" t="s">
        <v>1365</v>
      </c>
      <c r="C57" s="3823"/>
      <c r="D57" s="1587">
        <v>0</v>
      </c>
      <c r="E57" s="323" t="s">
        <v>1342</v>
      </c>
      <c r="F57" s="301"/>
      <c r="G57" s="2552"/>
      <c r="H57" s="2556"/>
      <c r="I57" s="1805"/>
      <c r="J57" s="3798">
        <f>IF(AND(J55="",J56=""),4,IF(项目基本情况!K6="上海银行",结果表!J56+1,结果表!J55+1))</f>
        <v>5</v>
      </c>
      <c r="K57" s="3798" t="s">
        <v>1366</v>
      </c>
      <c r="L57" s="2527" t="s">
        <v>1367</v>
      </c>
      <c r="M57" s="2528"/>
      <c r="N57" s="2529">
        <f ca="1">SUMIF(M52:M56,"&lt;9e307")</f>
        <v>0</v>
      </c>
      <c r="O57" s="2530"/>
      <c r="P57" s="2687" t="e">
        <f ca="1">N57/M49</f>
        <v>#VALUE!</v>
      </c>
    </row>
    <row r="58" spans="1:35" ht="25.2">
      <c r="A58" s="2332" t="s">
        <v>1351</v>
      </c>
      <c r="B58" s="3822" t="s">
        <v>1368</v>
      </c>
      <c r="C58" s="3821"/>
      <c r="D58" s="2321" t="e">
        <f ca="1">IF(H58="转让取得",C81,C97)</f>
        <v>#REF!</v>
      </c>
      <c r="E58" s="2331" t="s">
        <v>1363</v>
      </c>
      <c r="F58" s="301" t="s">
        <v>28</v>
      </c>
      <c r="G58" s="2552"/>
      <c r="H58" s="2555"/>
      <c r="I58" s="1805"/>
      <c r="J58" s="3798"/>
      <c r="K58" s="3798"/>
      <c r="L58" s="2527" t="s">
        <v>1369</v>
      </c>
      <c r="M58" s="2531"/>
      <c r="N58" s="2532" t="str">
        <f ca="1">NUMBERSTRING(INT(N57*10000),2)&amp;"元整"</f>
        <v>零元整</v>
      </c>
      <c r="O58" s="2533"/>
    </row>
    <row r="59" spans="1:35" ht="24.6" thickBot="1">
      <c r="A59" s="3802" t="s">
        <v>1370</v>
      </c>
      <c r="B59" s="3803"/>
      <c r="C59" s="3803"/>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2136</v>
      </c>
      <c r="J59" s="3800">
        <f>J57+1</f>
        <v>6</v>
      </c>
      <c r="K59" s="3798" t="s">
        <v>1371</v>
      </c>
      <c r="L59" s="2520" t="s">
        <v>1367</v>
      </c>
      <c r="M59" s="2534"/>
      <c r="N59" s="2535" t="e">
        <f ca="1">M49-N57</f>
        <v>#VALUE!</v>
      </c>
      <c r="O59" s="2536"/>
    </row>
    <row r="60" spans="1:35" ht="12" customHeight="1">
      <c r="A60" s="1806"/>
      <c r="B60" s="1744"/>
      <c r="C60" s="1744"/>
      <c r="D60" s="1744"/>
      <c r="E60" s="1575"/>
      <c r="F60" s="1805"/>
      <c r="G60" s="1805"/>
      <c r="H60" s="1807"/>
      <c r="I60" s="128"/>
      <c r="J60" s="3801"/>
      <c r="K60" s="3798"/>
      <c r="L60" s="2527" t="s">
        <v>1369</v>
      </c>
      <c r="M60" s="2531"/>
      <c r="N60" s="2532" t="e">
        <f ca="1">NUMBERSTRING(INT(N59*10000),2)&amp;"元整"</f>
        <v>#VALUE!</v>
      </c>
      <c r="O60" s="2533"/>
    </row>
    <row r="61" spans="1:35" ht="13.8" thickBot="1">
      <c r="A61" s="3857" t="s">
        <v>1372</v>
      </c>
      <c r="B61" s="3857"/>
      <c r="C61" s="3857"/>
      <c r="D61" s="3857"/>
      <c r="E61" s="3857"/>
      <c r="F61" s="1805"/>
      <c r="G61" s="1805"/>
      <c r="H61" s="1807"/>
      <c r="I61" s="128"/>
      <c r="J61" s="2520">
        <f>J59+1</f>
        <v>7</v>
      </c>
      <c r="K61" s="3798" t="s">
        <v>1373</v>
      </c>
      <c r="L61" s="3798"/>
      <c r="M61" s="2537"/>
      <c r="N61" s="2538" t="e">
        <f ca="1">ROUND(N59*10000/'数据-汇总表'!E3,0)</f>
        <v>#VALUE!</v>
      </c>
      <c r="O61" s="2539"/>
    </row>
    <row r="62" spans="1:35" ht="13.2">
      <c r="A62" s="3817" t="s">
        <v>1374</v>
      </c>
      <c r="B62" s="3818"/>
      <c r="C62" s="2018"/>
      <c r="D62" s="2018" t="s">
        <v>1375</v>
      </c>
      <c r="E62" s="165" t="s">
        <v>1376</v>
      </c>
      <c r="F62" s="1805"/>
      <c r="G62" s="1805"/>
      <c r="H62" s="1807"/>
      <c r="I62" s="128"/>
    </row>
    <row r="63" spans="1:35" ht="13.2">
      <c r="A63" s="172" t="s">
        <v>330</v>
      </c>
      <c r="B63" s="166" t="s">
        <v>1377</v>
      </c>
      <c r="C63" s="2561" t="e">
        <f ca="1">ROUND((C64+C65)/(1+'数据-取费表'!C42),0)</f>
        <v>#REF!</v>
      </c>
      <c r="D63" s="166"/>
      <c r="E63" s="167"/>
      <c r="F63" s="1805"/>
      <c r="G63" s="1805"/>
      <c r="H63" s="1807"/>
      <c r="I63" s="128"/>
      <c r="J63" s="3781" t="s">
        <v>1378</v>
      </c>
      <c r="K63" s="1329" t="s">
        <v>1379</v>
      </c>
      <c r="L63" s="1329" t="e">
        <f>IF(M49&gt;10000,M49*0.5%,IF(AND(M49&gt;1000,M49&lt;=10000),M49*1%,IF(AND(M49&gt;100,M49&lt;=1000),M49*3%,IF(AND(M49&gt;10,M49&lt;=100),M49*5%,M49*8%))))</f>
        <v>#VALUE!</v>
      </c>
      <c r="M63" s="301" t="e">
        <f>ROUND(L63,1)</f>
        <v>#VALUE!</v>
      </c>
      <c r="N63" s="2540"/>
      <c r="Z63" s="1749"/>
      <c r="AI63" s="1750"/>
    </row>
    <row r="64" spans="1:35" ht="14.25" customHeight="1">
      <c r="A64" s="168" t="s">
        <v>325</v>
      </c>
      <c r="B64" s="169" t="s">
        <v>1380</v>
      </c>
      <c r="C64" s="2562" t="e">
        <f ca="1">D45</f>
        <v>#REF!</v>
      </c>
      <c r="D64" s="169" t="s">
        <v>26</v>
      </c>
      <c r="E64" s="171"/>
      <c r="F64" s="1805"/>
      <c r="G64" s="1805"/>
      <c r="H64" s="1807"/>
      <c r="I64" s="128"/>
      <c r="J64" s="3781"/>
      <c r="K64" s="1329" t="s">
        <v>1381</v>
      </c>
      <c r="L64" s="1329" t="e">
        <f>IF(M49&gt;2000,M49*0.5%,IF(AND(M49&gt;1000,M49&lt;=2000),M49*0.6%,IF(AND(M49&gt;500,M49&lt;=1000),M49*0.7%,IF(AND(M49&gt;200,M49&lt;=500),M49*0.8%,IF(AND(M49&gt;100,M49&lt;=200),M49*0.9%,IF(AND(M49&gt;50,M49&lt;=100),M49*1%,IF(AND(M49&gt;20,M49&lt;=50),M49*1.5%,IF(AND(M49&gt;10,M49&lt;=20),M49*2%,IF(AND(M49&gt;1,M49&lt;=10),M49*2.5%)))))))))</f>
        <v>#VALUE!</v>
      </c>
      <c r="M64" s="301" t="e">
        <f>ROUND(L64,1)</f>
        <v>#VALUE!</v>
      </c>
      <c r="N64" s="2541" t="s">
        <v>1382</v>
      </c>
      <c r="Z64" s="1749"/>
      <c r="AI64" s="1750"/>
    </row>
    <row r="65" spans="1:35" ht="14.25" customHeight="1">
      <c r="A65" s="168" t="s">
        <v>326</v>
      </c>
      <c r="B65" s="169" t="s">
        <v>1383</v>
      </c>
      <c r="C65" s="2563"/>
      <c r="D65" s="169"/>
      <c r="E65" s="171"/>
      <c r="F65" s="1805"/>
      <c r="G65" s="1805"/>
      <c r="H65" s="1807"/>
      <c r="I65" s="128"/>
      <c r="J65" s="3781"/>
      <c r="K65" s="1329" t="s">
        <v>1384</v>
      </c>
      <c r="L65" s="1329" t="e">
        <f>IF(M49&gt;1000,M49*0.1%,IF(AND(M49&gt;500,M49&lt;=1000),M49*0.5%,IF(AND(M49&gt;50,M49&lt;=500),M49*1%,IF(AND(M49&gt;1,M49&lt;=50),M49*1.5%))))</f>
        <v>#VALUE!</v>
      </c>
      <c r="M65" s="301" t="e">
        <f>ROUND(L65,1)</f>
        <v>#VALUE!</v>
      </c>
      <c r="N65" s="2541" t="s">
        <v>1382</v>
      </c>
      <c r="Z65" s="1749"/>
      <c r="AI65" s="1750"/>
    </row>
    <row r="66" spans="1:35" ht="14.25" customHeight="1">
      <c r="A66" s="172" t="s">
        <v>327</v>
      </c>
      <c r="B66" s="173" t="s">
        <v>1385</v>
      </c>
      <c r="C66" s="2564"/>
      <c r="D66" s="173" t="s">
        <v>26</v>
      </c>
      <c r="E66" s="1335" t="s">
        <v>671</v>
      </c>
      <c r="F66" s="1805"/>
      <c r="G66" s="1805"/>
      <c r="H66" s="1807"/>
      <c r="I66" s="128"/>
      <c r="J66" s="3781"/>
      <c r="K66" s="1329" t="s">
        <v>1386</v>
      </c>
      <c r="L66" s="1329" t="e">
        <f>M49*0.5%</f>
        <v>#VALUE!</v>
      </c>
      <c r="M66" s="301" t="e">
        <f>IF(L66&gt;0.5,0.5,ROUND(L66,0))</f>
        <v>#VALUE!</v>
      </c>
      <c r="N66" s="2541" t="s">
        <v>1387</v>
      </c>
      <c r="Z66" s="1749"/>
      <c r="AI66" s="1750"/>
    </row>
    <row r="67" spans="1:35" ht="14.25" customHeight="1">
      <c r="A67" s="172" t="s">
        <v>328</v>
      </c>
      <c r="B67" s="173" t="s">
        <v>1388</v>
      </c>
      <c r="C67" s="2565" t="e">
        <f ca="1">C63-C66</f>
        <v>#REF!</v>
      </c>
      <c r="D67" s="169" t="s">
        <v>26</v>
      </c>
      <c r="E67" s="171"/>
      <c r="F67" s="1805"/>
      <c r="G67" s="1805"/>
      <c r="H67" s="1807"/>
      <c r="I67" s="128"/>
      <c r="J67" s="3781"/>
      <c r="K67" s="1329" t="s">
        <v>1389</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0"/>
      <c r="Z67" s="1749"/>
      <c r="AI67" s="1750"/>
    </row>
    <row r="68" spans="1:35" ht="14.25" customHeight="1" thickBot="1">
      <c r="A68" s="175" t="s">
        <v>329</v>
      </c>
      <c r="B68" s="176" t="s">
        <v>1390</v>
      </c>
      <c r="C68" s="2566" t="e">
        <f ca="1">IF(C67&lt;=0,0,ROUND(C67*D68,0))</f>
        <v>#REF!</v>
      </c>
      <c r="D68" s="2567">
        <f>'数据-取费表'!B41</f>
        <v>5.5000000000000007E-2</v>
      </c>
      <c r="E68" s="177"/>
      <c r="F68" s="1805"/>
      <c r="G68" s="1805"/>
      <c r="H68" s="1807"/>
      <c r="I68" s="128"/>
      <c r="J68" s="3781"/>
      <c r="K68" s="1329" t="s">
        <v>1391</v>
      </c>
      <c r="L68" s="1329" t="e">
        <f>IF(M49&gt;10000,M49*0.5%,IF(AND(M49&gt;5000,M49&lt;=10000),M49*1%,IF(AND(M49&gt;1000,M49&lt;=5000),M49*2%,IF(AND(M49&gt;200,M49&lt;=1000),M49*3%,M49*5%))))</f>
        <v>#VALUE!</v>
      </c>
      <c r="M68" s="301" t="e">
        <f>ROUND(L68,1)</f>
        <v>#VALUE!</v>
      </c>
      <c r="N68" s="2540"/>
      <c r="Z68" s="1749"/>
      <c r="AI68" s="1750"/>
    </row>
    <row r="69" spans="1:35" s="1769" customFormat="1" ht="16.5" customHeight="1">
      <c r="A69" s="1808"/>
      <c r="B69" s="1809"/>
      <c r="C69" s="1810"/>
      <c r="D69" s="1811"/>
      <c r="E69" s="1812"/>
      <c r="F69" s="1575"/>
      <c r="G69" s="1575"/>
      <c r="H69" s="1574"/>
      <c r="I69" s="1744"/>
      <c r="J69" s="3781"/>
      <c r="K69" s="1329" t="s">
        <v>1392</v>
      </c>
      <c r="L69" s="1329"/>
      <c r="M69" s="301" t="e">
        <f>ROUND(SUM(M63:M68),0)</f>
        <v>#VALUE!</v>
      </c>
      <c r="N69" s="2542" t="e">
        <f>M69/M49</f>
        <v>#VALUE!</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4.4" thickBot="1">
      <c r="A70" s="3825" t="s">
        <v>1393</v>
      </c>
      <c r="B70" s="3826"/>
      <c r="C70" s="3826"/>
      <c r="D70" s="3826"/>
      <c r="E70" s="3826"/>
      <c r="F70" s="3826"/>
      <c r="G70" s="3826"/>
      <c r="H70" s="3826"/>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c r="A71" s="3817" t="s">
        <v>1374</v>
      </c>
      <c r="B71" s="3818"/>
      <c r="C71" s="2018"/>
      <c r="D71" s="2018" t="s">
        <v>1375</v>
      </c>
      <c r="E71" s="178" t="s">
        <v>1376</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c r="A72" s="172" t="s">
        <v>330</v>
      </c>
      <c r="B72" s="173" t="s">
        <v>1394</v>
      </c>
      <c r="C72" s="2565" t="e">
        <f ca="1">ROUND(D45/(1+'数据-取费表'!C42),0)</f>
        <v>#REF!</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c r="A73" s="172" t="s">
        <v>327</v>
      </c>
      <c r="B73" s="162" t="s">
        <v>1395</v>
      </c>
      <c r="C73" s="2565" t="e">
        <f ca="1">C74+C78</f>
        <v>#REF!</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1396</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c r="A75" s="168" t="s">
        <v>331</v>
      </c>
      <c r="B75" s="169" t="s">
        <v>1397</v>
      </c>
      <c r="C75" s="2568"/>
      <c r="D75" s="169" t="s">
        <v>26</v>
      </c>
      <c r="E75" s="183" t="s">
        <v>1398</v>
      </c>
      <c r="F75" s="2569"/>
      <c r="G75" s="183"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1400</v>
      </c>
      <c r="C76" s="169">
        <f>IF(F75="购房发票",ROUND(C75*H75*D76,0),0)</f>
        <v>0</v>
      </c>
      <c r="D76" s="2571">
        <v>0.05</v>
      </c>
      <c r="E76" s="3822" t="s">
        <v>1401</v>
      </c>
      <c r="F76" s="3821"/>
      <c r="G76" s="3821"/>
      <c r="H76" s="382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1402</v>
      </c>
      <c r="C77" s="169">
        <f>ROUND(IF(G77="个人住宅",0,IF(G77="2016年5月1日前购买",C75*D77,C75*D77/(1+'数据-取费表'!C42))),0)</f>
        <v>0</v>
      </c>
      <c r="D77" s="2572">
        <f>'数据-取费表'!B48+'数据-取费表'!B49</f>
        <v>3.0499999999999999E-2</v>
      </c>
      <c r="E77" s="2321" t="s">
        <v>1403</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1404</v>
      </c>
      <c r="C78" s="2573" t="e">
        <f ca="1">ROUND(D45*D78/(1+'数据-取费表'!C42),0)</f>
        <v>#REF!</v>
      </c>
      <c r="D78" s="2574">
        <f>'数据-取费表'!B43</f>
        <v>5.000000000000001E-3</v>
      </c>
      <c r="E78" s="3814" t="s">
        <v>1405</v>
      </c>
      <c r="F78" s="3815"/>
      <c r="G78" s="3815"/>
      <c r="H78" s="381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c r="A79" s="172" t="s">
        <v>334</v>
      </c>
      <c r="B79" s="173" t="s">
        <v>1406</v>
      </c>
      <c r="C79" s="2565" t="e">
        <f ca="1">C72-C73</f>
        <v>#REF!</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1407</v>
      </c>
      <c r="C80" s="2575" t="e">
        <f ca="1">IF(C79&lt;=0,0,C79/C73)</f>
        <v>#REF!</v>
      </c>
      <c r="D80" s="169"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thickBot="1">
      <c r="A81" s="175" t="s">
        <v>336</v>
      </c>
      <c r="B81" s="176" t="s">
        <v>1408</v>
      </c>
      <c r="C81" s="2576" t="e">
        <f ca="1">ROUND(IF(C79&lt;=0,0,IF(C80&gt;=200%,C79*60%-C73*35%,IF(C80&gt;=100%,C79*50%-C73*15%,IF(C80&gt;=50%,C79*40%-C73*5%,IF(C80&lt;50%,C79*30%,0))))),0)</f>
        <v>#REF!</v>
      </c>
      <c r="D81" s="2577"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825" t="s">
        <v>1409</v>
      </c>
      <c r="B83" s="3826"/>
      <c r="C83" s="3826"/>
      <c r="D83" s="3826"/>
      <c r="E83" s="3826"/>
      <c r="F83" s="3826"/>
      <c r="G83" s="3826"/>
      <c r="H83" s="382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817" t="s">
        <v>1374</v>
      </c>
      <c r="B84" s="3818"/>
      <c r="C84" s="2018"/>
      <c r="D84" s="2018" t="s">
        <v>1375</v>
      </c>
      <c r="E84" s="178" t="s">
        <v>1376</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2" t="s">
        <v>330</v>
      </c>
      <c r="B85" s="173" t="s">
        <v>1394</v>
      </c>
      <c r="C85" s="2565" t="e">
        <f ca="1">ROUND(D45/(1+'数据-取费表'!C42),0)</f>
        <v>#REF!</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2" t="s">
        <v>327</v>
      </c>
      <c r="B86" s="162" t="s">
        <v>1395</v>
      </c>
      <c r="C86" s="2565" t="e">
        <f ca="1">IF(H88="仅含出让金",C87+C90+C91+C92+C93+C94,C87+C91+C92+C93+C94)</f>
        <v>#REF!</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8" t="s">
        <v>325</v>
      </c>
      <c r="B87" s="169"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4">
      <c r="A88" s="168" t="s">
        <v>331</v>
      </c>
      <c r="B88" s="169" t="s">
        <v>1411</v>
      </c>
      <c r="C88" s="2579"/>
      <c r="D88" s="2574"/>
      <c r="E88" s="192" t="s">
        <v>1412</v>
      </c>
      <c r="F88" s="2324"/>
      <c r="G88" s="193" t="s">
        <v>1413</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8" t="s">
        <v>332</v>
      </c>
      <c r="B89" s="169" t="s">
        <v>1402</v>
      </c>
      <c r="C89" s="2573">
        <f>ROUND(C88*D89,0)</f>
        <v>0</v>
      </c>
      <c r="D89" s="2574">
        <f>'数据-取费表'!B48+'数据-取费表'!B49</f>
        <v>3.0499999999999999E-2</v>
      </c>
      <c r="E89" s="192"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8" t="s">
        <v>326</v>
      </c>
      <c r="B90" s="169" t="s">
        <v>1415</v>
      </c>
      <c r="C90" s="2579"/>
      <c r="D90" s="2574"/>
      <c r="E90" s="192" t="str">
        <f>IF(H88="-","土地取得成本中已包含该笔费用"," ")</f>
        <v xml:space="preserve"> </v>
      </c>
      <c r="F90" s="2324"/>
      <c r="G90" s="3783" t="s">
        <v>2128</v>
      </c>
      <c r="H90" s="3784"/>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1416</v>
      </c>
      <c r="B91" s="169" t="s">
        <v>1417</v>
      </c>
      <c r="C91" s="2573">
        <f>IF(H91="——",成本法!C33,I91)</f>
        <v>0</v>
      </c>
      <c r="D91" s="2574"/>
      <c r="E91" s="3814" t="s">
        <v>1418</v>
      </c>
      <c r="F91" s="3815"/>
      <c r="G91" s="381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1419</v>
      </c>
      <c r="B92" s="169" t="s">
        <v>1420</v>
      </c>
      <c r="C92" s="2573">
        <f>ROUND((C87+C90+C91)*D92,0)</f>
        <v>0</v>
      </c>
      <c r="D92" s="2580"/>
      <c r="E92" s="3814" t="s">
        <v>1421</v>
      </c>
      <c r="F92" s="3815"/>
      <c r="G92" s="3815"/>
      <c r="H92" s="3816"/>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1422</v>
      </c>
      <c r="B93" s="169" t="s">
        <v>1404</v>
      </c>
      <c r="C93" s="2573" t="e">
        <f ca="1">ROUND(D45*D93/(1+'数据-取费表'!C42),0)</f>
        <v>#REF!</v>
      </c>
      <c r="D93" s="2574">
        <f>'数据-取费表'!B43</f>
        <v>5.000000000000001E-3</v>
      </c>
      <c r="E93" s="3814" t="s">
        <v>1405</v>
      </c>
      <c r="F93" s="3815"/>
      <c r="G93" s="3815"/>
      <c r="H93" s="381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1423</v>
      </c>
      <c r="B94" s="169" t="s">
        <v>1424</v>
      </c>
      <c r="C94" s="2579">
        <f>ROUND((C87+C90+C91)*D94,0)</f>
        <v>0</v>
      </c>
      <c r="D94" s="2574">
        <v>0.2</v>
      </c>
      <c r="E94" s="3859" t="s">
        <v>1425</v>
      </c>
      <c r="F94" s="3860"/>
      <c r="G94" s="3860"/>
      <c r="H94" s="386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2" t="s">
        <v>334</v>
      </c>
      <c r="B95" s="173" t="s">
        <v>1406</v>
      </c>
      <c r="C95" s="2565" t="e">
        <f ca="1">ROUND(C85-C86,0)</f>
        <v>#REF!</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1407</v>
      </c>
      <c r="C96" s="2575" t="e">
        <f ca="1">IF(C95&lt;=0,0,C95/C86)</f>
        <v>#REF!</v>
      </c>
      <c r="D96" s="169"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5" t="s">
        <v>336</v>
      </c>
      <c r="B97" s="176" t="s">
        <v>1408</v>
      </c>
      <c r="C97" s="2576" t="e">
        <f ca="1">ROUND(IF(C95&lt;=0,0,IF(C96&gt;=200%,C95*60%-C86*35%,IF(C96&gt;=100%,C95*50%-C86*15%,IF(C96&gt;=50%,C95*40%-C86*5%,IF(C96&lt;50%,C95*30%,0))))),0)</f>
        <v>#REF!</v>
      </c>
      <c r="D97" s="2577"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1426</v>
      </c>
      <c r="B99" s="1744"/>
      <c r="C99" s="1744"/>
      <c r="D99" s="1744"/>
      <c r="E99" s="1575"/>
      <c r="F99" s="1575"/>
      <c r="G99" s="1575"/>
      <c r="H99" s="1574"/>
      <c r="I99" s="128"/>
    </row>
    <row r="100" spans="1:35" ht="18.75" customHeight="1">
      <c r="A100" s="3709" t="s">
        <v>1427</v>
      </c>
      <c r="B100" s="3710"/>
      <c r="C100" s="3710"/>
      <c r="D100" s="3799"/>
      <c r="E100" s="3710" t="s">
        <v>1428</v>
      </c>
      <c r="F100" s="3710"/>
      <c r="G100" s="3710"/>
      <c r="H100" s="3799"/>
      <c r="I100" s="128"/>
    </row>
    <row r="101" spans="1:35" ht="18.75" customHeight="1">
      <c r="A101" s="3807" t="s">
        <v>1429</v>
      </c>
      <c r="B101" s="3808"/>
      <c r="C101" s="2582">
        <f>C4</f>
        <v>0</v>
      </c>
      <c r="D101" s="2583">
        <f>D4</f>
        <v>0</v>
      </c>
      <c r="E101" s="3777" t="s">
        <v>1430</v>
      </c>
      <c r="F101" s="3778"/>
      <c r="G101" s="1824" t="s">
        <v>1431</v>
      </c>
      <c r="H101" s="2592" t="e">
        <f ca="1">H118</f>
        <v>#REF!</v>
      </c>
      <c r="I101" s="128"/>
    </row>
    <row r="102" spans="1:35" ht="18.75" customHeight="1">
      <c r="A102" s="3809" t="s">
        <v>1432</v>
      </c>
      <c r="B102" s="2581" t="s">
        <v>1431</v>
      </c>
      <c r="C102" s="2582" t="e">
        <f ca="1">IF(D32="楼面单价",ROUND(C19,0),C19)</f>
        <v>#REF!</v>
      </c>
      <c r="D102" s="2583" t="e">
        <f ca="1">IF(D32="楼面单价",ROUND(D19,0),D19)</f>
        <v>#REF!</v>
      </c>
      <c r="E102" s="3777"/>
      <c r="F102" s="3778"/>
      <c r="G102" s="1824" t="s">
        <v>1433</v>
      </c>
      <c r="H102" s="2552" t="e">
        <f ca="1">I118</f>
        <v>#REF!</v>
      </c>
      <c r="I102" s="128"/>
    </row>
    <row r="103" spans="1:35" ht="42.75" customHeight="1">
      <c r="A103" s="3809"/>
      <c r="B103" s="2581" t="s">
        <v>1433</v>
      </c>
      <c r="C103" s="2584" t="e">
        <f ca="1">C20</f>
        <v>#REF!</v>
      </c>
      <c r="D103" s="2585" t="e">
        <f ca="1">D20</f>
        <v>#REF!</v>
      </c>
      <c r="E103" s="3770" t="s">
        <v>1434</v>
      </c>
      <c r="F103" s="3771"/>
      <c r="G103" s="1825" t="s">
        <v>1435</v>
      </c>
      <c r="H103" s="2592">
        <f>IF(D36="正常操作",H104+H105+H106,H105+H106)</f>
        <v>0</v>
      </c>
      <c r="I103" s="128"/>
    </row>
    <row r="104" spans="1:35" ht="18.75" customHeight="1">
      <c r="A104" s="3809" t="s">
        <v>1436</v>
      </c>
      <c r="B104" s="2586" t="s">
        <v>1431</v>
      </c>
      <c r="C104" s="2587" t="e">
        <f ca="1">H118</f>
        <v>#REF!</v>
      </c>
      <c r="D104" s="2588"/>
      <c r="E104" s="1671" t="s">
        <v>1437</v>
      </c>
      <c r="F104" s="1663"/>
      <c r="G104" s="1825" t="s">
        <v>1435</v>
      </c>
      <c r="H104" s="2593">
        <f>IF(D36="同一抵押权人同一抵押物续贷",C36&amp;"（续贷，未扣减，详见特别提示）",C36)</f>
        <v>0</v>
      </c>
      <c r="I104" s="128"/>
    </row>
    <row r="105" spans="1:35" ht="18.75" customHeight="1" thickBot="1">
      <c r="A105" s="3819"/>
      <c r="B105" s="2589" t="s">
        <v>1433</v>
      </c>
      <c r="C105" s="2590" t="e">
        <f ca="1">I118</f>
        <v>#REF!</v>
      </c>
      <c r="D105" s="2591"/>
      <c r="E105" s="1671" t="s">
        <v>1438</v>
      </c>
      <c r="F105" s="1663"/>
      <c r="G105" s="1825" t="s">
        <v>1435</v>
      </c>
      <c r="H105" s="2594">
        <f>C37</f>
        <v>0</v>
      </c>
      <c r="I105" s="128"/>
    </row>
    <row r="106" spans="1:35" ht="18.75" customHeight="1">
      <c r="A106" s="1744" t="s">
        <v>1439</v>
      </c>
      <c r="B106" s="1744"/>
      <c r="C106" s="1744"/>
      <c r="D106" s="1744"/>
      <c r="E106" s="1826" t="s">
        <v>1440</v>
      </c>
      <c r="F106" s="1663"/>
      <c r="G106" s="1825" t="s">
        <v>1435</v>
      </c>
      <c r="H106" s="2594">
        <f>C38</f>
        <v>0</v>
      </c>
      <c r="I106" s="128"/>
    </row>
    <row r="107" spans="1:35" ht="18.75" customHeight="1">
      <c r="A107" s="128"/>
      <c r="B107" s="128"/>
      <c r="C107" s="128"/>
      <c r="D107" s="128"/>
      <c r="E107" s="3810" t="str">
        <f>IF(项目基本情况!E8="已注销","——","3.房地产抵押价值")</f>
        <v>3.房地产抵押价值</v>
      </c>
      <c r="F107" s="3778"/>
      <c r="G107" s="1824" t="s">
        <v>1431</v>
      </c>
      <c r="H107" s="2592" t="e">
        <f ca="1">IF(E107="——","——",H101-H103)</f>
        <v>#REF!</v>
      </c>
      <c r="I107" s="128"/>
    </row>
    <row r="108" spans="1:35" ht="18.75" customHeight="1">
      <c r="A108" s="128"/>
      <c r="B108" s="128"/>
      <c r="C108" s="128"/>
      <c r="D108" s="128"/>
      <c r="E108" s="3810"/>
      <c r="F108" s="3778"/>
      <c r="G108" s="1824" t="s">
        <v>1433</v>
      </c>
      <c r="H108" s="2552">
        <f ca="1">IF(H107=H101,H102,ROUND(H107*10000/'数据-汇总表'!E3,0))</f>
        <v>0</v>
      </c>
      <c r="I108" s="128"/>
    </row>
    <row r="109" spans="1:35" ht="18.75" customHeight="1">
      <c r="A109" s="128"/>
      <c r="B109" s="128"/>
      <c r="C109" s="128"/>
      <c r="D109" s="128"/>
      <c r="E109" s="3810" t="str">
        <f>IF(项目基本情况!E8="已注销及未注销","4.抵押担保权已注销时的房地产抵押价值",IF(项目基本情况!E8="已注销","3.抵押担保权已注销时的房地产抵押价值","——"))</f>
        <v>——</v>
      </c>
      <c r="F109" s="3778"/>
      <c r="G109" s="1824" t="s">
        <v>1431</v>
      </c>
      <c r="H109" s="2595" t="str">
        <f>IF(E109="——","——",H101-H105-H106)</f>
        <v>——</v>
      </c>
      <c r="I109" s="128"/>
    </row>
    <row r="110" spans="1:35" ht="18.75" customHeight="1">
      <c r="A110" s="128"/>
      <c r="B110" s="128"/>
      <c r="C110" s="128"/>
      <c r="D110" s="128"/>
      <c r="E110" s="3810"/>
      <c r="F110" s="3778"/>
      <c r="G110" s="1824" t="s">
        <v>1433</v>
      </c>
      <c r="H110" s="2552" t="str">
        <f>IF(H109="——","——",ROUND(H109*10000/'数据-汇总表'!E3,0))</f>
        <v>——</v>
      </c>
      <c r="I110" s="128"/>
    </row>
    <row r="111" spans="1:35" ht="18.75" customHeight="1">
      <c r="A111" s="128"/>
      <c r="B111" s="128"/>
      <c r="C111" s="128"/>
      <c r="D111" s="128"/>
      <c r="E111" s="3811" t="str">
        <f>IF(项目基本情况!E9="抵押净值",IF(OR(项目基本情况!E8="已注销",项目基本情况!E8="房地产抵押价值"),"4.抵押净值","5.抵押净值"),"——")</f>
        <v>——</v>
      </c>
      <c r="F111" s="3797"/>
      <c r="G111" s="1824" t="s">
        <v>1431</v>
      </c>
      <c r="H111" s="2592" t="str">
        <f>IF(E111="——","——",N59)</f>
        <v>——</v>
      </c>
      <c r="I111" s="128"/>
    </row>
    <row r="112" spans="1:35" ht="18.75" customHeight="1" thickBot="1">
      <c r="A112" s="128"/>
      <c r="B112" s="128"/>
      <c r="C112" s="128"/>
      <c r="D112" s="128"/>
      <c r="E112" s="3812"/>
      <c r="F112" s="3813"/>
      <c r="G112" s="1827" t="s">
        <v>1433</v>
      </c>
      <c r="H112" s="2596" t="str">
        <f>IF(E111="——","——",N61)</f>
        <v>——</v>
      </c>
      <c r="I112" s="128"/>
    </row>
    <row r="113" spans="1:27" ht="18.75" customHeight="1">
      <c r="A113" s="128"/>
      <c r="B113" s="128"/>
      <c r="C113" s="128"/>
      <c r="D113" s="128"/>
      <c r="E113" s="3820" t="s">
        <v>1439</v>
      </c>
      <c r="F113" s="3820"/>
      <c r="G113" s="3820"/>
      <c r="H113" s="3820"/>
      <c r="I113" s="128"/>
    </row>
    <row r="114" spans="1:27" ht="3.75" customHeight="1">
      <c r="A114" s="1744"/>
      <c r="B114" s="1744"/>
      <c r="C114" s="1744"/>
      <c r="D114" s="1744"/>
      <c r="E114" s="1806"/>
      <c r="F114" s="1806"/>
      <c r="G114" s="1806"/>
      <c r="H114" s="1806"/>
      <c r="I114" s="1744"/>
    </row>
    <row r="115" spans="1:27" ht="18.75" customHeight="1">
      <c r="A115" s="3828" t="s">
        <v>1441</v>
      </c>
      <c r="B115" s="3829"/>
      <c r="C115" s="3829"/>
      <c r="D115" s="3829"/>
      <c r="E115" s="3829"/>
      <c r="F115" s="3829"/>
      <c r="G115" s="3829"/>
      <c r="H115" s="3829"/>
      <c r="I115" s="3830"/>
    </row>
    <row r="116" spans="1:27" ht="27" customHeight="1">
      <c r="A116" s="3785" t="s">
        <v>1442</v>
      </c>
      <c r="B116" s="3789" t="s">
        <v>1443</v>
      </c>
      <c r="C116" s="3789" t="s">
        <v>1444</v>
      </c>
      <c r="D116" s="3795" t="s">
        <v>1445</v>
      </c>
      <c r="E116" s="3796"/>
      <c r="F116" s="3827" t="s">
        <v>1446</v>
      </c>
      <c r="G116" s="3827"/>
      <c r="H116" s="3785" t="s">
        <v>1447</v>
      </c>
      <c r="I116" s="3785"/>
    </row>
    <row r="117" spans="1:27" ht="18.75" customHeight="1">
      <c r="A117" s="3785"/>
      <c r="B117" s="3790"/>
      <c r="C117" s="3790"/>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41238</v>
      </c>
      <c r="C118" s="2326">
        <f>M19</f>
        <v>14060.635630028937</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785" t="s">
        <v>1451</v>
      </c>
      <c r="B119" s="3785"/>
      <c r="C119" s="3785"/>
      <c r="D119" s="3791" t="e">
        <f ca="1">NUMBERSTRING(INT(D118*10000),2)&amp;"元整"</f>
        <v>#REF!</v>
      </c>
      <c r="E119" s="3792"/>
      <c r="F119" s="3791" t="e">
        <f ca="1">NUMBERSTRING(INT(F118*10000),2)&amp;"元整"</f>
        <v>#REF!</v>
      </c>
      <c r="G119" s="3792"/>
      <c r="H119" s="3791" t="e">
        <f ca="1">NUMBERSTRING(INT(H118*10000),2)&amp;"元整"</f>
        <v>#REF!</v>
      </c>
      <c r="I119" s="3792"/>
    </row>
    <row r="120" spans="1:27" ht="18.75" customHeight="1">
      <c r="A120" s="3786" t="str">
        <f>IF(项目基本情况!B9="房地产市场价值","",MID(E103,3,LEN(E103)-2))</f>
        <v/>
      </c>
      <c r="B120" s="3787"/>
      <c r="C120" s="3788"/>
      <c r="D120" s="3786">
        <f>H103</f>
        <v>0</v>
      </c>
      <c r="E120" s="3787"/>
      <c r="F120" s="3787"/>
      <c r="G120" s="3787"/>
      <c r="H120" s="3787"/>
      <c r="I120" s="3788"/>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791" t="s">
        <v>1451</v>
      </c>
      <c r="B121" s="3793"/>
      <c r="C121" s="3792"/>
      <c r="D121" s="3791" t="str">
        <f>IF(D120=0,"零元整",NUMBERSTRING(INT(D120*10000),2)&amp;"元整")</f>
        <v>零元整</v>
      </c>
      <c r="E121" s="3793"/>
      <c r="F121" s="3793"/>
      <c r="G121" s="3793"/>
      <c r="H121" s="3793"/>
      <c r="I121" s="3792"/>
      <c r="AA121" s="723"/>
    </row>
    <row r="122" spans="1:27" ht="18.75" customHeight="1">
      <c r="A122" s="3797" t="str">
        <f>IF(项目基本情况!B9="房地产市场价值","",MID(E107,3,LEN(E107)-2))</f>
        <v/>
      </c>
      <c r="B122" s="3797"/>
      <c r="C122" s="3797"/>
      <c r="D122" s="3786" t="e">
        <f ca="1">H107</f>
        <v>#REF!</v>
      </c>
      <c r="E122" s="3787"/>
      <c r="F122" s="3787"/>
      <c r="G122" s="3787"/>
      <c r="H122" s="3787"/>
      <c r="I122" s="3788"/>
      <c r="AA122" s="723"/>
    </row>
    <row r="123" spans="1:27" ht="18.75" customHeight="1">
      <c r="A123" s="3785" t="s">
        <v>1451</v>
      </c>
      <c r="B123" s="3785"/>
      <c r="C123" s="3785"/>
      <c r="D123" s="3791" t="e">
        <f ca="1">NUMBERSTRING(INT(D122*10000),2)&amp;"元整"</f>
        <v>#REF!</v>
      </c>
      <c r="E123" s="3793"/>
      <c r="F123" s="3793"/>
      <c r="G123" s="3793"/>
      <c r="H123" s="3793"/>
      <c r="I123" s="3792"/>
      <c r="AA123" s="723"/>
    </row>
    <row r="124" spans="1:27" ht="18.75" customHeight="1">
      <c r="A124" s="3797" t="str">
        <f>IF(项目基本情况!B9="房地产市场价值","",MID(E109,3,LEN(E109)-2))</f>
        <v/>
      </c>
      <c r="B124" s="3797"/>
      <c r="C124" s="3797"/>
      <c r="D124" s="3786" t="str">
        <f>H109</f>
        <v>——</v>
      </c>
      <c r="E124" s="3787"/>
      <c r="F124" s="3787"/>
      <c r="G124" s="3787"/>
      <c r="H124" s="3787"/>
      <c r="I124" s="3788"/>
      <c r="AA124" s="723"/>
    </row>
    <row r="125" spans="1:27" ht="18.75" customHeight="1">
      <c r="A125" s="3785" t="s">
        <v>1451</v>
      </c>
      <c r="B125" s="3785"/>
      <c r="C125" s="3785"/>
      <c r="D125" s="3791" t="e">
        <f>NUMBERSTRING(INT(D124*10000),2)&amp;"元整"</f>
        <v>#VALUE!</v>
      </c>
      <c r="E125" s="3793"/>
      <c r="F125" s="3793"/>
      <c r="G125" s="3793"/>
      <c r="H125" s="3793"/>
      <c r="I125" s="3792"/>
      <c r="AA125" s="723"/>
    </row>
    <row r="126" spans="1:27" ht="18.75" customHeight="1">
      <c r="A126" s="3797" t="str">
        <f>IF(项目基本情况!B9="房地产市场价值","",MID(E111,3,LEN(E111)-2))</f>
        <v/>
      </c>
      <c r="B126" s="3797"/>
      <c r="C126" s="3797"/>
      <c r="D126" s="3786" t="str">
        <f>H111</f>
        <v>——</v>
      </c>
      <c r="E126" s="3787"/>
      <c r="F126" s="3787"/>
      <c r="G126" s="3787"/>
      <c r="H126" s="3787"/>
      <c r="I126" s="3788"/>
      <c r="AA126" s="723"/>
    </row>
    <row r="127" spans="1:27" ht="18.75" customHeight="1">
      <c r="A127" s="3785" t="s">
        <v>1451</v>
      </c>
      <c r="B127" s="3785"/>
      <c r="C127" s="3785"/>
      <c r="D127" s="3791" t="e">
        <f>NUMBERSTRING(INT(D126*10000),2)&amp;"元整"</f>
        <v>#VALUE!</v>
      </c>
      <c r="E127" s="3793"/>
      <c r="F127" s="3793"/>
      <c r="G127" s="3793"/>
      <c r="H127" s="3793"/>
      <c r="I127" s="3792"/>
      <c r="AA127" s="723"/>
    </row>
    <row r="128" spans="1:27" ht="21.75" customHeight="1">
      <c r="A128" s="3794" t="s">
        <v>1452</v>
      </c>
      <c r="B128" s="3794"/>
      <c r="C128" s="3794"/>
      <c r="D128" s="3794"/>
      <c r="E128" s="3794"/>
      <c r="F128" s="3794"/>
      <c r="G128" s="3794"/>
      <c r="H128" s="3794"/>
      <c r="I128" s="3794"/>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J43" sqref="J43"/>
    </sheetView>
  </sheetViews>
  <sheetFormatPr defaultColWidth="12" defaultRowHeight="13.2"/>
  <cols>
    <col min="1" max="1" width="9.77734375" style="2050" customWidth="1"/>
    <col min="2" max="2" width="22.44140625" style="2141" customWidth="1"/>
    <col min="3" max="3" width="12" style="1995"/>
    <col min="4" max="4" width="14.77734375" style="1995" customWidth="1"/>
    <col min="5" max="5" width="14.6640625" style="1995" customWidth="1"/>
    <col min="6" max="8" width="12" style="1995"/>
    <col min="9" max="9" width="12.1093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18" customWidth="1"/>
    <col min="33" max="36" width="9.33203125" style="2050" customWidth="1"/>
    <col min="37" max="38" width="9.33203125" style="1995" customWidth="1"/>
    <col min="39" max="16384" width="12" style="1995"/>
  </cols>
  <sheetData>
    <row r="1" spans="1:36" ht="31.2">
      <c r="A1" s="195" t="s">
        <v>1925</v>
      </c>
      <c r="B1" s="196"/>
      <c r="C1" s="200" t="s">
        <v>1926</v>
      </c>
      <c r="D1" s="341">
        <f>SUM(D33:D34,D37:D42)</f>
        <v>0</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6">
      <c r="A2" s="200" t="s">
        <v>1933</v>
      </c>
      <c r="B2" s="203" t="e">
        <f>C30</f>
        <v>#DIV/0!</v>
      </c>
      <c r="C2" s="1996" t="s">
        <v>1934</v>
      </c>
      <c r="D2" s="1997" t="s">
        <v>1935</v>
      </c>
      <c r="E2" s="3419"/>
      <c r="F2" s="1997" t="s">
        <v>1936</v>
      </c>
      <c r="G2" s="1998">
        <f>IF(E2="商业",项目基本情况!B37,IF(E2="办公",项目基本情况!C37,IF(E2="住宅",项目基本情况!D37,IF(E2="工业",项目基本情况!E37,项目基本情况!F37))))</f>
        <v>0</v>
      </c>
      <c r="H2" s="1997" t="s">
        <v>1937</v>
      </c>
      <c r="I2" s="1998">
        <f>IF(E2="商业",项目基本情况!B38,IF(E2="办公",项目基本情况!C38,IF(E2="住宅",项目基本情况!D38,IF(E2="工业",项目基本情况!E38,项目基本情况!F38))))</f>
        <v>0</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6">
      <c r="A3" s="202" t="s">
        <v>1939</v>
      </c>
      <c r="B3" s="203" t="e">
        <f>ROUND(B2*10000/D1,0)</f>
        <v>#DIV/0!</v>
      </c>
      <c r="C3" s="1996" t="s">
        <v>1940</v>
      </c>
      <c r="D3" s="1997" t="s">
        <v>1941</v>
      </c>
      <c r="E3" s="3417"/>
      <c r="F3" s="2001"/>
      <c r="G3" s="750">
        <f>IF(F3="宗地容积率",'数据-汇总表'!I4,IF(F3="估价对象容积率",'数据-汇总表'!I6,'数据-汇总表'!I7))</f>
        <v>0</v>
      </c>
      <c r="H3" s="169" t="s">
        <v>1942</v>
      </c>
      <c r="I3" s="773"/>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6">
      <c r="A4" s="3871"/>
      <c r="B4" s="3872"/>
      <c r="C4" s="3872"/>
      <c r="D4" s="3873"/>
      <c r="E4" s="3873"/>
      <c r="F4" s="3873"/>
      <c r="G4" s="3873"/>
      <c r="H4" s="3873"/>
      <c r="I4" s="3873"/>
      <c r="J4" s="3874"/>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6" thickBot="1">
      <c r="A5" s="2002" t="s">
        <v>362</v>
      </c>
      <c r="B5" s="2003" t="s">
        <v>1946</v>
      </c>
      <c r="C5" s="751" t="e">
        <f>ROUND(IF(E2="商业",C6*C7*C17+C20,(IF(E2="住宅",C6*C13*C17+C20,IF(E2="办公",C6*C12*C17+C20,C6+C20)))),0)</f>
        <v>#DIV/0!</v>
      </c>
      <c r="D5" s="1336" t="e">
        <f>ROUND(C6*C17+C20,0)</f>
        <v>#DIV/0!</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6" thickBot="1">
      <c r="A6" s="2012" t="s">
        <v>1948</v>
      </c>
      <c r="B6" s="2013" t="s">
        <v>1949</v>
      </c>
      <c r="C6" s="752">
        <f>SUMIF(L1:L12,G2,M1:M12)</f>
        <v>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6" thickBot="1">
      <c r="A7" s="3301" t="s">
        <v>3237</v>
      </c>
      <c r="B7" s="2018" t="s">
        <v>1951</v>
      </c>
      <c r="C7" s="753" t="e">
        <f>IF(C8="不临65条商业街",1,ROUND(1+(1.6*E8+1.2*E9+0.8*E10+0.4*E11)*C9,4))</f>
        <v>#DIV/0!</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t="e">
        <f t="shared" si="0"/>
        <v>#DIV/0!</v>
      </c>
      <c r="U7" s="1210"/>
      <c r="V7" s="3358" t="e">
        <f t="shared" si="1"/>
        <v>#DIV/0!</v>
      </c>
      <c r="W7" s="1355" t="s">
        <v>1954</v>
      </c>
      <c r="X7" s="1211">
        <f>G2</f>
        <v>0</v>
      </c>
      <c r="Y7" s="1211" t="s">
        <v>1955</v>
      </c>
      <c r="Z7" s="1212">
        <f>G3</f>
        <v>0</v>
      </c>
      <c r="AA7" s="1213"/>
      <c r="AB7" s="1213"/>
      <c r="AC7" s="1214"/>
      <c r="AD7" s="1215"/>
      <c r="AE7" s="1215"/>
      <c r="AF7" s="1215"/>
      <c r="AG7" s="1215"/>
      <c r="AH7" s="1215"/>
      <c r="AI7" s="1215"/>
      <c r="AJ7" s="1216"/>
    </row>
    <row r="8" spans="1:36" ht="15">
      <c r="A8" s="3296"/>
      <c r="B8" s="169" t="s">
        <v>1956</v>
      </c>
      <c r="C8" s="2023"/>
      <c r="D8" s="754" t="s">
        <v>112</v>
      </c>
      <c r="E8" s="755" t="e">
        <f>ROUND(C11/E7,4)</f>
        <v>#DIV/0!</v>
      </c>
      <c r="F8" s="2024" t="s">
        <v>1957</v>
      </c>
      <c r="G8" s="2025"/>
      <c r="H8" s="2025"/>
      <c r="I8" s="2025"/>
      <c r="J8" s="2026"/>
      <c r="K8" s="1116"/>
      <c r="L8" s="2000" t="s">
        <v>1958</v>
      </c>
      <c r="M8" s="862">
        <f>SUMPRODUCT((区片价!B234:B276=I2)*(区片价!C3:G3=E2)*(区片价!C234:G276))</f>
        <v>0</v>
      </c>
      <c r="N8" s="864">
        <f>SUMPRODUCT((因素修正幅度!B234:B276=I2)*(因素修正幅度!C3:G3=E2)*(因素修正幅度!C234:G276))</f>
        <v>0</v>
      </c>
      <c r="O8" s="1116"/>
      <c r="P8" s="1116"/>
      <c r="Q8" s="1116"/>
      <c r="R8" s="1209">
        <v>7</v>
      </c>
      <c r="S8" s="1210"/>
      <c r="T8" s="3358" t="e">
        <f t="shared" si="0"/>
        <v>#DIV/0!</v>
      </c>
      <c r="U8" s="1210"/>
      <c r="V8" s="3358" t="e">
        <f t="shared" si="1"/>
        <v>#DIV/0!</v>
      </c>
      <c r="W8" s="3868" t="s">
        <v>1959</v>
      </c>
      <c r="X8" s="3869"/>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69" t="s">
        <v>1972</v>
      </c>
      <c r="C9" s="756">
        <f>SUMIF(修正!C71:C138,C8,修正!E71:E138)</f>
        <v>0</v>
      </c>
      <c r="D9" s="170" t="s">
        <v>113</v>
      </c>
      <c r="E9" s="170" t="e">
        <f>ROUND(C11/E7,4)</f>
        <v>#DIV/0!</v>
      </c>
      <c r="F9" s="2024" t="s">
        <v>1973</v>
      </c>
      <c r="G9" s="2025"/>
      <c r="H9" s="2025"/>
      <c r="I9" s="2025"/>
      <c r="J9" s="2026"/>
      <c r="K9" s="1116"/>
      <c r="L9" s="2000" t="s">
        <v>1974</v>
      </c>
      <c r="M9" s="862">
        <f>SUMPRODUCT((区片价!B277:B326=I2)*(区片价!C3:G3=E2)*(区片价!C277:G326))</f>
        <v>0</v>
      </c>
      <c r="N9" s="864">
        <f>SUMPRODUCT((因素修正幅度!B277:B326=I2)*(因素修正幅度!C3:G3=E2)*(因素修正幅度!C277:G326))</f>
        <v>0</v>
      </c>
      <c r="O9" s="1116"/>
      <c r="P9" s="1116"/>
      <c r="Q9" s="1116"/>
      <c r="R9" s="1209">
        <v>8</v>
      </c>
      <c r="S9" s="1210"/>
      <c r="T9" s="3358" t="e">
        <f t="shared" si="0"/>
        <v>#DIV/0!</v>
      </c>
      <c r="U9" s="1210"/>
      <c r="V9" s="3358" t="e">
        <f t="shared" si="1"/>
        <v>#DIV/0!</v>
      </c>
      <c r="W9" s="3870"/>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1975</v>
      </c>
      <c r="C10" s="170">
        <f>SUMIF(修正!C71:C138,C8,修正!F71:F138)</f>
        <v>0</v>
      </c>
      <c r="D10" s="170" t="s">
        <v>114</v>
      </c>
      <c r="E10" s="170"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t="e">
        <f t="shared" si="0"/>
        <v>#DIV/0!</v>
      </c>
      <c r="U10" s="1210"/>
      <c r="V10" s="3358" t="e">
        <f t="shared" si="1"/>
        <v>#DIV/0!</v>
      </c>
      <c r="W10" s="387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8" thickBot="1">
      <c r="A12" s="3301" t="s">
        <v>3238</v>
      </c>
      <c r="B12" s="3302" t="s">
        <v>3239</v>
      </c>
      <c r="C12" s="3303"/>
      <c r="D12" s="3304" t="s">
        <v>3240</v>
      </c>
      <c r="E12" s="3305" t="s">
        <v>3241</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24.6" thickBot="1">
      <c r="A13" s="3301" t="s">
        <v>3242</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24">
      <c r="A14" s="3295"/>
      <c r="B14" s="2037" t="s">
        <v>1984</v>
      </c>
      <c r="C14" s="2038" t="s">
        <v>1985</v>
      </c>
      <c r="D14" s="1347" t="s">
        <v>1986</v>
      </c>
      <c r="E14" s="27" t="s">
        <v>1987</v>
      </c>
      <c r="F14" s="3309" t="s">
        <v>3243</v>
      </c>
      <c r="G14" s="3309" t="s">
        <v>3243</v>
      </c>
      <c r="H14" s="3309" t="s">
        <v>3243</v>
      </c>
      <c r="I14" s="3309" t="s">
        <v>3243</v>
      </c>
      <c r="J14" s="3309" t="s">
        <v>3243</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3244</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6"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ht="24">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3.8">
      <c r="A18" s="3330"/>
      <c r="B18" s="3007"/>
      <c r="C18" s="3325"/>
      <c r="D18" s="3320" t="s">
        <v>3248</v>
      </c>
      <c r="E18" s="3326"/>
      <c r="F18" s="3321" t="s">
        <v>3251</v>
      </c>
      <c r="G18" s="3325">
        <f>ROUND(1-(1/(POWER(1+G24,E18))),4)</f>
        <v>0</v>
      </c>
      <c r="H18" s="3321" t="s">
        <v>3253</v>
      </c>
      <c r="I18" s="3325">
        <f>ROUND(1-(1/(POWER(1+G24,J24))),4)</f>
        <v>0</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4.4" thickBot="1">
      <c r="A19" s="3332"/>
      <c r="B19" s="3333"/>
      <c r="C19" s="3334"/>
      <c r="D19" s="3334" t="s">
        <v>3249</v>
      </c>
      <c r="E19" s="3335"/>
      <c r="F19" s="3336" t="s">
        <v>3252</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3.8">
      <c r="A20" s="3875" t="s">
        <v>3254</v>
      </c>
      <c r="B20" s="166" t="s">
        <v>1993</v>
      </c>
      <c r="C20" s="3322" t="e">
        <f>ROUND(IF(F21="与级别开发程度一致",0,(G21-E21)/C21),0)</f>
        <v>#DIV/0!</v>
      </c>
      <c r="D20" s="3338" t="s">
        <v>1997</v>
      </c>
      <c r="E20" s="3339"/>
      <c r="F20" s="3881" t="s">
        <v>1994</v>
      </c>
      <c r="G20" s="3882"/>
      <c r="H20" s="3323"/>
      <c r="I20" s="3323"/>
      <c r="J20" s="3324"/>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14.4" thickBot="1">
      <c r="A21" s="3876"/>
      <c r="B21" s="2161" t="s">
        <v>1996</v>
      </c>
      <c r="C21" s="2162">
        <f>IF(E3="M4科研用地",SUMPRODUCT((修正!A2:A7=E3)*(修正!B1:M1=G2)*(修正!B2:M7)),SUMPRODUCT((修正!A2:A7=E2)*(修正!B1:M1=G2)*(修正!B2:M7)))</f>
        <v>0</v>
      </c>
      <c r="D21" s="186"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 thickBot="1">
      <c r="A22" s="2155" t="s">
        <v>363</v>
      </c>
      <c r="B22" s="2156" t="s">
        <v>1999</v>
      </c>
      <c r="C22" s="2157">
        <f>SUMIF(修正!C20:C51,E3,修正!E20:E51)</f>
        <v>0</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7" thickBot="1">
      <c r="A23" s="2047" t="s">
        <v>364</v>
      </c>
      <c r="B23" s="2048" t="s">
        <v>2000</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1" t="s">
        <v>2001</v>
      </c>
      <c r="E23" s="759">
        <v>44197</v>
      </c>
      <c r="F23" s="2051" t="s">
        <v>2002</v>
      </c>
      <c r="G23" s="760">
        <f>'数据-取费表'!B2</f>
        <v>45511</v>
      </c>
      <c r="H23" s="3340" t="s">
        <v>3256</v>
      </c>
      <c r="I23" s="3341" t="str">
        <f>IF(H23="季度增幅（自定义）",SUMIF(N25:N28,E2,O25:O28),"")</f>
        <v/>
      </c>
      <c r="J23" s="3443" t="s">
        <v>3255</v>
      </c>
      <c r="K23" s="1122"/>
      <c r="L23" s="2052" t="s">
        <v>2003</v>
      </c>
      <c r="M23" s="1325">
        <f>ROUND(SUMIF(地价!B2:G2,E2,地价!B16:G16),0)</f>
        <v>0</v>
      </c>
      <c r="N23" s="2053" t="s">
        <v>2004</v>
      </c>
      <c r="O23" s="761">
        <f>ROUNDDOWN(DATEDIF(E23,G23,"M")/3,0)</f>
        <v>14</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6" thickBot="1">
      <c r="A24" s="2055" t="s">
        <v>365</v>
      </c>
      <c r="B24" s="2056" t="s">
        <v>2005</v>
      </c>
      <c r="C24" s="762" t="e">
        <f>ROUND(POWER(1+G24,J24-I24)*(POWER(1+G24,I24)-1)/(POWER(1+G24,J24)-1),4)</f>
        <v>#DIV/0!</v>
      </c>
      <c r="D24" s="2057" t="s">
        <v>2006</v>
      </c>
      <c r="E24" s="1332">
        <f>存贷款利率!E26/100</f>
        <v>4.3499999999999997E-2</v>
      </c>
      <c r="F24" s="2057" t="s">
        <v>1998</v>
      </c>
      <c r="G24" s="766">
        <f>SUMIF(M30:Q30,E2,M33:Q33)</f>
        <v>0</v>
      </c>
      <c r="H24" s="2057" t="s">
        <v>2007</v>
      </c>
      <c r="I24" s="767" t="e">
        <f>SUMIF('数据-取费表'!C6:C15,E2,'数据-取费表'!F6:F15)/COUNTIF('数据-取费表'!C6:C15,E2)</f>
        <v>#DIV/0!</v>
      </c>
      <c r="J24" s="768">
        <f>IF(E2="住宅",70,IF(E2="商业",40,50))</f>
        <v>50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4.4">
      <c r="A25" s="2062" t="s">
        <v>366</v>
      </c>
      <c r="B25" s="2063" t="s">
        <v>3335</v>
      </c>
      <c r="C25" s="769">
        <f>IF(B25="容积率修正",IF(G3&lt;10,D26,J26),C27)</f>
        <v>0</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4">
      <c r="A26" s="1952" t="s">
        <v>2013</v>
      </c>
      <c r="B26" s="2067" t="s">
        <v>2014</v>
      </c>
      <c r="C26" s="3342" t="s">
        <v>3257</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 thickBot="1">
      <c r="A27" s="1952" t="s">
        <v>2016</v>
      </c>
      <c r="B27" s="2068" t="s">
        <v>2017</v>
      </c>
      <c r="C27" s="839">
        <f>ROUND(IF(I3&lt;6,SUMPRODUCT((B106:B110=I3)*(C105:N105=G2)*(C106:N110)),SUMIF(C105:N105,G2,C112:N112)),4)</f>
        <v>0</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 thickBot="1">
      <c r="A28" s="2055" t="s">
        <v>367</v>
      </c>
      <c r="B28" s="2048" t="s">
        <v>2019</v>
      </c>
      <c r="C28" s="758">
        <f>SUMIF(A47:A101,E2,B47:B101)</f>
        <v>0</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4.4">
      <c r="A30" s="2079"/>
      <c r="B30" s="2067" t="s">
        <v>2023</v>
      </c>
      <c r="C30" s="2318" t="e">
        <f>IF(B25="容积率修正",E33+SUM(E37:E42),SUM(V2:V16)+SUM(E37:E42))</f>
        <v>#DIV/0!</v>
      </c>
      <c r="D30" s="2080"/>
      <c r="E30" s="2043"/>
      <c r="F30" s="2081"/>
      <c r="G30" s="2043"/>
      <c r="H30" s="2043"/>
      <c r="I30" s="2043"/>
      <c r="J30" s="2082"/>
      <c r="K30" s="1116"/>
      <c r="L30" s="3348" t="s">
        <v>1935</v>
      </c>
      <c r="M30" s="3349" t="s">
        <v>1989</v>
      </c>
      <c r="N30" s="3349" t="s">
        <v>1990</v>
      </c>
      <c r="O30" s="3349" t="s">
        <v>1991</v>
      </c>
      <c r="P30" s="3349" t="s">
        <v>1992</v>
      </c>
      <c r="Q30" s="3352" t="s">
        <v>3262</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 thickBot="1">
      <c r="A31" s="2079"/>
      <c r="B31" s="2083" t="s">
        <v>2024</v>
      </c>
      <c r="C31" s="764" t="e">
        <f>E34+SUM(I37:I42)</f>
        <v>#DIV/0!</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3.8">
      <c r="A33" s="2093"/>
      <c r="B33" s="2094" t="s">
        <v>2029</v>
      </c>
      <c r="C33" s="174" t="e">
        <f>ROUND(C5*C22*C23*C24*C25*C28,0)</f>
        <v>#DIV/0!</v>
      </c>
      <c r="D33" s="2095"/>
      <c r="E33" s="771" t="e">
        <f>ROUND(C33*D33/10000,0)</f>
        <v>#DIV/0!</v>
      </c>
      <c r="F33" s="3343" t="s">
        <v>3260</v>
      </c>
      <c r="G33" s="2096"/>
      <c r="H33" s="2096"/>
      <c r="I33" s="2096"/>
      <c r="J33" s="2097"/>
      <c r="K33" s="1116"/>
      <c r="L33" s="3346" t="s">
        <v>3263</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8" thickBot="1">
      <c r="A34" s="2098"/>
      <c r="B34" s="2099" t="s">
        <v>2030</v>
      </c>
      <c r="C34" s="186" t="e">
        <f>ROUND(IF(E2="工业",C33*M42,IF(B25="楼层修正",SUM(V2:V16)*M41*10000/D34,C33*M41)),0)</f>
        <v>#DIV/0!</v>
      </c>
      <c r="D34" s="2100"/>
      <c r="E34" s="771" t="e">
        <f>ROUND(IF(B25="楼层修正",SUM(V2:V16)*M40,C34*D34/10000),0)</f>
        <v>#DIV/0!</v>
      </c>
      <c r="F34" s="2101" t="s">
        <v>2031</v>
      </c>
      <c r="G34" s="2102"/>
      <c r="H34" s="2102"/>
      <c r="I34" s="2102"/>
      <c r="J34" s="2103"/>
      <c r="K34" s="1116"/>
      <c r="L34" s="3346" t="s">
        <v>3264</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3261</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36.6" thickBot="1">
      <c r="A36" s="2093"/>
      <c r="B36" s="2108"/>
      <c r="C36" s="449" t="s">
        <v>2026</v>
      </c>
      <c r="D36" s="446" t="s">
        <v>2027</v>
      </c>
      <c r="E36" s="446" t="s">
        <v>2028</v>
      </c>
      <c r="F36" s="341" t="s">
        <v>2034</v>
      </c>
      <c r="G36" s="2109" t="s">
        <v>2026</v>
      </c>
      <c r="H36" s="2109" t="s">
        <v>2027</v>
      </c>
      <c r="I36" s="2109" t="s">
        <v>2028</v>
      </c>
      <c r="J36" s="242"/>
      <c r="K36" s="3354" t="s">
        <v>3265</v>
      </c>
      <c r="L36" s="3444">
        <f ca="1">'数据-取费表'!B40</f>
        <v>3.5799999999999998E-2</v>
      </c>
      <c r="M36" s="3355">
        <f ca="1">ROUND($L$36*(1+M31),3)</f>
        <v>4.4999999999999998E-2</v>
      </c>
      <c r="N36" s="3355">
        <f ca="1">ROUND($L$36*(1+N31),3)</f>
        <v>4.2999999999999997E-2</v>
      </c>
      <c r="O36" s="3355">
        <f ca="1">ROUND($L$36*(1+O31),3)</f>
        <v>4.1000000000000002E-2</v>
      </c>
      <c r="P36" s="3355">
        <f ca="1">ROUND($L$36*(1+P31),3)</f>
        <v>3.9E-2</v>
      </c>
      <c r="Q36" s="3355">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6" thickBot="1">
      <c r="A37" s="3879"/>
      <c r="B37" s="2110" t="s">
        <v>2035</v>
      </c>
      <c r="C37" s="174" t="e">
        <f>ROUND(D5*C22*C23*C24*C28*F37,0)</f>
        <v>#DIV/0!</v>
      </c>
      <c r="D37" s="2095"/>
      <c r="E37" s="170" t="e">
        <f t="shared" ref="E37:E42" si="3">ROUND(C37*D37/10000,0)</f>
        <v>#DIV/0!</v>
      </c>
      <c r="F37" s="170">
        <f>SUMIF(修正!A57:A68,G2,修正!B57:B68)</f>
        <v>0</v>
      </c>
      <c r="G37" s="170" t="e">
        <f>ROUND(IF(E2="工业",C37*$M$42,C37*$M$41),0)</f>
        <v>#DIV/0!</v>
      </c>
      <c r="H37" s="170">
        <f t="shared" ref="H37:H42" si="4">D37</f>
        <v>0</v>
      </c>
      <c r="I37" s="170" t="e">
        <f t="shared" ref="I37:I42" si="5">ROUND(G37*H37/10000,0)</f>
        <v>#DIV/0!</v>
      </c>
      <c r="J37" s="3009"/>
      <c r="K37" s="3356" t="s">
        <v>3266</v>
      </c>
      <c r="L37" s="3354">
        <f ca="1">L36+K38</f>
        <v>4.0799999999999996E-2</v>
      </c>
      <c r="M37" s="3355">
        <f ca="1">ROUND($L$37*(1+M31),3)</f>
        <v>5.0999999999999997E-2</v>
      </c>
      <c r="N37" s="3355">
        <f ca="1">ROUND($L$37*(1+N31),3)</f>
        <v>4.9000000000000002E-2</v>
      </c>
      <c r="O37" s="3355">
        <f ca="1">ROUND($L$37*(1+O31),3)</f>
        <v>4.7E-2</v>
      </c>
      <c r="P37" s="3355">
        <f ca="1">ROUND($L$37*(1+P31),3)</f>
        <v>4.4999999999999998E-2</v>
      </c>
      <c r="Q37" s="3355">
        <f ca="1">ROUND($L$37*(1+Q31),3)</f>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80"/>
      <c r="B38" s="2038" t="s">
        <v>2036</v>
      </c>
      <c r="C38" s="174" t="e">
        <f>ROUND(D5*C22*C23*C24*C28*F38,0)</f>
        <v>#DIV/0!</v>
      </c>
      <c r="D38" s="2095"/>
      <c r="E38" s="170" t="e">
        <f t="shared" si="3"/>
        <v>#DIV/0!</v>
      </c>
      <c r="F38" s="170">
        <f>SUMIF(修正!A57:A68,G2,修正!C57:C68)</f>
        <v>0</v>
      </c>
      <c r="G38" s="170" t="e">
        <f>ROUND(IF(E2="工业",C38*$M$42,C38*$M$41),0)</f>
        <v>#DIV/0!</v>
      </c>
      <c r="H38" s="170">
        <f t="shared" si="4"/>
        <v>0</v>
      </c>
      <c r="I38" s="170" t="e">
        <f t="shared" si="5"/>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8" thickBot="1">
      <c r="A39" s="3880"/>
      <c r="B39" s="2038" t="s">
        <v>3259</v>
      </c>
      <c r="C39" s="174" t="e">
        <f>ROUND(D5*C22*C23*C24*C28*F39,0)</f>
        <v>#DIV/0!</v>
      </c>
      <c r="D39" s="2095"/>
      <c r="E39" s="170" t="e">
        <f t="shared" si="3"/>
        <v>#DIV/0!</v>
      </c>
      <c r="F39" s="170">
        <f>SUMIF(修正!A57:A68,G2,修正!D57:D68)</f>
        <v>0</v>
      </c>
      <c r="G39" s="170" t="e">
        <f>ROUND(IF(E2="工业",C39*$M$42,C39*$M$41),0)</f>
        <v>#DIV/0!</v>
      </c>
      <c r="H39" s="170">
        <f t="shared" si="4"/>
        <v>0</v>
      </c>
      <c r="I39" s="170" t="e">
        <f t="shared" si="5"/>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0" t="e">
        <f>ROUND(D5*C22*C23*C24*C28*F40,0)</f>
        <v>#DIV/0!</v>
      </c>
      <c r="D40" s="2095"/>
      <c r="E40" s="170" t="e">
        <f t="shared" si="3"/>
        <v>#DIV/0!</v>
      </c>
      <c r="F40" s="174">
        <f>SUMIF(修正!A57:A68,G2,修正!E57:E68)</f>
        <v>0</v>
      </c>
      <c r="G40" s="170" t="e">
        <f>ROUND(IF(E2="工业",C40*$M$42,C40*$M$41),0)</f>
        <v>#DIV/0!</v>
      </c>
      <c r="H40" s="170">
        <f t="shared" si="4"/>
        <v>0</v>
      </c>
      <c r="I40" s="170" t="e">
        <f t="shared" si="5"/>
        <v>#DIV/0!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0" t="e">
        <f>ROUND(D5*C22*C23*C44*C28*F41,0)</f>
        <v>#DIV/0!</v>
      </c>
      <c r="D41" s="2095"/>
      <c r="E41" s="170" t="e">
        <f t="shared" si="3"/>
        <v>#DIV/0!</v>
      </c>
      <c r="F41" s="174">
        <f>SUMIF(修正!A57:A68,G2,修正!F57:F68)</f>
        <v>0</v>
      </c>
      <c r="G41" s="170" t="e">
        <f>ROUND(IF(E2="工业",C41*$M$42,C41*$M$41),0)</f>
        <v>#DIV/0!</v>
      </c>
      <c r="H41" s="170">
        <f t="shared" si="4"/>
        <v>0</v>
      </c>
      <c r="I41" s="170" t="e">
        <f t="shared" si="5"/>
        <v>#DIV/0!</v>
      </c>
      <c r="J41" s="2111"/>
      <c r="L41" s="3357" t="s">
        <v>3267</v>
      </c>
      <c r="M41" s="2115">
        <v>0.25</v>
      </c>
      <c r="Z41" s="1117"/>
      <c r="AA41" s="1117"/>
      <c r="AB41" s="1117"/>
      <c r="AC41" s="1117"/>
      <c r="AD41" s="1117"/>
      <c r="AE41" s="1117"/>
      <c r="AF41" s="1117"/>
      <c r="AG41" s="1117"/>
      <c r="AH41" s="1117"/>
      <c r="AI41" s="1117"/>
      <c r="AJ41" s="1117"/>
    </row>
    <row r="42" spans="1:37" s="1116" customFormat="1" ht="13.8" thickBot="1">
      <c r="A42" s="2098"/>
      <c r="B42" s="2116" t="s">
        <v>2040</v>
      </c>
      <c r="C42" s="186" t="e">
        <f>ROUND(D5*C22*C23*C44*C28*F42,0)</f>
        <v>#DIV/0!</v>
      </c>
      <c r="D42" s="2100"/>
      <c r="E42" s="186" t="e">
        <f t="shared" si="3"/>
        <v>#DIV/0!</v>
      </c>
      <c r="F42" s="765">
        <f>SUMIF(修正!A57:A68,G2,修正!G57:G68)</f>
        <v>0</v>
      </c>
      <c r="G42" s="186" t="e">
        <f>ROUND(IF(E2="工业",C42*$M$42,C42*$M$41),0)</f>
        <v>#DIV/0!</v>
      </c>
      <c r="H42" s="186">
        <f t="shared" si="4"/>
        <v>0</v>
      </c>
      <c r="I42" s="186" t="e">
        <f t="shared" si="5"/>
        <v>#DIV/0!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ht="24">
      <c r="A44" s="1117"/>
      <c r="B44" s="2151" t="s">
        <v>2121</v>
      </c>
      <c r="C44" s="341" t="e">
        <f>ROUND(POWER(1+E44,H44-G44)*(POWER(1+E44,G44)-1)/(POWER(1+E44,H44)-1),4)</f>
        <v>#DIV/0!</v>
      </c>
      <c r="D44" s="170" t="s">
        <v>1998</v>
      </c>
      <c r="E44" s="2150">
        <f>G24</f>
        <v>0</v>
      </c>
      <c r="F44" s="170" t="s">
        <v>2007</v>
      </c>
      <c r="G44" s="182"/>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4.4">
      <c r="A48" s="2123" t="s">
        <v>2042</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5.2">
      <c r="A49" s="2127" t="s">
        <v>2043</v>
      </c>
      <c r="B49" s="1348" t="s">
        <v>2044</v>
      </c>
      <c r="C49" s="1348" t="s">
        <v>2045</v>
      </c>
      <c r="D49" s="1348" t="s">
        <v>2046</v>
      </c>
      <c r="E49" s="741" t="s">
        <v>2047</v>
      </c>
      <c r="F49" s="2128" t="s">
        <v>2048</v>
      </c>
      <c r="G49" s="1348" t="s">
        <v>310</v>
      </c>
      <c r="H49" s="2129" t="s">
        <v>2049</v>
      </c>
      <c r="I49" s="1348" t="s">
        <v>2050</v>
      </c>
      <c r="J49" s="551" t="s">
        <v>1720</v>
      </c>
      <c r="K49" s="551" t="s">
        <v>1721</v>
      </c>
      <c r="L49" s="551" t="s">
        <v>1722</v>
      </c>
      <c r="M49" s="551" t="s">
        <v>1723</v>
      </c>
      <c r="N49" s="551" t="s">
        <v>1724</v>
      </c>
      <c r="AA49" s="1117"/>
      <c r="AB49" s="1117"/>
      <c r="AC49" s="1117"/>
      <c r="AD49" s="1117"/>
      <c r="AE49" s="1117"/>
      <c r="AF49" s="1117"/>
      <c r="AG49" s="1117"/>
      <c r="AH49" s="1117"/>
      <c r="AI49" s="1117"/>
      <c r="AJ49" s="1117"/>
      <c r="AK49" s="1117"/>
    </row>
    <row r="50" spans="1:37" s="1116" customFormat="1" ht="39.6">
      <c r="A50" s="2127" t="s">
        <v>2051</v>
      </c>
      <c r="B50" s="2130" t="str">
        <f>估价对象房地状况!C4</f>
        <v>估价对象位于XX商圈，周边商业氛围成熟，人流量大，商业繁华度好</v>
      </c>
      <c r="C50" s="2041"/>
      <c r="D50" s="1062">
        <f t="shared" ref="D50:D58" si="6">SUMIF($J$49:$N$49,C50,J50:N50)</f>
        <v>0</v>
      </c>
      <c r="E50" s="742">
        <f>ROUND(SUM(D50:D58),4)</f>
        <v>0</v>
      </c>
      <c r="F50" s="1811" t="str">
        <f>IF(E2="商业",SUMIF(L1:L12,G2,N1:N12),"——")</f>
        <v>——</v>
      </c>
      <c r="G50" s="1060"/>
      <c r="H50" s="1063" t="str">
        <f t="shared" ref="H50:H58" si="7">IFERROR(ROUNDDOWN($F$50*I50/2,4),"——")</f>
        <v>——</v>
      </c>
      <c r="I50" s="3364">
        <v>0.3</v>
      </c>
      <c r="J50" s="1061">
        <f t="shared" ref="J50:J58" si="8">K50+$G50</f>
        <v>0</v>
      </c>
      <c r="K50" s="1061">
        <f t="shared" ref="K50:K58" si="9">$L50+$G50</f>
        <v>0</v>
      </c>
      <c r="L50" s="1061">
        <v>0</v>
      </c>
      <c r="M50" s="1061">
        <f t="shared" ref="M50:N58" si="10">L50-$G50</f>
        <v>0</v>
      </c>
      <c r="N50" s="1061">
        <f t="shared" si="10"/>
        <v>0</v>
      </c>
      <c r="AA50" s="1117"/>
      <c r="AB50" s="1117"/>
      <c r="AC50" s="1117"/>
      <c r="AD50" s="1117"/>
      <c r="AE50" s="1117"/>
      <c r="AF50" s="1117"/>
      <c r="AG50" s="1117"/>
      <c r="AH50" s="1117"/>
      <c r="AI50" s="1117"/>
      <c r="AJ50" s="1117"/>
      <c r="AK50" s="1117"/>
    </row>
    <row r="51" spans="1:37" s="1116" customFormat="1" ht="52.8">
      <c r="A51" s="2127" t="s">
        <v>2052</v>
      </c>
      <c r="B51" s="2131" t="str">
        <f>估价对象房地状况!C18</f>
        <v>估价对象周边道路状况、公共交通通达情况、停车便捷程度，综合评价交通便捷度较好</v>
      </c>
      <c r="C51" s="2041"/>
      <c r="D51" s="1062">
        <f t="shared" si="6"/>
        <v>0</v>
      </c>
      <c r="E51" s="743"/>
      <c r="F51" s="1811"/>
      <c r="G51" s="1060"/>
      <c r="H51" s="1063" t="str">
        <f t="shared" si="7"/>
        <v>——</v>
      </c>
      <c r="I51" s="3364">
        <v>0.22</v>
      </c>
      <c r="J51" s="1061">
        <f t="shared" si="8"/>
        <v>0</v>
      </c>
      <c r="K51" s="1061">
        <f t="shared" si="9"/>
        <v>0</v>
      </c>
      <c r="L51" s="1061">
        <v>0</v>
      </c>
      <c r="M51" s="1061">
        <f t="shared" si="10"/>
        <v>0</v>
      </c>
      <c r="N51" s="1061">
        <f t="shared" si="10"/>
        <v>0</v>
      </c>
      <c r="AA51" s="1117"/>
      <c r="AB51" s="1117"/>
      <c r="AC51" s="1117"/>
      <c r="AD51" s="1117"/>
      <c r="AE51" s="1117"/>
      <c r="AF51" s="1117"/>
      <c r="AG51" s="1117"/>
      <c r="AH51" s="1117"/>
      <c r="AI51" s="1117"/>
      <c r="AJ51" s="1117"/>
      <c r="AK51" s="1117"/>
    </row>
    <row r="52" spans="1:37" s="1116" customFormat="1" ht="48">
      <c r="A52" s="3366" t="s">
        <v>3269</v>
      </c>
      <c r="B52" s="2131">
        <f>估价对象房地状况!C19</f>
        <v>0</v>
      </c>
      <c r="C52" s="2041"/>
      <c r="D52" s="1062">
        <f t="shared" si="6"/>
        <v>0</v>
      </c>
      <c r="E52" s="743"/>
      <c r="F52" s="1811"/>
      <c r="G52" s="1060"/>
      <c r="H52" s="1063" t="str">
        <f t="shared" si="7"/>
        <v>——</v>
      </c>
      <c r="I52" s="3364">
        <v>0.12</v>
      </c>
      <c r="J52" s="1061">
        <f t="shared" si="8"/>
        <v>0</v>
      </c>
      <c r="K52" s="1061">
        <f t="shared" si="9"/>
        <v>0</v>
      </c>
      <c r="L52" s="1061">
        <v>0</v>
      </c>
      <c r="M52" s="1061">
        <f t="shared" si="10"/>
        <v>0</v>
      </c>
      <c r="N52" s="1061">
        <f t="shared" si="10"/>
        <v>0</v>
      </c>
      <c r="AA52" s="1117"/>
      <c r="AB52" s="1117"/>
      <c r="AC52" s="1117"/>
      <c r="AD52" s="1117"/>
      <c r="AE52" s="1117"/>
      <c r="AF52" s="1117"/>
      <c r="AG52" s="1117"/>
      <c r="AH52" s="1117"/>
      <c r="AI52" s="1117"/>
      <c r="AJ52" s="1117"/>
      <c r="AK52" s="1117"/>
    </row>
    <row r="53" spans="1:37" s="1116" customFormat="1" ht="37.200000000000003">
      <c r="A53" s="2127" t="s">
        <v>2053</v>
      </c>
      <c r="B53" s="2132" t="s">
        <v>2054</v>
      </c>
      <c r="C53" s="2041"/>
      <c r="D53" s="1062">
        <f t="shared" si="6"/>
        <v>0</v>
      </c>
      <c r="E53" s="743"/>
      <c r="F53" s="1811"/>
      <c r="G53" s="1060"/>
      <c r="H53" s="1063" t="str">
        <f t="shared" si="7"/>
        <v>——</v>
      </c>
      <c r="I53" s="3364">
        <v>0.05</v>
      </c>
      <c r="J53" s="1061">
        <f t="shared" si="8"/>
        <v>0</v>
      </c>
      <c r="K53" s="1061">
        <f t="shared" si="9"/>
        <v>0</v>
      </c>
      <c r="L53" s="1061">
        <v>0</v>
      </c>
      <c r="M53" s="1061">
        <f t="shared" si="10"/>
        <v>0</v>
      </c>
      <c r="N53" s="1061">
        <f t="shared" si="10"/>
        <v>0</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c r="D54" s="1062">
        <f t="shared" si="6"/>
        <v>0</v>
      </c>
      <c r="E54" s="743"/>
      <c r="F54" s="1811"/>
      <c r="G54" s="1060"/>
      <c r="H54" s="1063" t="str">
        <f t="shared" si="7"/>
        <v>——</v>
      </c>
      <c r="I54" s="3364">
        <v>0.08</v>
      </c>
      <c r="J54" s="1061">
        <f t="shared" si="8"/>
        <v>0</v>
      </c>
      <c r="K54" s="1061">
        <f t="shared" si="9"/>
        <v>0</v>
      </c>
      <c r="L54" s="1061">
        <v>0</v>
      </c>
      <c r="M54" s="1061">
        <f t="shared" si="10"/>
        <v>0</v>
      </c>
      <c r="N54" s="1061">
        <f t="shared" si="10"/>
        <v>0</v>
      </c>
      <c r="AA54" s="1117"/>
      <c r="AB54" s="1117"/>
      <c r="AC54" s="1117"/>
      <c r="AD54" s="1117"/>
      <c r="AE54" s="1117"/>
      <c r="AF54" s="1117"/>
      <c r="AG54" s="1117"/>
      <c r="AH54" s="1117"/>
      <c r="AI54" s="1117"/>
      <c r="AJ54" s="1117"/>
      <c r="AK54" s="1117"/>
    </row>
    <row r="55" spans="1:37" s="1116" customFormat="1" ht="36">
      <c r="A55" s="2127" t="s">
        <v>2056</v>
      </c>
      <c r="B55" s="2133" t="s">
        <v>2057</v>
      </c>
      <c r="C55" s="2041"/>
      <c r="D55" s="1062">
        <f t="shared" si="6"/>
        <v>0</v>
      </c>
      <c r="E55" s="743"/>
      <c r="F55" s="1811"/>
      <c r="G55" s="1060"/>
      <c r="H55" s="1063" t="str">
        <f t="shared" si="7"/>
        <v>——</v>
      </c>
      <c r="I55" s="3364">
        <v>0.05</v>
      </c>
      <c r="J55" s="1061">
        <f t="shared" si="8"/>
        <v>0</v>
      </c>
      <c r="K55" s="1061">
        <f t="shared" si="9"/>
        <v>0</v>
      </c>
      <c r="L55" s="1061">
        <v>0</v>
      </c>
      <c r="M55" s="1061">
        <f t="shared" si="10"/>
        <v>0</v>
      </c>
      <c r="N55" s="1061">
        <f t="shared" si="10"/>
        <v>0</v>
      </c>
      <c r="AA55" s="1117"/>
      <c r="AB55" s="1117"/>
      <c r="AC55" s="1117"/>
      <c r="AD55" s="1117"/>
      <c r="AE55" s="1117"/>
      <c r="AF55" s="1117"/>
      <c r="AG55" s="1117"/>
      <c r="AH55" s="1117"/>
      <c r="AI55" s="1117"/>
      <c r="AJ55" s="1117"/>
      <c r="AK55" s="1117"/>
    </row>
    <row r="56" spans="1:37" s="1116" customFormat="1" ht="26.4">
      <c r="A56" s="2134" t="s">
        <v>2058</v>
      </c>
      <c r="B56" s="1323" t="str">
        <f>估价对象房地状况!C21</f>
        <v>估价对象所在区域公共配套设施齐备情况</v>
      </c>
      <c r="C56" s="2041"/>
      <c r="D56" s="1062">
        <f t="shared" si="6"/>
        <v>0</v>
      </c>
      <c r="E56" s="743"/>
      <c r="F56" s="1811"/>
      <c r="G56" s="1060"/>
      <c r="H56" s="1063" t="str">
        <f t="shared" si="7"/>
        <v>——</v>
      </c>
      <c r="I56" s="3364">
        <v>0.05</v>
      </c>
      <c r="J56" s="1061">
        <f t="shared" si="8"/>
        <v>0</v>
      </c>
      <c r="K56" s="1061">
        <f t="shared" si="9"/>
        <v>0</v>
      </c>
      <c r="L56" s="1061">
        <v>0</v>
      </c>
      <c r="M56" s="1061">
        <f t="shared" si="10"/>
        <v>0</v>
      </c>
      <c r="N56" s="1061">
        <f t="shared" si="10"/>
        <v>0</v>
      </c>
      <c r="AA56" s="1117"/>
      <c r="AB56" s="1117"/>
      <c r="AC56" s="1117"/>
      <c r="AD56" s="1117"/>
      <c r="AE56" s="1117"/>
      <c r="AF56" s="1117"/>
      <c r="AG56" s="1117"/>
      <c r="AH56" s="1117"/>
      <c r="AI56" s="1117"/>
      <c r="AJ56" s="1117"/>
      <c r="AK56" s="1117"/>
    </row>
    <row r="57" spans="1:37" s="1116" customFormat="1" ht="26.4">
      <c r="A57" s="2134" t="s">
        <v>2059</v>
      </c>
      <c r="B57" s="2131" t="str">
        <f>估价对象房地状况!C22</f>
        <v>估价对象所在区域基础设施水平</v>
      </c>
      <c r="C57" s="2041"/>
      <c r="D57" s="1062">
        <f t="shared" si="6"/>
        <v>0</v>
      </c>
      <c r="E57" s="743"/>
      <c r="F57" s="1811"/>
      <c r="G57" s="1060"/>
      <c r="H57" s="1063" t="str">
        <f t="shared" si="7"/>
        <v>——</v>
      </c>
      <c r="I57" s="3364">
        <v>0.08</v>
      </c>
      <c r="J57" s="1061">
        <f t="shared" si="8"/>
        <v>0</v>
      </c>
      <c r="K57" s="1061">
        <f t="shared" si="9"/>
        <v>0</v>
      </c>
      <c r="L57" s="1061">
        <v>0</v>
      </c>
      <c r="M57" s="1061">
        <f t="shared" si="10"/>
        <v>0</v>
      </c>
      <c r="N57" s="1061">
        <f t="shared" si="10"/>
        <v>0</v>
      </c>
      <c r="AA57" s="1117"/>
      <c r="AB57" s="1117"/>
      <c r="AC57" s="1117"/>
      <c r="AD57" s="1117"/>
      <c r="AE57" s="1117"/>
      <c r="AF57" s="1117"/>
      <c r="AG57" s="1117"/>
      <c r="AH57" s="1117"/>
      <c r="AI57" s="1117"/>
      <c r="AJ57" s="1117"/>
      <c r="AK57" s="1117"/>
    </row>
    <row r="58" spans="1:37" s="1116" customFormat="1" ht="40.200000000000003" thickBot="1">
      <c r="A58" s="2135" t="s">
        <v>2060</v>
      </c>
      <c r="B58" s="2136" t="str">
        <f>估价对象房地状况!C20</f>
        <v>区域自然环境：；人文环境；综合评价环境状况一般</v>
      </c>
      <c r="C58" s="2041"/>
      <c r="D58" s="1062">
        <f t="shared" si="6"/>
        <v>0</v>
      </c>
      <c r="E58" s="744"/>
      <c r="F58" s="1811"/>
      <c r="G58" s="1060"/>
      <c r="H58" s="1063" t="str">
        <f t="shared" si="7"/>
        <v>——</v>
      </c>
      <c r="I58" s="3365">
        <v>0.05</v>
      </c>
      <c r="J58" s="1061">
        <f t="shared" si="8"/>
        <v>0</v>
      </c>
      <c r="K58" s="1061">
        <f t="shared" si="9"/>
        <v>0</v>
      </c>
      <c r="L58" s="1061">
        <v>0</v>
      </c>
      <c r="M58" s="1061">
        <f t="shared" si="10"/>
        <v>0</v>
      </c>
      <c r="N58" s="1061">
        <f t="shared" si="10"/>
        <v>0</v>
      </c>
      <c r="AA58" s="1117"/>
      <c r="AB58" s="1117"/>
      <c r="AC58" s="1117"/>
      <c r="AD58" s="1117"/>
      <c r="AE58" s="1117"/>
      <c r="AF58" s="1117"/>
      <c r="AG58" s="1117"/>
      <c r="AH58" s="1117"/>
      <c r="AI58" s="1117"/>
      <c r="AJ58" s="1117"/>
      <c r="AK58" s="1117"/>
    </row>
    <row r="59" spans="1:37" s="1116" customFormat="1" ht="14.4">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5.2">
      <c r="A60" s="2127" t="s">
        <v>2043</v>
      </c>
      <c r="B60" s="1348"/>
      <c r="C60" s="1348" t="s">
        <v>2045</v>
      </c>
      <c r="D60" s="1348" t="s">
        <v>2046</v>
      </c>
      <c r="E60" s="741" t="s">
        <v>2047</v>
      </c>
      <c r="F60" s="2128" t="s">
        <v>2062</v>
      </c>
      <c r="G60" s="1348" t="s">
        <v>310</v>
      </c>
      <c r="H60" s="2129" t="s">
        <v>2049</v>
      </c>
      <c r="I60" s="1348" t="s">
        <v>2050</v>
      </c>
      <c r="J60" s="551" t="s">
        <v>1720</v>
      </c>
      <c r="K60" s="551" t="s">
        <v>1721</v>
      </c>
      <c r="L60" s="551" t="s">
        <v>1722</v>
      </c>
      <c r="M60" s="551" t="s">
        <v>1723</v>
      </c>
      <c r="N60" s="551" t="s">
        <v>1724</v>
      </c>
      <c r="AA60" s="1117"/>
      <c r="AB60" s="1117"/>
      <c r="AC60" s="1117"/>
      <c r="AD60" s="1117"/>
      <c r="AE60" s="1117"/>
      <c r="AF60" s="1117"/>
      <c r="AG60" s="1117"/>
      <c r="AH60" s="1117"/>
      <c r="AI60" s="1117"/>
      <c r="AJ60" s="1117"/>
      <c r="AK60" s="1117"/>
    </row>
    <row r="61" spans="1:37" s="1116" customFormat="1" ht="39.6">
      <c r="A61" s="2127" t="s">
        <v>2063</v>
      </c>
      <c r="B61" s="2130" t="str">
        <f>估价对象房地状况!C17</f>
        <v>估价对象位于XX商圈，周边办公楼项目较多，入驻率高，办公集聚程度较好</v>
      </c>
      <c r="C61" s="2041"/>
      <c r="D61" s="1062">
        <f t="shared" ref="D61:D69" si="11">SUMIF($J$60:$N$60,C61,J61:N61)</f>
        <v>0</v>
      </c>
      <c r="E61" s="742">
        <f>ROUND(SUM(D61:D69),4)</f>
        <v>0</v>
      </c>
      <c r="F61" s="1811" t="str">
        <f>IF(E2="办公",SUMIF(L1:L12,G2,N1:N12),"——")</f>
        <v>——</v>
      </c>
      <c r="G61" s="1060"/>
      <c r="H61" s="1063" t="str">
        <f t="shared" ref="H61:H69" si="12">IFERROR(ROUNDDOWN($F$61*I61/2,4),"——")</f>
        <v>——</v>
      </c>
      <c r="I61" s="3364">
        <v>0.25</v>
      </c>
      <c r="J61" s="1061">
        <f t="shared" ref="J61:J69" si="13">K61+$G61</f>
        <v>0</v>
      </c>
      <c r="K61" s="1061">
        <f t="shared" ref="K61:K69" si="14">$L61+$G61</f>
        <v>0</v>
      </c>
      <c r="L61" s="1061">
        <v>0</v>
      </c>
      <c r="M61" s="1061">
        <f t="shared" ref="M61:N69" si="15">L61-$G61</f>
        <v>0</v>
      </c>
      <c r="N61" s="1061">
        <f t="shared" si="15"/>
        <v>0</v>
      </c>
      <c r="AA61" s="1117"/>
      <c r="AB61" s="1117"/>
      <c r="AC61" s="1117"/>
      <c r="AD61" s="1117"/>
      <c r="AE61" s="1117"/>
      <c r="AF61" s="1117"/>
      <c r="AG61" s="1117"/>
      <c r="AH61" s="1117"/>
      <c r="AI61" s="1117"/>
      <c r="AJ61" s="1117"/>
      <c r="AK61" s="1117"/>
    </row>
    <row r="62" spans="1:37" s="1116" customFormat="1" ht="52.8">
      <c r="A62" s="2127" t="s">
        <v>2052</v>
      </c>
      <c r="B62" s="2131" t="str">
        <f>估价对象房地状况!C18</f>
        <v>估价对象周边道路状况、公共交通通达情况、停车便捷程度，综合评价交通便捷度较好</v>
      </c>
      <c r="C62" s="2041"/>
      <c r="D62" s="1062">
        <f t="shared" si="11"/>
        <v>0</v>
      </c>
      <c r="E62" s="743"/>
      <c r="F62" s="1811"/>
      <c r="G62" s="1060"/>
      <c r="H62" s="1063" t="str">
        <f t="shared" si="12"/>
        <v>——</v>
      </c>
      <c r="I62" s="3364">
        <v>0.26</v>
      </c>
      <c r="J62" s="1061">
        <f t="shared" si="13"/>
        <v>0</v>
      </c>
      <c r="K62" s="1061">
        <f t="shared" si="14"/>
        <v>0</v>
      </c>
      <c r="L62" s="1061">
        <v>0</v>
      </c>
      <c r="M62" s="1061">
        <f t="shared" si="15"/>
        <v>0</v>
      </c>
      <c r="N62" s="1061">
        <f t="shared" si="15"/>
        <v>0</v>
      </c>
      <c r="AA62" s="1117"/>
      <c r="AB62" s="1117"/>
      <c r="AC62" s="1117"/>
      <c r="AD62" s="1117"/>
      <c r="AE62" s="1117"/>
      <c r="AF62" s="1117"/>
      <c r="AG62" s="1117"/>
      <c r="AH62" s="1117"/>
      <c r="AI62" s="1117"/>
      <c r="AJ62" s="1117"/>
      <c r="AK62" s="1117"/>
    </row>
    <row r="63" spans="1:37" s="1116" customFormat="1" ht="48">
      <c r="A63" s="3366" t="s">
        <v>3269</v>
      </c>
      <c r="B63" s="2131">
        <f>估价对象房地状况!C19</f>
        <v>0</v>
      </c>
      <c r="C63" s="2041"/>
      <c r="D63" s="1062">
        <f t="shared" si="11"/>
        <v>0</v>
      </c>
      <c r="E63" s="743"/>
      <c r="F63" s="1811"/>
      <c r="G63" s="1060"/>
      <c r="H63" s="1063" t="str">
        <f t="shared" si="12"/>
        <v>——</v>
      </c>
      <c r="I63" s="3364">
        <v>0.11</v>
      </c>
      <c r="J63" s="1061">
        <f t="shared" si="13"/>
        <v>0</v>
      </c>
      <c r="K63" s="1061">
        <f t="shared" si="14"/>
        <v>0</v>
      </c>
      <c r="L63" s="1061">
        <v>0</v>
      </c>
      <c r="M63" s="1061">
        <f t="shared" si="15"/>
        <v>0</v>
      </c>
      <c r="N63" s="1061">
        <f t="shared" si="15"/>
        <v>0</v>
      </c>
      <c r="AA63" s="1117"/>
      <c r="AB63" s="1117"/>
      <c r="AC63" s="1117"/>
      <c r="AD63" s="1117"/>
      <c r="AE63" s="1117"/>
      <c r="AF63" s="1117"/>
      <c r="AG63" s="1117"/>
      <c r="AH63" s="1117"/>
      <c r="AI63" s="1117"/>
      <c r="AJ63" s="1117"/>
      <c r="AK63" s="1117"/>
    </row>
    <row r="64" spans="1:37" s="1116" customFormat="1" ht="37.200000000000003">
      <c r="A64" s="2127" t="s">
        <v>2053</v>
      </c>
      <c r="B64" s="2132" t="s">
        <v>2054</v>
      </c>
      <c r="C64" s="2041"/>
      <c r="D64" s="1062">
        <f t="shared" si="11"/>
        <v>0</v>
      </c>
      <c r="E64" s="743"/>
      <c r="F64" s="1811"/>
      <c r="G64" s="1060"/>
      <c r="H64" s="1063" t="str">
        <f t="shared" si="12"/>
        <v>——</v>
      </c>
      <c r="I64" s="3364">
        <v>0.05</v>
      </c>
      <c r="J64" s="1061">
        <f t="shared" si="13"/>
        <v>0</v>
      </c>
      <c r="K64" s="1061">
        <f t="shared" si="14"/>
        <v>0</v>
      </c>
      <c r="L64" s="1061">
        <v>0</v>
      </c>
      <c r="M64" s="1061">
        <f t="shared" si="15"/>
        <v>0</v>
      </c>
      <c r="N64" s="1061">
        <f t="shared" si="15"/>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1"/>
        <v>0</v>
      </c>
      <c r="E65" s="743"/>
      <c r="F65" s="1811"/>
      <c r="G65" s="1060"/>
      <c r="H65" s="1063" t="str">
        <f t="shared" si="12"/>
        <v>——</v>
      </c>
      <c r="I65" s="3364">
        <v>0.05</v>
      </c>
      <c r="J65" s="1061">
        <f t="shared" si="13"/>
        <v>0</v>
      </c>
      <c r="K65" s="1061">
        <f t="shared" si="14"/>
        <v>0</v>
      </c>
      <c r="L65" s="1061">
        <v>0</v>
      </c>
      <c r="M65" s="1061">
        <f t="shared" si="15"/>
        <v>0</v>
      </c>
      <c r="N65" s="1061">
        <f t="shared" si="15"/>
        <v>0</v>
      </c>
      <c r="AA65" s="1117"/>
      <c r="AB65" s="1117"/>
      <c r="AC65" s="1117"/>
      <c r="AD65" s="1117"/>
      <c r="AE65" s="1117"/>
      <c r="AF65" s="1117"/>
      <c r="AG65" s="1117"/>
      <c r="AH65" s="1117"/>
      <c r="AI65" s="1117"/>
      <c r="AJ65" s="1117"/>
      <c r="AK65" s="1117"/>
    </row>
    <row r="66" spans="1:37" s="1116" customFormat="1" ht="36">
      <c r="A66" s="2127" t="s">
        <v>2056</v>
      </c>
      <c r="B66" s="2133" t="s">
        <v>2057</v>
      </c>
      <c r="C66" s="2041"/>
      <c r="D66" s="1062">
        <f t="shared" si="11"/>
        <v>0</v>
      </c>
      <c r="E66" s="743"/>
      <c r="F66" s="1811"/>
      <c r="G66" s="1060"/>
      <c r="H66" s="1063" t="str">
        <f t="shared" si="12"/>
        <v>——</v>
      </c>
      <c r="I66" s="3364">
        <v>0.06</v>
      </c>
      <c r="J66" s="1061">
        <f t="shared" si="13"/>
        <v>0</v>
      </c>
      <c r="K66" s="1061">
        <f t="shared" si="14"/>
        <v>0</v>
      </c>
      <c r="L66" s="1061">
        <v>0</v>
      </c>
      <c r="M66" s="1061">
        <f t="shared" si="15"/>
        <v>0</v>
      </c>
      <c r="N66" s="1061">
        <f t="shared" si="15"/>
        <v>0</v>
      </c>
      <c r="AA66" s="1117"/>
      <c r="AB66" s="1117"/>
      <c r="AC66" s="1117"/>
      <c r="AD66" s="1117"/>
      <c r="AE66" s="1117"/>
      <c r="AF66" s="1117"/>
      <c r="AG66" s="1117"/>
      <c r="AH66" s="1117"/>
      <c r="AI66" s="1117"/>
      <c r="AJ66" s="1117"/>
      <c r="AK66" s="1117"/>
    </row>
    <row r="67" spans="1:37" s="1116" customFormat="1" ht="26.4">
      <c r="A67" s="2127" t="s">
        <v>2058</v>
      </c>
      <c r="B67" s="1323" t="str">
        <f>估价对象房地状况!C21</f>
        <v>估价对象所在区域公共配套设施齐备情况</v>
      </c>
      <c r="C67" s="2041"/>
      <c r="D67" s="1062">
        <f t="shared" si="11"/>
        <v>0</v>
      </c>
      <c r="E67" s="743"/>
      <c r="F67" s="1811"/>
      <c r="G67" s="1060"/>
      <c r="H67" s="1063" t="str">
        <f t="shared" si="12"/>
        <v>——</v>
      </c>
      <c r="I67" s="3364">
        <v>0.06</v>
      </c>
      <c r="J67" s="1061">
        <f t="shared" si="13"/>
        <v>0</v>
      </c>
      <c r="K67" s="1061">
        <f t="shared" si="14"/>
        <v>0</v>
      </c>
      <c r="L67" s="1061">
        <v>0</v>
      </c>
      <c r="M67" s="1061">
        <f t="shared" si="15"/>
        <v>0</v>
      </c>
      <c r="N67" s="1061">
        <f t="shared" si="15"/>
        <v>0</v>
      </c>
      <c r="AA67" s="1117"/>
      <c r="AB67" s="1117"/>
      <c r="AC67" s="1117"/>
      <c r="AD67" s="1117"/>
      <c r="AE67" s="1117"/>
      <c r="AF67" s="1117"/>
      <c r="AG67" s="1117"/>
      <c r="AH67" s="1117"/>
      <c r="AI67" s="1117"/>
      <c r="AJ67" s="1117"/>
      <c r="AK67" s="1117"/>
    </row>
    <row r="68" spans="1:37" s="1116" customFormat="1" ht="26.4">
      <c r="A68" s="2127" t="s">
        <v>2059</v>
      </c>
      <c r="B68" s="1323" t="str">
        <f>估价对象房地状况!C22</f>
        <v>估价对象所在区域基础设施水平</v>
      </c>
      <c r="C68" s="2041"/>
      <c r="D68" s="1062">
        <f t="shared" si="11"/>
        <v>0</v>
      </c>
      <c r="E68" s="743"/>
      <c r="F68" s="1811"/>
      <c r="G68" s="1060"/>
      <c r="H68" s="1063" t="str">
        <f t="shared" si="12"/>
        <v>——</v>
      </c>
      <c r="I68" s="3364">
        <v>0.09</v>
      </c>
      <c r="J68" s="1061">
        <f t="shared" si="13"/>
        <v>0</v>
      </c>
      <c r="K68" s="1061">
        <f t="shared" si="14"/>
        <v>0</v>
      </c>
      <c r="L68" s="1061">
        <v>0</v>
      </c>
      <c r="M68" s="1061">
        <f t="shared" si="15"/>
        <v>0</v>
      </c>
      <c r="N68" s="1061">
        <f t="shared" si="15"/>
        <v>0</v>
      </c>
      <c r="AA68" s="1117"/>
      <c r="AB68" s="1117"/>
      <c r="AC68" s="1117"/>
      <c r="AD68" s="1117"/>
      <c r="AE68" s="1117"/>
      <c r="AF68" s="1117"/>
      <c r="AG68" s="1117"/>
      <c r="AH68" s="1117"/>
      <c r="AI68" s="1117"/>
      <c r="AJ68" s="1117"/>
      <c r="AK68" s="1117"/>
    </row>
    <row r="69" spans="1:37" s="1116" customFormat="1" ht="40.200000000000003" thickBot="1">
      <c r="A69" s="2135" t="s">
        <v>2060</v>
      </c>
      <c r="B69" s="2137" t="str">
        <f>估价对象房地状况!C20</f>
        <v>区域自然环境：；人文环境；综合评价环境状况一般</v>
      </c>
      <c r="C69" s="2041"/>
      <c r="D69" s="1062">
        <f t="shared" si="11"/>
        <v>0</v>
      </c>
      <c r="E69" s="744"/>
      <c r="F69" s="1811"/>
      <c r="G69" s="1060"/>
      <c r="H69" s="1063" t="str">
        <f t="shared" si="12"/>
        <v>——</v>
      </c>
      <c r="I69" s="3365">
        <v>7.0000000000000007E-2</v>
      </c>
      <c r="J69" s="1061">
        <f t="shared" si="13"/>
        <v>0</v>
      </c>
      <c r="K69" s="1061">
        <f t="shared" si="14"/>
        <v>0</v>
      </c>
      <c r="L69" s="1061">
        <v>0</v>
      </c>
      <c r="M69" s="1061">
        <f t="shared" si="15"/>
        <v>0</v>
      </c>
      <c r="N69" s="1061">
        <f t="shared" si="15"/>
        <v>0</v>
      </c>
      <c r="AA69" s="1117"/>
      <c r="AB69" s="1117"/>
      <c r="AC69" s="1117"/>
      <c r="AD69" s="1117"/>
      <c r="AE69" s="1117"/>
      <c r="AF69" s="1117"/>
      <c r="AG69" s="1117"/>
      <c r="AH69" s="1117"/>
      <c r="AI69" s="1117"/>
      <c r="AJ69" s="1117"/>
      <c r="AK69" s="1117"/>
    </row>
    <row r="70" spans="1:37" s="1116" customFormat="1" ht="14.4">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5.2">
      <c r="A71" s="2127" t="s">
        <v>2043</v>
      </c>
      <c r="B71" s="1348"/>
      <c r="C71" s="1348" t="s">
        <v>2045</v>
      </c>
      <c r="D71" s="1348" t="s">
        <v>2046</v>
      </c>
      <c r="E71" s="741" t="s">
        <v>2047</v>
      </c>
      <c r="F71" s="2128" t="s">
        <v>2062</v>
      </c>
      <c r="G71" s="1348" t="s">
        <v>310</v>
      </c>
      <c r="H71" s="2129" t="s">
        <v>2049</v>
      </c>
      <c r="I71" s="1348" t="s">
        <v>2050</v>
      </c>
      <c r="J71" s="551" t="s">
        <v>1720</v>
      </c>
      <c r="K71" s="551" t="s">
        <v>1721</v>
      </c>
      <c r="L71" s="551" t="s">
        <v>1722</v>
      </c>
      <c r="M71" s="551" t="s">
        <v>1723</v>
      </c>
      <c r="N71" s="551" t="s">
        <v>1724</v>
      </c>
      <c r="AA71" s="1117"/>
      <c r="AB71" s="1117"/>
      <c r="AC71" s="1117"/>
      <c r="AD71" s="1117"/>
      <c r="AE71" s="1117"/>
      <c r="AF71" s="1117"/>
      <c r="AG71" s="1117"/>
      <c r="AH71" s="1117"/>
      <c r="AI71" s="1117"/>
      <c r="AJ71" s="1117"/>
      <c r="AK71" s="1117"/>
    </row>
    <row r="72" spans="1:37" s="1116" customFormat="1" ht="52.8">
      <c r="A72" s="2127" t="s">
        <v>2065</v>
      </c>
      <c r="B72" s="2130" t="str">
        <f>估价对象房地状况!C15</f>
        <v>估价对象周边居住用地比例、居住小区规模和社区发展完善程度，综合评价居住社区成熟度一般</v>
      </c>
      <c r="C72" s="2041"/>
      <c r="D72" s="1062">
        <f t="shared" ref="D72:D80" si="16">SUMIF($J$71:$N$71,C72,J72:N72)</f>
        <v>0</v>
      </c>
      <c r="E72" s="742">
        <f>ROUND(SUM(D72:D80),4)</f>
        <v>0</v>
      </c>
      <c r="F72" s="1811" t="str">
        <f>IF(E2="住宅",SUMIF(L1:L12,G2,N1:N12),"——")</f>
        <v>——</v>
      </c>
      <c r="G72" s="1060"/>
      <c r="H72" s="1063" t="str">
        <f t="shared" ref="H72:H80" si="17">IFERROR(ROUNDDOWN($F$72*I72/2,4),"——")</f>
        <v>——</v>
      </c>
      <c r="I72" s="3364">
        <v>0.2</v>
      </c>
      <c r="J72" s="1061">
        <f t="shared" ref="J72:J80" si="18">K72+$G72</f>
        <v>0</v>
      </c>
      <c r="K72" s="1061">
        <f t="shared" ref="K72:K80" si="19">$L72+$G72</f>
        <v>0</v>
      </c>
      <c r="L72" s="1061">
        <v>0</v>
      </c>
      <c r="M72" s="1061">
        <f t="shared" ref="M72:N80" si="20">L72-$G72</f>
        <v>0</v>
      </c>
      <c r="N72" s="1061">
        <f t="shared" si="20"/>
        <v>0</v>
      </c>
      <c r="AA72" s="1117"/>
      <c r="AB72" s="1117"/>
      <c r="AC72" s="1117"/>
      <c r="AD72" s="1117"/>
      <c r="AE72" s="1117"/>
      <c r="AF72" s="1117"/>
      <c r="AG72" s="1117"/>
      <c r="AH72" s="1117"/>
      <c r="AI72" s="1117"/>
      <c r="AJ72" s="1117"/>
      <c r="AK72" s="1117"/>
    </row>
    <row r="73" spans="1:37" s="1116" customFormat="1" ht="52.8">
      <c r="A73" s="2127" t="s">
        <v>2052</v>
      </c>
      <c r="B73" s="2131" t="str">
        <f>估价对象房地状况!C18</f>
        <v>估价对象周边道路状况、公共交通通达情况、停车便捷程度，综合评价交通便捷度较好</v>
      </c>
      <c r="C73" s="2041"/>
      <c r="D73" s="1062">
        <f t="shared" si="16"/>
        <v>0</v>
      </c>
      <c r="E73" s="745"/>
      <c r="F73" s="1811"/>
      <c r="G73" s="1060"/>
      <c r="H73" s="1063" t="str">
        <f t="shared" si="17"/>
        <v>——</v>
      </c>
      <c r="I73" s="3364">
        <v>0.26</v>
      </c>
      <c r="J73" s="1061">
        <f t="shared" si="18"/>
        <v>0</v>
      </c>
      <c r="K73" s="1061">
        <f t="shared" si="19"/>
        <v>0</v>
      </c>
      <c r="L73" s="1061">
        <v>0</v>
      </c>
      <c r="M73" s="1061">
        <f t="shared" si="20"/>
        <v>0</v>
      </c>
      <c r="N73" s="1061">
        <f t="shared" si="20"/>
        <v>0</v>
      </c>
      <c r="AA73" s="1117"/>
      <c r="AB73" s="1117"/>
      <c r="AC73" s="1117"/>
      <c r="AD73" s="1117"/>
      <c r="AE73" s="1117"/>
      <c r="AF73" s="1117"/>
      <c r="AG73" s="1117"/>
      <c r="AH73" s="1117"/>
      <c r="AI73" s="1117"/>
      <c r="AJ73" s="1117"/>
      <c r="AK73" s="1117"/>
    </row>
    <row r="74" spans="1:37" s="1994" customFormat="1" ht="48">
      <c r="A74" s="3366" t="s">
        <v>3269</v>
      </c>
      <c r="B74" s="2131">
        <f>估价对象房地状况!C19</f>
        <v>0</v>
      </c>
      <c r="C74" s="2041"/>
      <c r="D74" s="1062">
        <f t="shared" si="16"/>
        <v>0</v>
      </c>
      <c r="E74" s="745"/>
      <c r="F74" s="1811"/>
      <c r="G74" s="1060"/>
      <c r="H74" s="1063" t="str">
        <f t="shared" si="17"/>
        <v>——</v>
      </c>
      <c r="I74" s="3364">
        <v>0.1</v>
      </c>
      <c r="J74" s="1061">
        <f t="shared" si="18"/>
        <v>0</v>
      </c>
      <c r="K74" s="1061">
        <f t="shared" si="19"/>
        <v>0</v>
      </c>
      <c r="L74" s="1061">
        <v>0</v>
      </c>
      <c r="M74" s="1061">
        <f t="shared" si="20"/>
        <v>0</v>
      </c>
      <c r="N74" s="1061">
        <f t="shared" si="20"/>
        <v>0</v>
      </c>
      <c r="O74" s="1116"/>
      <c r="P74" s="1116"/>
      <c r="Q74" s="1116"/>
      <c r="AA74" s="2138"/>
      <c r="AB74" s="1117"/>
      <c r="AC74" s="1117"/>
      <c r="AD74" s="1117"/>
      <c r="AE74" s="1117"/>
      <c r="AF74" s="1117"/>
      <c r="AG74" s="1117"/>
      <c r="AH74" s="2138"/>
      <c r="AI74" s="2138"/>
      <c r="AJ74" s="2138"/>
      <c r="AK74" s="2138"/>
    </row>
    <row r="75" spans="1:37" ht="13.8">
      <c r="A75" s="2127" t="s">
        <v>2066</v>
      </c>
      <c r="B75" s="2131">
        <f>估价对象房地状况!C24</f>
        <v>0</v>
      </c>
      <c r="C75" s="2041"/>
      <c r="D75" s="1062">
        <f t="shared" si="16"/>
        <v>0</v>
      </c>
      <c r="E75" s="745"/>
      <c r="F75" s="1811"/>
      <c r="G75" s="1060"/>
      <c r="H75" s="1063" t="str">
        <f t="shared" si="17"/>
        <v>——</v>
      </c>
      <c r="I75" s="3364">
        <v>0.05</v>
      </c>
      <c r="J75" s="1061">
        <f t="shared" si="18"/>
        <v>0</v>
      </c>
      <c r="K75" s="1061">
        <f t="shared" si="19"/>
        <v>0</v>
      </c>
      <c r="L75" s="1061">
        <v>0</v>
      </c>
      <c r="M75" s="1061">
        <f t="shared" si="20"/>
        <v>0</v>
      </c>
      <c r="N75" s="1061">
        <f t="shared" si="20"/>
        <v>0</v>
      </c>
      <c r="O75" s="1116"/>
      <c r="P75" s="1116"/>
      <c r="Q75" s="1994"/>
      <c r="Z75" s="1995"/>
      <c r="AA75" s="2050"/>
      <c r="AG75" s="1118"/>
      <c r="AK75" s="2050"/>
    </row>
    <row r="76" spans="1:37" ht="26.4">
      <c r="A76" s="2127" t="s">
        <v>2058</v>
      </c>
      <c r="B76" s="1323" t="str">
        <f>估价对象房地状况!C21</f>
        <v>估价对象所在区域公共配套设施齐备情况</v>
      </c>
      <c r="C76" s="2041"/>
      <c r="D76" s="1062">
        <f t="shared" si="16"/>
        <v>0</v>
      </c>
      <c r="E76" s="745"/>
      <c r="F76" s="1811"/>
      <c r="G76" s="1060"/>
      <c r="H76" s="1063" t="str">
        <f t="shared" si="17"/>
        <v>——</v>
      </c>
      <c r="I76" s="3364">
        <v>0.08</v>
      </c>
      <c r="J76" s="1061">
        <f t="shared" si="18"/>
        <v>0</v>
      </c>
      <c r="K76" s="1061">
        <f t="shared" si="19"/>
        <v>0</v>
      </c>
      <c r="L76" s="1061">
        <v>0</v>
      </c>
      <c r="M76" s="1061">
        <f t="shared" si="20"/>
        <v>0</v>
      </c>
      <c r="N76" s="1061">
        <f t="shared" si="20"/>
        <v>0</v>
      </c>
      <c r="O76" s="1116"/>
      <c r="P76" s="1116"/>
      <c r="Z76" s="1995"/>
      <c r="AA76" s="2050"/>
      <c r="AG76" s="1118"/>
      <c r="AK76" s="2050"/>
    </row>
    <row r="77" spans="1:37" ht="26.4">
      <c r="A77" s="2127" t="s">
        <v>2059</v>
      </c>
      <c r="B77" s="1323" t="str">
        <f>估价对象房地状况!C22</f>
        <v>估价对象所在区域基础设施水平</v>
      </c>
      <c r="C77" s="2041"/>
      <c r="D77" s="1062">
        <f t="shared" si="16"/>
        <v>0</v>
      </c>
      <c r="E77" s="745"/>
      <c r="F77" s="1811"/>
      <c r="G77" s="1060"/>
      <c r="H77" s="1063" t="str">
        <f t="shared" si="17"/>
        <v>——</v>
      </c>
      <c r="I77" s="3364">
        <v>0.09</v>
      </c>
      <c r="J77" s="1061">
        <f t="shared" si="18"/>
        <v>0</v>
      </c>
      <c r="K77" s="1061">
        <f t="shared" si="19"/>
        <v>0</v>
      </c>
      <c r="L77" s="1061">
        <v>0</v>
      </c>
      <c r="M77" s="1061">
        <f t="shared" si="20"/>
        <v>0</v>
      </c>
      <c r="N77" s="1061">
        <f t="shared" si="20"/>
        <v>0</v>
      </c>
      <c r="O77" s="1116"/>
      <c r="P77" s="1116"/>
      <c r="Z77" s="1995"/>
      <c r="AA77" s="2050"/>
      <c r="AG77" s="1118"/>
      <c r="AK77" s="2050"/>
    </row>
    <row r="78" spans="1:37" ht="36">
      <c r="A78" s="2127" t="s">
        <v>2056</v>
      </c>
      <c r="B78" s="2133" t="s">
        <v>2057</v>
      </c>
      <c r="C78" s="2041"/>
      <c r="D78" s="1062">
        <f t="shared" si="16"/>
        <v>0</v>
      </c>
      <c r="E78" s="745"/>
      <c r="F78" s="1811"/>
      <c r="G78" s="1060"/>
      <c r="H78" s="1063" t="str">
        <f t="shared" si="17"/>
        <v>——</v>
      </c>
      <c r="I78" s="3364">
        <v>0.05</v>
      </c>
      <c r="J78" s="1061">
        <f t="shared" si="18"/>
        <v>0</v>
      </c>
      <c r="K78" s="1061">
        <f t="shared" si="19"/>
        <v>0</v>
      </c>
      <c r="L78" s="1061">
        <v>0</v>
      </c>
      <c r="M78" s="1061">
        <f t="shared" si="20"/>
        <v>0</v>
      </c>
      <c r="N78" s="1061">
        <f t="shared" si="20"/>
        <v>0</v>
      </c>
      <c r="O78" s="1994"/>
      <c r="P78" s="1994"/>
      <c r="Z78" s="1995"/>
      <c r="AA78" s="2050"/>
      <c r="AG78" s="1118"/>
      <c r="AK78" s="2050"/>
    </row>
    <row r="79" spans="1:37" ht="39.6">
      <c r="A79" s="2127" t="s">
        <v>2060</v>
      </c>
      <c r="B79" s="2130" t="str">
        <f>估价对象房地状况!C20</f>
        <v>区域自然环境：；人文环境；综合评价环境状况一般</v>
      </c>
      <c r="C79" s="2041"/>
      <c r="D79" s="1062">
        <f t="shared" si="16"/>
        <v>0</v>
      </c>
      <c r="E79" s="745"/>
      <c r="F79" s="1811"/>
      <c r="G79" s="1060"/>
      <c r="H79" s="1063" t="str">
        <f t="shared" si="17"/>
        <v>——</v>
      </c>
      <c r="I79" s="3364">
        <v>0.12</v>
      </c>
      <c r="J79" s="1061">
        <f t="shared" si="18"/>
        <v>0</v>
      </c>
      <c r="K79" s="1061">
        <f t="shared" si="19"/>
        <v>0</v>
      </c>
      <c r="L79" s="1061">
        <v>0</v>
      </c>
      <c r="M79" s="1061">
        <f t="shared" si="20"/>
        <v>0</v>
      </c>
      <c r="N79" s="1061">
        <f t="shared" si="20"/>
        <v>0</v>
      </c>
      <c r="Z79" s="1995"/>
      <c r="AA79" s="2050"/>
      <c r="AG79" s="1118"/>
      <c r="AK79" s="2050"/>
    </row>
    <row r="80" spans="1:37" ht="36.6" thickBot="1">
      <c r="A80" s="2135" t="s">
        <v>2067</v>
      </c>
      <c r="B80" s="2139"/>
      <c r="C80" s="2041"/>
      <c r="D80" s="1062">
        <f t="shared" si="16"/>
        <v>0</v>
      </c>
      <c r="E80" s="746"/>
      <c r="F80" s="1811"/>
      <c r="G80" s="1060"/>
      <c r="H80" s="1063" t="str">
        <f t="shared" si="17"/>
        <v>——</v>
      </c>
      <c r="I80" s="3365">
        <v>0.05</v>
      </c>
      <c r="J80" s="1061">
        <f t="shared" si="18"/>
        <v>0</v>
      </c>
      <c r="K80" s="1061">
        <f t="shared" si="19"/>
        <v>0</v>
      </c>
      <c r="L80" s="1061">
        <v>0</v>
      </c>
      <c r="M80" s="1061">
        <f t="shared" si="20"/>
        <v>0</v>
      </c>
      <c r="N80" s="1061">
        <f t="shared" si="20"/>
        <v>0</v>
      </c>
      <c r="Z80" s="1995"/>
      <c r="AA80" s="2050"/>
      <c r="AG80" s="1118"/>
      <c r="AK80" s="2050"/>
    </row>
    <row r="81" spans="1:37" ht="14.4">
      <c r="A81" s="2123" t="s">
        <v>2068</v>
      </c>
      <c r="B81" s="2124">
        <f>1+E83</f>
        <v>1</v>
      </c>
      <c r="C81" s="739"/>
      <c r="D81" s="739"/>
      <c r="E81" s="740"/>
      <c r="F81" s="2126"/>
      <c r="G81" s="3"/>
      <c r="H81" s="3"/>
      <c r="I81" s="3"/>
      <c r="J81" s="4"/>
      <c r="K81" s="4"/>
      <c r="L81" s="4"/>
      <c r="M81" s="4"/>
      <c r="N81" s="4"/>
      <c r="Z81" s="1995"/>
      <c r="AA81" s="2050"/>
      <c r="AG81" s="1118"/>
      <c r="AK81" s="2050"/>
    </row>
    <row r="82" spans="1:37" ht="25.2">
      <c r="A82" s="2127" t="s">
        <v>2043</v>
      </c>
      <c r="B82" s="1348"/>
      <c r="C82" s="1348" t="s">
        <v>2045</v>
      </c>
      <c r="D82" s="1348" t="s">
        <v>2046</v>
      </c>
      <c r="E82" s="741" t="s">
        <v>2047</v>
      </c>
      <c r="F82" s="2128" t="s">
        <v>2062</v>
      </c>
      <c r="G82" s="1348" t="s">
        <v>310</v>
      </c>
      <c r="H82" s="2129" t="s">
        <v>2049</v>
      </c>
      <c r="I82" s="1348" t="s">
        <v>2050</v>
      </c>
      <c r="J82" s="551" t="s">
        <v>1720</v>
      </c>
      <c r="K82" s="551" t="s">
        <v>1721</v>
      </c>
      <c r="L82" s="551" t="s">
        <v>1722</v>
      </c>
      <c r="M82" s="551" t="s">
        <v>1723</v>
      </c>
      <c r="N82" s="551" t="s">
        <v>1724</v>
      </c>
      <c r="Z82" s="1995"/>
      <c r="AA82" s="2050"/>
      <c r="AG82" s="1118"/>
      <c r="AK82" s="2050"/>
    </row>
    <row r="83" spans="1:37" ht="39.6">
      <c r="A83" s="2127" t="s">
        <v>2069</v>
      </c>
      <c r="B83" s="2131" t="str">
        <f>估价对象房地状况!G15</f>
        <v>估价对象位于XX开发区，园区建设成熟度XX，产业集聚程度XX</v>
      </c>
      <c r="C83" s="2041"/>
      <c r="D83" s="1062">
        <f t="shared" ref="D83:D90" si="21">SUMIF($J$82:$N$82,C83,J83:N83)</f>
        <v>0</v>
      </c>
      <c r="E83" s="742">
        <f>ROUND(SUM(D83:D90),4)</f>
        <v>0</v>
      </c>
      <c r="F83" s="1811" t="str">
        <f>IF(E2="工业",SUMIF(L1:L12,G2,N1:N12),"——")</f>
        <v>——</v>
      </c>
      <c r="G83" s="1060"/>
      <c r="H83" s="1063" t="str">
        <f t="shared" ref="H83:H90" si="22">IFERROR(ROUNDDOWN($F$83*I83/2,4),"——")</f>
        <v>——</v>
      </c>
      <c r="I83" s="3364">
        <v>0.26</v>
      </c>
      <c r="J83" s="1061">
        <f t="shared" ref="J83:J90" si="23">K83+$G83</f>
        <v>0</v>
      </c>
      <c r="K83" s="1061">
        <f t="shared" ref="K83:K90" si="24">$L83+$G83</f>
        <v>0</v>
      </c>
      <c r="L83" s="1061">
        <v>0</v>
      </c>
      <c r="M83" s="1061">
        <f t="shared" ref="M83:N90" si="25">L83-$G83</f>
        <v>0</v>
      </c>
      <c r="N83" s="1061">
        <f t="shared" si="25"/>
        <v>0</v>
      </c>
      <c r="Z83" s="1995"/>
      <c r="AA83" s="2050"/>
      <c r="AG83" s="1118"/>
      <c r="AK83" s="2050"/>
    </row>
    <row r="84" spans="1:37" ht="52.8">
      <c r="A84" s="2127" t="s">
        <v>2052</v>
      </c>
      <c r="B84" s="2131" t="str">
        <f>估价对象房地状况!G16</f>
        <v>估价对象周边道路状况、公共交通通达情况、停车便捷程度，综合评价交通便捷度较好</v>
      </c>
      <c r="C84" s="2041"/>
      <c r="D84" s="1062">
        <f t="shared" si="21"/>
        <v>0</v>
      </c>
      <c r="E84" s="745"/>
      <c r="F84" s="1811"/>
      <c r="G84" s="1060"/>
      <c r="H84" s="1063" t="str">
        <f t="shared" si="22"/>
        <v>——</v>
      </c>
      <c r="I84" s="3364">
        <v>0.3</v>
      </c>
      <c r="J84" s="1061">
        <f t="shared" si="23"/>
        <v>0</v>
      </c>
      <c r="K84" s="1061">
        <f t="shared" si="24"/>
        <v>0</v>
      </c>
      <c r="L84" s="1061">
        <v>0</v>
      </c>
      <c r="M84" s="1061">
        <f t="shared" si="25"/>
        <v>0</v>
      </c>
      <c r="N84" s="1061">
        <f t="shared" si="25"/>
        <v>0</v>
      </c>
      <c r="Z84" s="1995"/>
      <c r="AA84" s="2050"/>
      <c r="AG84" s="1118"/>
      <c r="AK84" s="2050"/>
    </row>
    <row r="85" spans="1:37" ht="48">
      <c r="A85" s="3366" t="s">
        <v>3270</v>
      </c>
      <c r="B85" s="2131">
        <f>估价对象房地状况!G17</f>
        <v>0</v>
      </c>
      <c r="C85" s="2041"/>
      <c r="D85" s="1062">
        <f t="shared" si="21"/>
        <v>0</v>
      </c>
      <c r="E85" s="745"/>
      <c r="F85" s="1811"/>
      <c r="G85" s="1060"/>
      <c r="H85" s="1063" t="str">
        <f t="shared" si="22"/>
        <v>——</v>
      </c>
      <c r="I85" s="3364">
        <v>0.1</v>
      </c>
      <c r="J85" s="1061">
        <f t="shared" si="23"/>
        <v>0</v>
      </c>
      <c r="K85" s="1061">
        <f t="shared" si="24"/>
        <v>0</v>
      </c>
      <c r="L85" s="1061">
        <v>0</v>
      </c>
      <c r="M85" s="1061">
        <f t="shared" si="25"/>
        <v>0</v>
      </c>
      <c r="N85" s="1061">
        <f t="shared" si="25"/>
        <v>0</v>
      </c>
      <c r="Z85" s="1995"/>
      <c r="AA85" s="2050"/>
      <c r="AG85" s="1118"/>
      <c r="AK85" s="2050"/>
    </row>
    <row r="86" spans="1:37" ht="13.8">
      <c r="A86" s="2127" t="s">
        <v>2066</v>
      </c>
      <c r="B86" s="2131">
        <f>估价对象房地状况!G22</f>
        <v>0</v>
      </c>
      <c r="C86" s="2041"/>
      <c r="D86" s="1062">
        <f t="shared" si="21"/>
        <v>0</v>
      </c>
      <c r="E86" s="745"/>
      <c r="F86" s="1811"/>
      <c r="G86" s="1060"/>
      <c r="H86" s="1063" t="str">
        <f t="shared" si="22"/>
        <v>——</v>
      </c>
      <c r="I86" s="3364">
        <v>0.05</v>
      </c>
      <c r="J86" s="1061">
        <f t="shared" si="23"/>
        <v>0</v>
      </c>
      <c r="K86" s="1061">
        <f t="shared" si="24"/>
        <v>0</v>
      </c>
      <c r="L86" s="1061">
        <v>0</v>
      </c>
      <c r="M86" s="1061">
        <f t="shared" si="25"/>
        <v>0</v>
      </c>
      <c r="N86" s="1061">
        <f t="shared" si="25"/>
        <v>0</v>
      </c>
      <c r="Z86" s="1995"/>
      <c r="AA86" s="2050"/>
      <c r="AG86" s="1118"/>
      <c r="AK86" s="2050"/>
    </row>
    <row r="87" spans="1:37" ht="26.4">
      <c r="A87" s="2127" t="s">
        <v>2058</v>
      </c>
      <c r="B87" s="1323" t="str">
        <f>估价对象房地状况!G19</f>
        <v>估价对象所在区域公共配套设施齐备情况</v>
      </c>
      <c r="C87" s="2041"/>
      <c r="D87" s="1062">
        <f t="shared" si="21"/>
        <v>0</v>
      </c>
      <c r="E87" s="745"/>
      <c r="F87" s="1811"/>
      <c r="G87" s="1060"/>
      <c r="H87" s="1063" t="str">
        <f t="shared" si="22"/>
        <v>——</v>
      </c>
      <c r="I87" s="3364">
        <v>0.06</v>
      </c>
      <c r="J87" s="1061">
        <f t="shared" si="23"/>
        <v>0</v>
      </c>
      <c r="K87" s="1061">
        <f t="shared" si="24"/>
        <v>0</v>
      </c>
      <c r="L87" s="1061">
        <v>0</v>
      </c>
      <c r="M87" s="1061">
        <f t="shared" si="25"/>
        <v>0</v>
      </c>
      <c r="N87" s="1061">
        <f t="shared" si="25"/>
        <v>0</v>
      </c>
    </row>
    <row r="88" spans="1:37" ht="26.4">
      <c r="A88" s="2127" t="s">
        <v>2059</v>
      </c>
      <c r="B88" s="1323" t="str">
        <f>估价对象房地状况!G20</f>
        <v>估价对象所在区域基础设施水平</v>
      </c>
      <c r="C88" s="2041"/>
      <c r="D88" s="1062">
        <f t="shared" si="21"/>
        <v>0</v>
      </c>
      <c r="E88" s="745"/>
      <c r="F88" s="1811"/>
      <c r="G88" s="1060"/>
      <c r="H88" s="1063" t="str">
        <f t="shared" si="22"/>
        <v>——</v>
      </c>
      <c r="I88" s="3364">
        <v>0.12</v>
      </c>
      <c r="J88" s="1061">
        <f t="shared" si="23"/>
        <v>0</v>
      </c>
      <c r="K88" s="1061">
        <f t="shared" si="24"/>
        <v>0</v>
      </c>
      <c r="L88" s="1061">
        <v>0</v>
      </c>
      <c r="M88" s="1061">
        <f t="shared" si="25"/>
        <v>0</v>
      </c>
      <c r="N88" s="1061">
        <f t="shared" si="25"/>
        <v>0</v>
      </c>
    </row>
    <row r="89" spans="1:37" ht="36">
      <c r="A89" s="2127" t="s">
        <v>2056</v>
      </c>
      <c r="B89" s="2133" t="s">
        <v>2070</v>
      </c>
      <c r="C89" s="2041"/>
      <c r="D89" s="1062">
        <f t="shared" si="21"/>
        <v>0</v>
      </c>
      <c r="E89" s="745"/>
      <c r="F89" s="1811"/>
      <c r="G89" s="1060"/>
      <c r="H89" s="1063" t="str">
        <f t="shared" si="22"/>
        <v>——</v>
      </c>
      <c r="I89" s="3364">
        <v>0.06</v>
      </c>
      <c r="J89" s="1061">
        <f t="shared" si="23"/>
        <v>0</v>
      </c>
      <c r="K89" s="1061">
        <f t="shared" si="24"/>
        <v>0</v>
      </c>
      <c r="L89" s="1061">
        <v>0</v>
      </c>
      <c r="M89" s="1061">
        <f t="shared" si="25"/>
        <v>0</v>
      </c>
      <c r="N89" s="1061">
        <f t="shared" si="25"/>
        <v>0</v>
      </c>
    </row>
    <row r="90" spans="1:37" ht="40.200000000000003" thickBot="1">
      <c r="A90" s="2135" t="s">
        <v>2071</v>
      </c>
      <c r="B90" s="2140" t="str">
        <f>估价对象房地状况!G18</f>
        <v>该园区内是否有污染型企业，绿化情况，卫生条件，整体环境状况判断</v>
      </c>
      <c r="C90" s="2041"/>
      <c r="D90" s="1062">
        <f t="shared" si="21"/>
        <v>0</v>
      </c>
      <c r="E90" s="746"/>
      <c r="F90" s="1811"/>
      <c r="G90" s="1060"/>
      <c r="H90" s="1063" t="str">
        <f t="shared" si="22"/>
        <v>——</v>
      </c>
      <c r="I90" s="3365">
        <v>0.05</v>
      </c>
      <c r="J90" s="1061">
        <f t="shared" si="23"/>
        <v>0</v>
      </c>
      <c r="K90" s="1061">
        <f t="shared" si="24"/>
        <v>0</v>
      </c>
      <c r="L90" s="1061">
        <v>0</v>
      </c>
      <c r="M90" s="1061">
        <f t="shared" si="25"/>
        <v>0</v>
      </c>
      <c r="N90" s="1061">
        <f t="shared" si="25"/>
        <v>0</v>
      </c>
    </row>
    <row r="91" spans="1:37" ht="13.8">
      <c r="A91" s="3374" t="s">
        <v>2612</v>
      </c>
      <c r="B91" s="3375">
        <f>1+E93</f>
        <v>1</v>
      </c>
      <c r="C91" s="3368"/>
      <c r="D91" s="3369"/>
      <c r="E91" s="1811"/>
      <c r="F91" s="1811"/>
      <c r="G91" s="3370"/>
      <c r="H91" s="3371"/>
      <c r="I91" s="3372"/>
      <c r="J91" s="3373"/>
      <c r="K91" s="3373"/>
      <c r="L91" s="3373"/>
      <c r="M91" s="3373"/>
      <c r="N91" s="3373"/>
    </row>
    <row r="92" spans="1:37" ht="25.2">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6">K93+$G93</f>
        <v>0</v>
      </c>
      <c r="K93" s="3342">
        <f t="shared" ref="K93:K101" si="27">$L93+$G93</f>
        <v>0</v>
      </c>
      <c r="L93" s="3342">
        <v>0</v>
      </c>
      <c r="M93" s="3342">
        <f t="shared" ref="M93:N101" si="28">L93-$G93</f>
        <v>0</v>
      </c>
      <c r="N93" s="3342">
        <f t="shared" si="28"/>
        <v>0</v>
      </c>
    </row>
    <row r="94" spans="1:37" ht="52.8">
      <c r="A94" s="3376" t="s">
        <v>3273</v>
      </c>
      <c r="B94" s="3367" t="str">
        <f>估价对象房地状况!C18</f>
        <v>估价对象周边道路状况、公共交通通达情况、停车便捷程度，综合评价交通便捷度较好</v>
      </c>
      <c r="C94" s="2041"/>
      <c r="D94" s="3363">
        <f t="shared" ref="D94:D101" si="29">SUMIF($J$60:$N$60,C94,J94:N94)</f>
        <v>0</v>
      </c>
      <c r="E94" s="3380"/>
      <c r="F94" s="1811"/>
      <c r="G94" s="3370"/>
      <c r="H94" s="3418" t="str">
        <f>IFERROR(ROUNDDOWN($F$93*I94/2,4),"——")</f>
        <v>——</v>
      </c>
      <c r="I94" s="3364">
        <v>0.26</v>
      </c>
      <c r="J94" s="3342">
        <f t="shared" si="26"/>
        <v>0</v>
      </c>
      <c r="K94" s="3342">
        <f t="shared" si="27"/>
        <v>0</v>
      </c>
      <c r="L94" s="3342">
        <v>0</v>
      </c>
      <c r="M94" s="3342">
        <f t="shared" si="28"/>
        <v>0</v>
      </c>
      <c r="N94" s="3342">
        <f t="shared" si="28"/>
        <v>0</v>
      </c>
    </row>
    <row r="95" spans="1:37" ht="48">
      <c r="A95" s="3366" t="s">
        <v>3269</v>
      </c>
      <c r="B95" s="3367">
        <f>估价对象房地状况!C19</f>
        <v>0</v>
      </c>
      <c r="C95" s="2041"/>
      <c r="D95" s="3363">
        <f t="shared" si="29"/>
        <v>0</v>
      </c>
      <c r="E95" s="3380"/>
      <c r="F95" s="1811"/>
      <c r="G95" s="3370"/>
      <c r="H95" s="3418" t="str">
        <f t="shared" ref="H95:H101" si="30">IFERROR(ROUNDDOWN($F$93*I95/2,4),"——")</f>
        <v>——</v>
      </c>
      <c r="I95" s="3364">
        <v>0.11</v>
      </c>
      <c r="J95" s="3342">
        <f t="shared" si="26"/>
        <v>0</v>
      </c>
      <c r="K95" s="3342">
        <f t="shared" si="27"/>
        <v>0</v>
      </c>
      <c r="L95" s="3342">
        <v>0</v>
      </c>
      <c r="M95" s="3342">
        <f t="shared" si="28"/>
        <v>0</v>
      </c>
      <c r="N95" s="3342">
        <f t="shared" si="28"/>
        <v>0</v>
      </c>
    </row>
    <row r="96" spans="1:37" ht="37.200000000000003">
      <c r="A96" s="3376" t="s">
        <v>3274</v>
      </c>
      <c r="B96" s="3382" t="s">
        <v>3285</v>
      </c>
      <c r="C96" s="2041"/>
      <c r="D96" s="3363">
        <f t="shared" si="29"/>
        <v>0</v>
      </c>
      <c r="E96" s="3380"/>
      <c r="F96" s="1811"/>
      <c r="G96" s="3370"/>
      <c r="H96" s="3418" t="str">
        <f t="shared" si="30"/>
        <v>——</v>
      </c>
      <c r="I96" s="3364">
        <v>0.05</v>
      </c>
      <c r="J96" s="3342">
        <f t="shared" si="26"/>
        <v>0</v>
      </c>
      <c r="K96" s="3342">
        <f t="shared" si="27"/>
        <v>0</v>
      </c>
      <c r="L96" s="3342">
        <v>0</v>
      </c>
      <c r="M96" s="3342">
        <f t="shared" si="28"/>
        <v>0</v>
      </c>
      <c r="N96" s="3342">
        <f t="shared" si="28"/>
        <v>0</v>
      </c>
    </row>
    <row r="97" spans="1:14" ht="24">
      <c r="A97" s="3376" t="s">
        <v>3275</v>
      </c>
      <c r="B97" s="3367">
        <f>估价对象房地状况!C24</f>
        <v>0</v>
      </c>
      <c r="C97" s="2041"/>
      <c r="D97" s="3363">
        <f t="shared" si="29"/>
        <v>0</v>
      </c>
      <c r="E97" s="3380"/>
      <c r="F97" s="1811"/>
      <c r="G97" s="3370"/>
      <c r="H97" s="3418" t="str">
        <f t="shared" si="30"/>
        <v>——</v>
      </c>
      <c r="I97" s="3364">
        <v>0.05</v>
      </c>
      <c r="J97" s="3342">
        <f t="shared" si="26"/>
        <v>0</v>
      </c>
      <c r="K97" s="3342">
        <f t="shared" si="27"/>
        <v>0</v>
      </c>
      <c r="L97" s="3342">
        <v>0</v>
      </c>
      <c r="M97" s="3342">
        <f t="shared" si="28"/>
        <v>0</v>
      </c>
      <c r="N97" s="3342">
        <f t="shared" si="28"/>
        <v>0</v>
      </c>
    </row>
    <row r="98" spans="1:14" ht="36">
      <c r="A98" s="3376" t="s">
        <v>3276</v>
      </c>
      <c r="B98" s="3383" t="s">
        <v>3286</v>
      </c>
      <c r="C98" s="2041"/>
      <c r="D98" s="3363">
        <f t="shared" si="29"/>
        <v>0</v>
      </c>
      <c r="E98" s="3380"/>
      <c r="F98" s="1811"/>
      <c r="G98" s="3370"/>
      <c r="H98" s="3418" t="str">
        <f t="shared" si="30"/>
        <v>——</v>
      </c>
      <c r="I98" s="3364">
        <v>0.06</v>
      </c>
      <c r="J98" s="3342">
        <f t="shared" si="26"/>
        <v>0</v>
      </c>
      <c r="K98" s="3342">
        <f t="shared" si="27"/>
        <v>0</v>
      </c>
      <c r="L98" s="3342">
        <v>0</v>
      </c>
      <c r="M98" s="3342">
        <f t="shared" si="28"/>
        <v>0</v>
      </c>
      <c r="N98" s="3342">
        <f t="shared" si="28"/>
        <v>0</v>
      </c>
    </row>
    <row r="99" spans="1:14" ht="26.4">
      <c r="A99" s="3376" t="s">
        <v>3277</v>
      </c>
      <c r="B99" s="3367" t="str">
        <f>估价对象房地状况!C21</f>
        <v>估价对象所在区域公共配套设施齐备情况</v>
      </c>
      <c r="C99" s="2041"/>
      <c r="D99" s="3363">
        <f t="shared" si="29"/>
        <v>0</v>
      </c>
      <c r="E99" s="3380"/>
      <c r="F99" s="1811"/>
      <c r="G99" s="3370"/>
      <c r="H99" s="3418" t="str">
        <f t="shared" si="30"/>
        <v>——</v>
      </c>
      <c r="I99" s="3364">
        <v>0.06</v>
      </c>
      <c r="J99" s="3342">
        <f t="shared" si="26"/>
        <v>0</v>
      </c>
      <c r="K99" s="3342">
        <f t="shared" si="27"/>
        <v>0</v>
      </c>
      <c r="L99" s="3342">
        <v>0</v>
      </c>
      <c r="M99" s="3342">
        <f t="shared" si="28"/>
        <v>0</v>
      </c>
      <c r="N99" s="3342">
        <f t="shared" si="28"/>
        <v>0</v>
      </c>
    </row>
    <row r="100" spans="1:14" ht="26.4">
      <c r="A100" s="3376" t="s">
        <v>3278</v>
      </c>
      <c r="B100" s="3367" t="str">
        <f>估价对象房地状况!C22</f>
        <v>估价对象所在区域基础设施水平</v>
      </c>
      <c r="C100" s="2041"/>
      <c r="D100" s="3363">
        <f t="shared" si="29"/>
        <v>0</v>
      </c>
      <c r="E100" s="3380"/>
      <c r="F100" s="1811"/>
      <c r="G100" s="3370"/>
      <c r="H100" s="3418" t="str">
        <f t="shared" si="30"/>
        <v>——</v>
      </c>
      <c r="I100" s="3364">
        <v>0.09</v>
      </c>
      <c r="J100" s="3342">
        <f t="shared" si="26"/>
        <v>0</v>
      </c>
      <c r="K100" s="3342">
        <f t="shared" si="27"/>
        <v>0</v>
      </c>
      <c r="L100" s="3342">
        <v>0</v>
      </c>
      <c r="M100" s="3342">
        <f t="shared" si="28"/>
        <v>0</v>
      </c>
      <c r="N100" s="3342">
        <f t="shared" si="28"/>
        <v>0</v>
      </c>
    </row>
    <row r="101" spans="1:14" ht="40.200000000000003" thickBot="1">
      <c r="A101" s="3377" t="s">
        <v>3279</v>
      </c>
      <c r="B101" s="3384" t="str">
        <f>估价对象房地状况!C20</f>
        <v>区域自然环境：；人文环境；综合评价环境状况一般</v>
      </c>
      <c r="C101" s="2041"/>
      <c r="D101" s="3363">
        <f t="shared" si="29"/>
        <v>0</v>
      </c>
      <c r="E101" s="3381"/>
      <c r="F101" s="1811"/>
      <c r="G101" s="3370"/>
      <c r="H101" s="3418" t="str">
        <f t="shared" si="30"/>
        <v>——</v>
      </c>
      <c r="I101" s="3365">
        <v>7.0000000000000007E-2</v>
      </c>
      <c r="J101" s="3342">
        <f t="shared" si="26"/>
        <v>0</v>
      </c>
      <c r="K101" s="3342">
        <f t="shared" si="27"/>
        <v>0</v>
      </c>
      <c r="L101" s="3342">
        <v>0</v>
      </c>
      <c r="M101" s="3342">
        <f t="shared" si="28"/>
        <v>0</v>
      </c>
      <c r="N101" s="3342">
        <f t="shared" si="28"/>
        <v>0</v>
      </c>
    </row>
    <row r="103" spans="1:14">
      <c r="A103" s="3877" t="s">
        <v>3294</v>
      </c>
      <c r="B103" s="3877"/>
      <c r="C103" s="3877"/>
      <c r="D103" s="3877"/>
      <c r="E103" s="3877"/>
      <c r="F103" s="3877"/>
      <c r="G103" s="3877"/>
      <c r="H103" s="3877"/>
      <c r="I103" s="3877"/>
      <c r="J103" s="3877"/>
      <c r="K103" s="3387"/>
      <c r="L103" s="3387"/>
      <c r="M103" s="3387"/>
      <c r="N103" s="3387"/>
    </row>
    <row r="104" spans="1:14">
      <c r="A104" s="3878" t="s">
        <v>3295</v>
      </c>
      <c r="B104" s="3878" t="s">
        <v>3296</v>
      </c>
      <c r="C104" s="3388" t="s">
        <v>3297</v>
      </c>
      <c r="D104" s="3389"/>
      <c r="E104" s="3389"/>
      <c r="F104" s="3389"/>
      <c r="G104" s="3389"/>
      <c r="H104" s="3389"/>
      <c r="I104" s="3389"/>
      <c r="J104" s="3390"/>
      <c r="K104" s="3391"/>
      <c r="L104" s="3391"/>
      <c r="M104" s="3391"/>
      <c r="N104" s="3391"/>
    </row>
    <row r="105" spans="1:14">
      <c r="A105" s="3878"/>
      <c r="B105" s="3878"/>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64"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6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6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6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6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65"/>
      <c r="B111" s="3392" t="s">
        <v>3268</v>
      </c>
      <c r="C111" s="3393">
        <f>$I$3</f>
        <v>0</v>
      </c>
      <c r="D111" s="3393">
        <f t="shared" ref="D111:M111" si="31">$I$3</f>
        <v>0</v>
      </c>
      <c r="E111" s="3393">
        <f t="shared" si="31"/>
        <v>0</v>
      </c>
      <c r="F111" s="3393">
        <f t="shared" si="31"/>
        <v>0</v>
      </c>
      <c r="G111" s="3393">
        <f t="shared" si="31"/>
        <v>0</v>
      </c>
      <c r="H111" s="3393">
        <f t="shared" si="31"/>
        <v>0</v>
      </c>
      <c r="I111" s="3393">
        <f t="shared" si="31"/>
        <v>0</v>
      </c>
      <c r="J111" s="3393">
        <f t="shared" si="31"/>
        <v>0</v>
      </c>
      <c r="K111" s="3393">
        <f t="shared" si="31"/>
        <v>0</v>
      </c>
      <c r="L111" s="3393">
        <f t="shared" si="31"/>
        <v>0</v>
      </c>
      <c r="M111" s="3393">
        <f t="shared" si="31"/>
        <v>0</v>
      </c>
      <c r="N111" s="3393">
        <f>$I$3</f>
        <v>0</v>
      </c>
    </row>
    <row r="112" spans="1:14">
      <c r="A112" s="3866"/>
      <c r="B112" s="3392">
        <v>6</v>
      </c>
      <c r="C112" s="3385">
        <f>(-0.5556*(C111^2)-0.2719*C111+8944)*(10^(-4))</f>
        <v>0.89440000000000008</v>
      </c>
      <c r="D112" s="3385">
        <f>(-0.5556*(D111^2)-0.2719*D111+8944)*(10^(-4))</f>
        <v>0.89440000000000008</v>
      </c>
      <c r="E112" s="3385">
        <f>(-0.7912*(E111^2)-11.3794*E111+8482)*(10^(-4))</f>
        <v>0.84820000000000007</v>
      </c>
      <c r="F112" s="3385">
        <f>(-0.7912*(F111^2)-11.3794*F111+8482)*(10^(-4))</f>
        <v>0.84820000000000007</v>
      </c>
      <c r="G112" s="3385">
        <f>(-0.7912*(G111^2)-11.3794*G111+8482)*(10^(-4))</f>
        <v>0.84820000000000007</v>
      </c>
      <c r="H112" s="3385">
        <f>(-0.7912*(H111^2)-11.3794*H111+8482)*(10^(-4))</f>
        <v>0.84820000000000007</v>
      </c>
      <c r="I112" s="3385">
        <f>(-0.7912*(I111^2)-11.3794*I111+8482)*(10^(-4))</f>
        <v>0.84820000000000007</v>
      </c>
      <c r="J112" s="3385">
        <f>(-0.989*(J111^2)-63.78*J111+7771)*(10^(-4))</f>
        <v>0.77710000000000001</v>
      </c>
      <c r="K112" s="3385">
        <f>(-0.989*(K111^2)-63.78*K111+7771)*(10^(-4))</f>
        <v>0.77710000000000001</v>
      </c>
      <c r="L112" s="3385">
        <f>(-0.989*(L111^2)-63.78*L111+7771)*(10^(-4))</f>
        <v>0.77710000000000001</v>
      </c>
      <c r="M112" s="3385">
        <f>(-0.989*(M111^2)-63.78*M111+7771)*(10^(-4))</f>
        <v>0.77710000000000001</v>
      </c>
      <c r="N112" s="3385">
        <f>(-0.989*(N111^2)-63.78*N111+7771)*(10^(-4))</f>
        <v>0.77710000000000001</v>
      </c>
    </row>
    <row r="113" spans="1:14">
      <c r="A113" s="3867" t="s">
        <v>3311</v>
      </c>
      <c r="B113" s="3867"/>
      <c r="C113" s="3867"/>
      <c r="D113" s="3867"/>
      <c r="E113" s="3867"/>
      <c r="F113" s="3867"/>
      <c r="G113" s="3867"/>
      <c r="H113" s="3867"/>
      <c r="I113" s="3867"/>
      <c r="J113" s="386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3312</v>
      </c>
      <c r="B116" s="3413">
        <f>G3</f>
        <v>0</v>
      </c>
      <c r="C116" s="3397" t="s">
        <v>3313</v>
      </c>
      <c r="D116" s="3398">
        <f>SUMPRODUCT((A118:A122=F116)*(B117:M117=H116)*B118:M122)</f>
        <v>0</v>
      </c>
      <c r="E116" s="1997" t="s">
        <v>3314</v>
      </c>
      <c r="F116" s="3399">
        <f>E2</f>
        <v>0</v>
      </c>
      <c r="G116" s="1997" t="s">
        <v>3315</v>
      </c>
      <c r="H116" s="3399">
        <f>G2</f>
        <v>0</v>
      </c>
      <c r="I116" s="1997"/>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2">I118</f>
        <v>0.84860000000000002</v>
      </c>
      <c r="K118" s="3385">
        <f t="shared" si="32"/>
        <v>0.84860000000000002</v>
      </c>
      <c r="L118" s="3385">
        <f t="shared" si="32"/>
        <v>0.84860000000000002</v>
      </c>
      <c r="M118" s="3408">
        <f t="shared" si="32"/>
        <v>0.84860000000000002</v>
      </c>
      <c r="N118" s="3395"/>
    </row>
    <row r="119" spans="1:14">
      <c r="A119" s="3407" t="s">
        <v>3329</v>
      </c>
      <c r="B119" s="3385">
        <f>ROUND(0.993-0.0112*B116,4)</f>
        <v>0.99299999999999999</v>
      </c>
      <c r="C119" s="3385">
        <f>B119</f>
        <v>0.99299999999999999</v>
      </c>
      <c r="D119" s="3385">
        <f>ROUND(0.9415-0.0142*B116,4)</f>
        <v>0.9415</v>
      </c>
      <c r="E119" s="3385">
        <f t="shared" ref="E119:H120" si="33">D119</f>
        <v>0.9415</v>
      </c>
      <c r="F119" s="3385">
        <f t="shared" si="33"/>
        <v>0.9415</v>
      </c>
      <c r="G119" s="3385">
        <f t="shared" si="33"/>
        <v>0.9415</v>
      </c>
      <c r="H119" s="3385">
        <f t="shared" si="33"/>
        <v>0.9415</v>
      </c>
      <c r="I119" s="3385">
        <f>ROUND(0.838-0.0182*B116,4)</f>
        <v>0.83799999999999997</v>
      </c>
      <c r="J119" s="3385">
        <f t="shared" si="32"/>
        <v>0.83799999999999997</v>
      </c>
      <c r="K119" s="3385">
        <f t="shared" si="32"/>
        <v>0.83799999999999997</v>
      </c>
      <c r="L119" s="3385">
        <f t="shared" si="32"/>
        <v>0.83799999999999997</v>
      </c>
      <c r="M119" s="3408">
        <f t="shared" si="32"/>
        <v>0.83799999999999997</v>
      </c>
      <c r="N119" s="3395"/>
    </row>
    <row r="120" spans="1:14">
      <c r="A120" s="3407" t="s">
        <v>3330</v>
      </c>
      <c r="B120" s="3385">
        <f>ROUND(0.9448-0.0115*B116,4)</f>
        <v>0.94479999999999997</v>
      </c>
      <c r="C120" s="3385">
        <f>B120</f>
        <v>0.94479999999999997</v>
      </c>
      <c r="D120" s="3385">
        <f>ROUND(0.937-0.0145*B116,4)</f>
        <v>0.93700000000000006</v>
      </c>
      <c r="E120" s="3385">
        <f t="shared" si="33"/>
        <v>0.93700000000000006</v>
      </c>
      <c r="F120" s="3385">
        <f t="shared" si="33"/>
        <v>0.93700000000000006</v>
      </c>
      <c r="G120" s="3385">
        <f t="shared" si="33"/>
        <v>0.93700000000000006</v>
      </c>
      <c r="H120" s="3385">
        <f t="shared" si="33"/>
        <v>0.93700000000000006</v>
      </c>
      <c r="I120" s="3385">
        <f>ROUND(0.7965-0.0185*B116,4)</f>
        <v>0.79649999999999999</v>
      </c>
      <c r="J120" s="3385">
        <f t="shared" si="32"/>
        <v>0.79649999999999999</v>
      </c>
      <c r="K120" s="3385">
        <f t="shared" si="32"/>
        <v>0.79649999999999999</v>
      </c>
      <c r="L120" s="3385">
        <f t="shared" si="32"/>
        <v>0.79649999999999999</v>
      </c>
      <c r="M120" s="3408">
        <f t="shared" si="32"/>
        <v>0.79649999999999999</v>
      </c>
      <c r="N120" s="3395"/>
    </row>
    <row r="121" spans="1:14" ht="13.8"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2"/>
        <v>0.59050000000000002</v>
      </c>
      <c r="K121" s="3410">
        <f t="shared" si="32"/>
        <v>0.59050000000000002</v>
      </c>
      <c r="L121" s="3410">
        <f t="shared" si="32"/>
        <v>0.59050000000000002</v>
      </c>
      <c r="M121" s="3411">
        <f t="shared" si="32"/>
        <v>0.59050000000000002</v>
      </c>
      <c r="N121" s="3395"/>
    </row>
    <row r="122" spans="1:14">
      <c r="A122" s="3412" t="s">
        <v>2612</v>
      </c>
      <c r="B122" s="3385">
        <f>ROUND(0.9404-0.0106*B116,4)</f>
        <v>0.94040000000000001</v>
      </c>
      <c r="C122" s="3385">
        <f>B122</f>
        <v>0.94040000000000001</v>
      </c>
      <c r="D122" s="3385">
        <f>ROUND(0.8955-0.0135*B116,4)</f>
        <v>0.89549999999999996</v>
      </c>
      <c r="E122" s="3385">
        <f>D122</f>
        <v>0.89549999999999996</v>
      </c>
      <c r="F122" s="3385">
        <f>E122</f>
        <v>0.89549999999999996</v>
      </c>
      <c r="G122" s="3385">
        <f>F122</f>
        <v>0.89549999999999996</v>
      </c>
      <c r="H122" s="3385">
        <f>G122</f>
        <v>0.89549999999999996</v>
      </c>
      <c r="I122" s="3385">
        <f>ROUND(0.7632-0.0166*B116,4)</f>
        <v>0.76319999999999999</v>
      </c>
      <c r="J122" s="3385">
        <f t="shared" si="32"/>
        <v>0.76319999999999999</v>
      </c>
      <c r="K122" s="3385">
        <f t="shared" si="32"/>
        <v>0.76319999999999999</v>
      </c>
      <c r="L122" s="3385">
        <f t="shared" si="32"/>
        <v>0.76319999999999999</v>
      </c>
      <c r="M122" s="3408">
        <f t="shared" si="32"/>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4" priority="6" stopIfTrue="1" operator="notEqual">
      <formula>"——"</formula>
    </cfRule>
  </conditionalFormatting>
  <conditionalFormatting sqref="F61">
    <cfRule type="cellIs" dxfId="133" priority="5" stopIfTrue="1" operator="notEqual">
      <formula>"——"</formula>
    </cfRule>
  </conditionalFormatting>
  <conditionalFormatting sqref="F72">
    <cfRule type="cellIs" dxfId="132" priority="4" stopIfTrue="1" operator="notEqual">
      <formula>"——"</formula>
    </cfRule>
  </conditionalFormatting>
  <conditionalFormatting sqref="F83">
    <cfRule type="cellIs" dxfId="131" priority="3" stopIfTrue="1" operator="notEqual">
      <formula>"——"</formula>
    </cfRule>
  </conditionalFormatting>
  <conditionalFormatting sqref="H50:H58 H61:H69 H72:H80 H83:H91">
    <cfRule type="cellIs" dxfId="130" priority="2" operator="notEqual">
      <formula>"——"</formula>
    </cfRule>
  </conditionalFormatting>
  <conditionalFormatting sqref="H93:H101">
    <cfRule type="cellIs" dxfId="12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activeCell="F16" sqref="F16"/>
    </sheetView>
  </sheetViews>
  <sheetFormatPr defaultColWidth="8.77734375" defaultRowHeight="13.8"/>
  <sheetData>
    <row r="1" spans="1:12" ht="16.2" thickBot="1">
      <c r="A1" s="3466" t="s">
        <v>3478</v>
      </c>
    </row>
    <row r="2" spans="1:12" ht="15" thickBot="1">
      <c r="A2" s="3885" t="s">
        <v>3385</v>
      </c>
      <c r="B2" s="3883" t="s">
        <v>3386</v>
      </c>
      <c r="C2" s="3889" t="s">
        <v>3479</v>
      </c>
      <c r="D2" s="3890"/>
      <c r="E2" s="3891"/>
      <c r="F2" s="3889" t="s">
        <v>3480</v>
      </c>
      <c r="G2" s="3890"/>
      <c r="H2" s="3890"/>
      <c r="I2" s="3890"/>
      <c r="J2" s="3890"/>
      <c r="K2" s="3891"/>
    </row>
    <row r="3" spans="1:12" ht="14.4">
      <c r="A3" s="3886"/>
      <c r="B3" s="3888"/>
      <c r="C3" s="3883" t="s">
        <v>3388</v>
      </c>
      <c r="D3" s="3494" t="s">
        <v>3481</v>
      </c>
      <c r="E3" s="3494" t="s">
        <v>3481</v>
      </c>
      <c r="F3" s="3883" t="s">
        <v>3482</v>
      </c>
      <c r="G3" s="3883" t="s">
        <v>3483</v>
      </c>
      <c r="H3" s="3883" t="s">
        <v>3484</v>
      </c>
      <c r="I3" s="3883" t="s">
        <v>3471</v>
      </c>
      <c r="J3" s="3883" t="s">
        <v>3485</v>
      </c>
      <c r="K3" s="3883" t="s">
        <v>3388</v>
      </c>
    </row>
    <row r="4" spans="1:12" ht="15" thickBot="1">
      <c r="A4" s="3887"/>
      <c r="B4" s="3884"/>
      <c r="C4" s="3884"/>
      <c r="D4" s="3495" t="s">
        <v>3383</v>
      </c>
      <c r="E4" s="3495" t="s">
        <v>3384</v>
      </c>
      <c r="F4" s="3884"/>
      <c r="G4" s="3884"/>
      <c r="H4" s="3884"/>
      <c r="I4" s="3884"/>
      <c r="J4" s="3884"/>
      <c r="K4" s="3884"/>
    </row>
    <row r="5" spans="1:12" ht="15" thickBot="1">
      <c r="A5" s="3496">
        <v>1</v>
      </c>
      <c r="B5" s="3497" t="s">
        <v>3486</v>
      </c>
      <c r="C5" s="3471"/>
      <c r="D5" s="3471"/>
      <c r="E5" s="3471"/>
      <c r="F5" s="3471"/>
      <c r="G5" s="3471"/>
      <c r="H5" s="3471"/>
      <c r="I5" s="3471"/>
      <c r="J5" s="3471"/>
      <c r="K5" s="3471"/>
    </row>
    <row r="6" spans="1:12" ht="15" thickBot="1">
      <c r="A6" s="3496">
        <v>1.1000000000000001</v>
      </c>
      <c r="B6" s="3497" t="s">
        <v>3486</v>
      </c>
      <c r="C6" s="3471">
        <v>97.62</v>
      </c>
      <c r="D6" s="3498">
        <v>97.62</v>
      </c>
      <c r="E6" s="3498"/>
      <c r="F6" s="3498">
        <v>58.06</v>
      </c>
      <c r="G6" s="3498"/>
      <c r="H6" s="3498">
        <v>3.59</v>
      </c>
      <c r="I6" s="3498">
        <v>78.34</v>
      </c>
      <c r="J6" s="3498">
        <v>3.28</v>
      </c>
      <c r="K6" s="3498">
        <v>143.27000000000001</v>
      </c>
    </row>
    <row r="7" spans="1:12" ht="29.4" thickBot="1">
      <c r="A7" s="3496">
        <v>1.2</v>
      </c>
      <c r="B7" s="3497" t="s">
        <v>3487</v>
      </c>
      <c r="C7" s="3471"/>
      <c r="D7" s="3498"/>
      <c r="E7" s="3498"/>
      <c r="F7" s="3498"/>
      <c r="G7" s="3498"/>
      <c r="H7" s="3498"/>
      <c r="I7" s="3498"/>
      <c r="J7" s="3498"/>
      <c r="K7" s="3498"/>
    </row>
    <row r="8" spans="1:12" ht="29.4" thickBot="1">
      <c r="A8" s="3496" t="s">
        <v>3488</v>
      </c>
      <c r="B8" s="3499" t="s">
        <v>3489</v>
      </c>
      <c r="C8" s="3469">
        <v>11.13</v>
      </c>
      <c r="D8" s="3498">
        <v>0.17</v>
      </c>
      <c r="E8" s="3498">
        <v>10.96</v>
      </c>
      <c r="F8" s="3498"/>
      <c r="G8" s="3498"/>
      <c r="H8" s="3498"/>
      <c r="I8" s="3498">
        <v>7.44</v>
      </c>
      <c r="J8" s="3498">
        <v>0.32</v>
      </c>
      <c r="K8" s="3498">
        <v>7.76</v>
      </c>
    </row>
    <row r="9" spans="1:12" ht="29.4" thickBot="1">
      <c r="A9" s="3496" t="s">
        <v>3490</v>
      </c>
      <c r="B9" s="3499" t="s">
        <v>3491</v>
      </c>
      <c r="C9" s="3469">
        <v>12.28</v>
      </c>
      <c r="D9" s="3498"/>
      <c r="E9" s="3498">
        <v>12.28</v>
      </c>
      <c r="F9" s="3498"/>
      <c r="G9" s="3498"/>
      <c r="H9" s="3498"/>
      <c r="I9" s="3498">
        <v>7.61</v>
      </c>
      <c r="J9" s="3498">
        <v>0.32</v>
      </c>
      <c r="K9" s="3498">
        <v>7.93</v>
      </c>
    </row>
    <row r="10" spans="1:12" ht="29.4" thickBot="1">
      <c r="A10" s="3496">
        <v>1.3</v>
      </c>
      <c r="B10" s="3497" t="s">
        <v>3492</v>
      </c>
      <c r="C10" s="3471">
        <v>33.06</v>
      </c>
      <c r="D10" s="3498">
        <v>0.38</v>
      </c>
      <c r="E10" s="3498">
        <v>32.68</v>
      </c>
      <c r="F10" s="3498"/>
      <c r="G10" s="3500"/>
      <c r="H10" s="3498"/>
      <c r="I10" s="3498">
        <v>21.33</v>
      </c>
      <c r="J10" s="3498">
        <v>0.91</v>
      </c>
      <c r="K10" s="3498">
        <v>22.24</v>
      </c>
    </row>
    <row r="11" spans="1:12" ht="43.8" thickBot="1">
      <c r="A11" s="3496">
        <v>1.4</v>
      </c>
      <c r="B11" s="3497" t="s">
        <v>3493</v>
      </c>
      <c r="C11" s="3471">
        <v>16.14</v>
      </c>
      <c r="D11" s="3498"/>
      <c r="E11" s="3498">
        <v>16.14</v>
      </c>
      <c r="F11" s="3498"/>
      <c r="G11" s="3498">
        <v>0.81</v>
      </c>
      <c r="H11" s="3498"/>
      <c r="I11" s="3498">
        <v>10.210000000000001</v>
      </c>
      <c r="J11" s="3498">
        <v>0.43</v>
      </c>
      <c r="K11" s="3498">
        <v>12.3</v>
      </c>
    </row>
    <row r="12" spans="1:12" ht="15" thickBot="1">
      <c r="A12" s="3506">
        <v>2</v>
      </c>
      <c r="B12" s="3507" t="s">
        <v>3400</v>
      </c>
      <c r="C12" s="3508"/>
      <c r="D12" s="3509"/>
      <c r="E12" s="3509"/>
      <c r="F12" s="3509"/>
      <c r="G12" s="3509"/>
      <c r="H12" s="3509"/>
      <c r="I12" s="3509"/>
      <c r="J12" s="3509"/>
      <c r="K12" s="3509"/>
    </row>
    <row r="13" spans="1:12" ht="15" thickBot="1">
      <c r="A13" s="3506">
        <v>2.1</v>
      </c>
      <c r="B13" s="3507" t="s">
        <v>3400</v>
      </c>
      <c r="C13" s="3508">
        <v>2.39</v>
      </c>
      <c r="D13" s="3509">
        <v>2.39</v>
      </c>
      <c r="E13" s="3509"/>
      <c r="F13" s="3509">
        <v>1.42</v>
      </c>
      <c r="G13" s="3509"/>
      <c r="H13" s="3509">
        <v>0.09</v>
      </c>
      <c r="I13" s="3509">
        <v>1.74</v>
      </c>
      <c r="J13" s="3509">
        <v>7.0000000000000007E-2</v>
      </c>
      <c r="K13" s="3509">
        <v>3.32</v>
      </c>
      <c r="L13">
        <f>K13+K15+K16+K17+K18</f>
        <v>4.67</v>
      </c>
    </row>
    <row r="14" spans="1:12" ht="29.4" thickBot="1">
      <c r="A14" s="3506">
        <v>2.2000000000000002</v>
      </c>
      <c r="B14" s="3507" t="s">
        <v>3402</v>
      </c>
      <c r="C14" s="3508"/>
      <c r="D14" s="3509"/>
      <c r="E14" s="3509"/>
      <c r="F14" s="3509"/>
      <c r="G14" s="3509"/>
      <c r="H14" s="3509"/>
      <c r="I14" s="3509"/>
      <c r="J14" s="3509"/>
      <c r="K14" s="3509"/>
    </row>
    <row r="15" spans="1:12" ht="29.4" thickBot="1">
      <c r="A15" s="3506" t="s">
        <v>3494</v>
      </c>
      <c r="B15" s="3510" t="s">
        <v>3403</v>
      </c>
      <c r="C15" s="3511">
        <v>0.45</v>
      </c>
      <c r="D15" s="3509">
        <v>0.01</v>
      </c>
      <c r="E15" s="3509">
        <v>0.44</v>
      </c>
      <c r="F15" s="3509"/>
      <c r="G15" s="3509"/>
      <c r="H15" s="3509"/>
      <c r="I15" s="3509">
        <v>0.28999999999999998</v>
      </c>
      <c r="J15" s="3509">
        <v>0.01</v>
      </c>
      <c r="K15" s="3509">
        <v>0.3</v>
      </c>
    </row>
    <row r="16" spans="1:12" ht="29.4" thickBot="1">
      <c r="A16" s="3506" t="s">
        <v>3495</v>
      </c>
      <c r="B16" s="3510" t="s">
        <v>3404</v>
      </c>
      <c r="C16" s="3511">
        <v>0.32</v>
      </c>
      <c r="D16" s="3509"/>
      <c r="E16" s="3509">
        <v>0.32</v>
      </c>
      <c r="F16" s="3509"/>
      <c r="G16" s="3509"/>
      <c r="H16" s="3509"/>
      <c r="I16" s="3509">
        <v>0.18</v>
      </c>
      <c r="J16" s="3509">
        <v>0.01</v>
      </c>
      <c r="K16" s="3509">
        <v>0.19</v>
      </c>
    </row>
    <row r="17" spans="1:11" ht="29.4" thickBot="1">
      <c r="A17" s="3506">
        <v>2.2999999999999998</v>
      </c>
      <c r="B17" s="3507" t="s">
        <v>3496</v>
      </c>
      <c r="C17" s="3508">
        <v>1.07</v>
      </c>
      <c r="D17" s="3509">
        <v>0.04</v>
      </c>
      <c r="E17" s="3512"/>
      <c r="F17" s="3509"/>
      <c r="G17" s="3509">
        <v>1.03</v>
      </c>
      <c r="H17" s="3509"/>
      <c r="I17" s="3509">
        <v>0.59</v>
      </c>
      <c r="J17" s="3509">
        <v>0.03</v>
      </c>
      <c r="K17" s="3509">
        <v>0.62</v>
      </c>
    </row>
    <row r="18" spans="1:11" ht="29.4" thickBot="1">
      <c r="A18" s="3506">
        <v>2.4</v>
      </c>
      <c r="B18" s="3507" t="s">
        <v>3406</v>
      </c>
      <c r="C18" s="3508">
        <v>0.34</v>
      </c>
      <c r="D18" s="3509"/>
      <c r="E18" s="3509">
        <v>0.34</v>
      </c>
      <c r="F18" s="3509"/>
      <c r="G18" s="3509">
        <v>0.04</v>
      </c>
      <c r="H18" s="3509"/>
      <c r="I18" s="3509">
        <v>0.19</v>
      </c>
      <c r="J18" s="3509">
        <v>0.01</v>
      </c>
      <c r="K18" s="3509">
        <v>0.24</v>
      </c>
    </row>
    <row r="19" spans="1:11" ht="15" thickBot="1">
      <c r="A19" s="3496">
        <v>3</v>
      </c>
      <c r="B19" s="3497" t="s">
        <v>3497</v>
      </c>
      <c r="C19" s="3471"/>
      <c r="D19" s="3498"/>
      <c r="E19" s="3498"/>
      <c r="F19" s="3498"/>
      <c r="G19" s="3498"/>
      <c r="H19" s="3498"/>
      <c r="I19" s="3498"/>
      <c r="J19" s="3498"/>
      <c r="K19" s="3498"/>
    </row>
    <row r="20" spans="1:11" ht="29.4" thickBot="1">
      <c r="A20" s="3496">
        <v>3.1</v>
      </c>
      <c r="B20" s="3499" t="s">
        <v>3408</v>
      </c>
      <c r="C20" s="3469">
        <v>0.88</v>
      </c>
      <c r="D20" s="3498">
        <v>0.79</v>
      </c>
      <c r="E20" s="3498">
        <v>0.09</v>
      </c>
      <c r="F20" s="3498">
        <v>0.05</v>
      </c>
      <c r="G20" s="3498">
        <v>0.01</v>
      </c>
      <c r="H20" s="3498"/>
      <c r="I20" s="3498">
        <v>0.62</v>
      </c>
      <c r="J20" s="3498">
        <v>0.03</v>
      </c>
      <c r="K20" s="3498">
        <v>0.71</v>
      </c>
    </row>
    <row r="21" spans="1:11" ht="43.8" thickBot="1">
      <c r="A21" s="3496">
        <v>3.2</v>
      </c>
      <c r="B21" s="3499" t="s">
        <v>3409</v>
      </c>
      <c r="C21" s="3469">
        <v>2.06</v>
      </c>
      <c r="D21" s="3498">
        <v>2.06</v>
      </c>
      <c r="E21" s="3498"/>
      <c r="F21" s="3498">
        <v>0.12</v>
      </c>
      <c r="G21" s="3498"/>
      <c r="H21" s="3498">
        <v>0.01</v>
      </c>
      <c r="I21" s="3498">
        <v>3.11</v>
      </c>
      <c r="J21" s="3498">
        <v>0.13</v>
      </c>
      <c r="K21" s="3498">
        <v>3.37</v>
      </c>
    </row>
    <row r="22" spans="1:11" ht="15" thickBot="1">
      <c r="A22" s="3496">
        <v>3.3</v>
      </c>
      <c r="B22" s="3499" t="s">
        <v>3410</v>
      </c>
      <c r="C22" s="3469">
        <v>10.02</v>
      </c>
      <c r="D22" s="3498">
        <v>7.47</v>
      </c>
      <c r="E22" s="3498">
        <v>2.5499999999999998</v>
      </c>
      <c r="F22" s="3498">
        <v>0.44</v>
      </c>
      <c r="G22" s="3498"/>
      <c r="H22" s="3498">
        <v>0.03</v>
      </c>
      <c r="I22" s="3498">
        <v>8.1300000000000008</v>
      </c>
      <c r="J22" s="3498">
        <v>0.35</v>
      </c>
      <c r="K22" s="3498">
        <v>8.9499999999999993</v>
      </c>
    </row>
    <row r="23" spans="1:11" ht="15" thickBot="1">
      <c r="A23" s="3496">
        <v>3.4</v>
      </c>
      <c r="B23" s="3499" t="s">
        <v>3411</v>
      </c>
      <c r="C23" s="3469">
        <v>1.89</v>
      </c>
      <c r="D23" s="3498">
        <v>1.6</v>
      </c>
      <c r="E23" s="3498">
        <v>0.28999999999999998</v>
      </c>
      <c r="F23" s="3498">
        <v>0.1</v>
      </c>
      <c r="G23" s="3498"/>
      <c r="H23" s="3498">
        <v>0.01</v>
      </c>
      <c r="I23" s="3498">
        <v>1.31</v>
      </c>
      <c r="J23" s="3498">
        <v>0.06</v>
      </c>
      <c r="K23" s="3498">
        <v>1.48</v>
      </c>
    </row>
    <row r="24" spans="1:11" ht="15" thickBot="1">
      <c r="A24" s="3496">
        <v>4</v>
      </c>
      <c r="B24" s="3497" t="s">
        <v>3498</v>
      </c>
      <c r="C24" s="3471">
        <v>2.08</v>
      </c>
      <c r="D24" s="3498">
        <v>1.67</v>
      </c>
      <c r="E24" s="3498">
        <v>0.41</v>
      </c>
      <c r="F24" s="3498">
        <v>1</v>
      </c>
      <c r="G24" s="3498">
        <v>0.56000000000000005</v>
      </c>
      <c r="H24" s="3498">
        <v>0.06</v>
      </c>
      <c r="I24" s="3498">
        <v>1.87</v>
      </c>
      <c r="J24" s="3498">
        <v>0.08</v>
      </c>
      <c r="K24" s="3498">
        <v>3.57</v>
      </c>
    </row>
    <row r="25" spans="1:11" ht="15" thickBot="1">
      <c r="A25" s="3496">
        <v>5</v>
      </c>
      <c r="B25" s="3497" t="s">
        <v>3499</v>
      </c>
      <c r="C25" s="3471">
        <v>1.62</v>
      </c>
      <c r="D25" s="3498">
        <v>1.62</v>
      </c>
      <c r="E25" s="3498"/>
      <c r="F25" s="3498">
        <v>0.96</v>
      </c>
      <c r="G25" s="3498">
        <v>0.5</v>
      </c>
      <c r="H25" s="3498">
        <v>0.06</v>
      </c>
      <c r="I25" s="3498">
        <v>2.44</v>
      </c>
      <c r="J25" s="3498">
        <v>0.1</v>
      </c>
      <c r="K25" s="3498">
        <v>4.0599999999999996</v>
      </c>
    </row>
    <row r="26" spans="1:11" ht="15" thickBot="1">
      <c r="A26" s="3496">
        <v>6</v>
      </c>
      <c r="B26" s="3497" t="s">
        <v>3500</v>
      </c>
      <c r="C26" s="3471"/>
      <c r="D26" s="3498"/>
      <c r="E26" s="3498"/>
      <c r="F26" s="3498"/>
      <c r="G26" s="3498"/>
      <c r="H26" s="3498"/>
      <c r="I26" s="3471"/>
      <c r="J26" s="3498"/>
      <c r="K26" s="3498"/>
    </row>
    <row r="27" spans="1:11" ht="29.4" thickBot="1">
      <c r="A27" s="3496">
        <v>6.1</v>
      </c>
      <c r="B27" s="3499" t="s">
        <v>3416</v>
      </c>
      <c r="C27" s="3469">
        <v>5.26</v>
      </c>
      <c r="D27" s="3498">
        <v>4.9800000000000004</v>
      </c>
      <c r="E27" s="3498">
        <v>0.28000000000000003</v>
      </c>
      <c r="F27" s="3498">
        <v>2.95</v>
      </c>
      <c r="G27" s="3498">
        <v>1.54</v>
      </c>
      <c r="H27" s="3498">
        <v>0.18</v>
      </c>
      <c r="I27" s="3498">
        <v>3.78</v>
      </c>
      <c r="J27" s="3498">
        <v>0.16</v>
      </c>
      <c r="K27" s="3498">
        <v>8.61</v>
      </c>
    </row>
    <row r="28" spans="1:11" ht="28.8" thickBot="1">
      <c r="A28" s="3496">
        <v>6.2</v>
      </c>
      <c r="B28" s="3501" t="s">
        <v>3417</v>
      </c>
      <c r="C28" s="3502">
        <v>4.5</v>
      </c>
      <c r="D28" s="3498">
        <v>2.89</v>
      </c>
      <c r="E28" s="3503">
        <v>1.61</v>
      </c>
      <c r="F28" s="3498">
        <v>1.72</v>
      </c>
      <c r="G28" s="3498">
        <v>1.06</v>
      </c>
      <c r="H28" s="3498">
        <v>0.11</v>
      </c>
      <c r="I28" s="3498">
        <v>4.28</v>
      </c>
      <c r="J28" s="3498">
        <v>0.18</v>
      </c>
      <c r="K28" s="3498">
        <v>7.35</v>
      </c>
    </row>
    <row r="29" spans="1:11" ht="15" thickBot="1">
      <c r="A29" s="3496">
        <v>6.3</v>
      </c>
      <c r="B29" s="3499" t="s">
        <v>3418</v>
      </c>
      <c r="C29" s="3469">
        <v>14.68</v>
      </c>
      <c r="D29" s="3503">
        <v>12.3</v>
      </c>
      <c r="E29" s="3498">
        <v>2.38</v>
      </c>
      <c r="F29" s="3498">
        <v>7.32</v>
      </c>
      <c r="G29" s="3498">
        <v>4.05</v>
      </c>
      <c r="H29" s="3498">
        <v>0.45</v>
      </c>
      <c r="I29" s="3498">
        <v>21.43</v>
      </c>
      <c r="J29" s="3498">
        <v>0.91</v>
      </c>
      <c r="K29" s="3498">
        <v>34.159999999999997</v>
      </c>
    </row>
    <row r="30" spans="1:11" ht="43.8" thickBot="1">
      <c r="A30" s="3496">
        <v>6.4</v>
      </c>
      <c r="B30" s="3499" t="s">
        <v>3419</v>
      </c>
      <c r="C30" s="3502">
        <v>6.74</v>
      </c>
      <c r="D30" s="3498"/>
      <c r="E30" s="3503">
        <v>6.74</v>
      </c>
      <c r="F30" s="3498"/>
      <c r="G30" s="3498"/>
      <c r="H30" s="3498"/>
      <c r="I30" s="3498">
        <v>4.8499999999999996</v>
      </c>
      <c r="J30" s="3498">
        <v>0.21</v>
      </c>
      <c r="K30" s="3498">
        <v>5.0599999999999996</v>
      </c>
    </row>
    <row r="31" spans="1:11" ht="15" thickBot="1">
      <c r="A31" s="3496">
        <v>6.5</v>
      </c>
      <c r="B31" s="3499" t="s">
        <v>3420</v>
      </c>
      <c r="C31" s="3502">
        <v>0.99</v>
      </c>
      <c r="D31" s="3503">
        <v>0.03</v>
      </c>
      <c r="E31" s="3503">
        <v>0.96</v>
      </c>
      <c r="F31" s="3498"/>
      <c r="G31" s="3498"/>
      <c r="H31" s="3498"/>
      <c r="I31" s="3498">
        <v>1.69</v>
      </c>
      <c r="J31" s="3498">
        <v>7.0000000000000007E-2</v>
      </c>
      <c r="K31" s="3498">
        <v>1.76</v>
      </c>
    </row>
    <row r="32" spans="1:11" ht="43.8" thickBot="1">
      <c r="A32" s="3496">
        <v>7</v>
      </c>
      <c r="B32" s="3497" t="s">
        <v>3501</v>
      </c>
      <c r="C32" s="3471">
        <v>0.02</v>
      </c>
      <c r="D32" s="3498">
        <v>0.02</v>
      </c>
      <c r="E32" s="3498"/>
      <c r="F32" s="3498"/>
      <c r="G32" s="3498"/>
      <c r="H32" s="3498"/>
      <c r="I32" s="3498">
        <v>0.02</v>
      </c>
      <c r="J32" s="3498"/>
      <c r="K32" s="3498">
        <v>0.02</v>
      </c>
    </row>
    <row r="33" spans="1:11" ht="43.8" thickBot="1">
      <c r="A33" s="3496">
        <v>8</v>
      </c>
      <c r="B33" s="3497" t="s">
        <v>3502</v>
      </c>
      <c r="C33" s="3471"/>
      <c r="D33" s="3498"/>
      <c r="E33" s="3498"/>
      <c r="F33" s="3498"/>
      <c r="G33" s="3498"/>
      <c r="H33" s="3498"/>
      <c r="I33" s="3498"/>
      <c r="J33" s="3498"/>
      <c r="K33" s="3498"/>
    </row>
    <row r="34" spans="1:11" ht="15" thickBot="1">
      <c r="A34" s="3496">
        <v>8.1</v>
      </c>
      <c r="B34" s="3499" t="s">
        <v>3503</v>
      </c>
      <c r="C34" s="3469">
        <v>0.09</v>
      </c>
      <c r="D34" s="3498">
        <v>0.09</v>
      </c>
      <c r="E34" s="3498"/>
      <c r="F34" s="3471">
        <v>0.01</v>
      </c>
      <c r="G34" s="3471"/>
      <c r="H34" s="3498"/>
      <c r="I34" s="3498">
        <v>0.05</v>
      </c>
      <c r="J34" s="3498"/>
      <c r="K34" s="3498">
        <v>0.06</v>
      </c>
    </row>
    <row r="35" spans="1:11" ht="15" thickBot="1">
      <c r="A35" s="3496"/>
      <c r="B35" s="3504" t="s">
        <v>3388</v>
      </c>
      <c r="C35" s="3476">
        <v>225.63</v>
      </c>
      <c r="D35" s="3476">
        <v>136.13</v>
      </c>
      <c r="E35" s="3476">
        <v>89.5</v>
      </c>
      <c r="F35" s="3476">
        <v>74.150000000000006</v>
      </c>
      <c r="G35" s="3476">
        <v>9.42</v>
      </c>
      <c r="H35" s="3476">
        <v>4.59</v>
      </c>
      <c r="I35" s="3505">
        <v>181.5</v>
      </c>
      <c r="J35" s="3505">
        <v>7.67</v>
      </c>
      <c r="K35" s="3476">
        <v>277.33</v>
      </c>
    </row>
  </sheetData>
  <mergeCells count="11">
    <mergeCell ref="K3:K4"/>
    <mergeCell ref="A2:A4"/>
    <mergeCell ref="B2:B4"/>
    <mergeCell ref="C2:E2"/>
    <mergeCell ref="F2:K2"/>
    <mergeCell ref="C3:C4"/>
    <mergeCell ref="F3:F4"/>
    <mergeCell ref="G3:G4"/>
    <mergeCell ref="H3:H4"/>
    <mergeCell ref="I3:I4"/>
    <mergeCell ref="J3:J4"/>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8"/>
  <sheetData/>
  <phoneticPr fontId="30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3" sqref="L53"/>
    </sheetView>
  </sheetViews>
  <sheetFormatPr defaultColWidth="8.33203125" defaultRowHeight="13.2"/>
  <cols>
    <col min="1" max="1" width="9.33203125" style="268" customWidth="1"/>
    <col min="2" max="2" width="29.109375" style="250" customWidth="1"/>
    <col min="3" max="3" width="12.109375" style="250" customWidth="1"/>
    <col min="4" max="5" width="11.109375" style="271" customWidth="1"/>
    <col min="6" max="6" width="9.44140625" style="250" customWidth="1"/>
    <col min="7" max="7" width="31.77734375" style="250" customWidth="1"/>
    <col min="8" max="8" width="10.77734375" style="250" customWidth="1"/>
    <col min="9" max="254" width="9" style="250" customWidth="1"/>
    <col min="255" max="16384" width="8.33203125" style="250"/>
  </cols>
  <sheetData>
    <row r="1" spans="1:8" s="199" customFormat="1" ht="21">
      <c r="A1" s="195" t="s">
        <v>1460</v>
      </c>
      <c r="B1" s="1467"/>
      <c r="C1" s="1856" t="s">
        <v>1562</v>
      </c>
      <c r="D1" s="197"/>
      <c r="E1" s="197"/>
      <c r="F1" s="197"/>
      <c r="G1" s="1123">
        <f>MATCH(B1,'数据-取费表'!A6:A16,0)+5</f>
        <v>9</v>
      </c>
      <c r="H1" s="1058" t="str">
        <f>IF(ISERROR(FIND("住宅",B1)),"非住宅","住宅")</f>
        <v>非住宅</v>
      </c>
    </row>
    <row r="2" spans="1:8" s="199" customFormat="1" ht="18" customHeight="1">
      <c r="A2" s="200" t="s">
        <v>1461</v>
      </c>
      <c r="B2" s="3421">
        <f ca="1">ROUND(IF(D2="——",C52/10000,C52/10000-E2),4)</f>
        <v>32420.754000000001</v>
      </c>
      <c r="C2" s="198" t="s">
        <v>1462</v>
      </c>
      <c r="D2" s="1850" t="s">
        <v>43</v>
      </c>
      <c r="E2" s="1166" t="e">
        <f ca="1">SUMIF(INDIRECT("'"&amp;G2&amp;"'"&amp;"!A:A"),"承租人权益价值",INDIRECT("'"&amp;G2&amp;"'"&amp;"!c:c"))</f>
        <v>#REF!</v>
      </c>
      <c r="F2" s="1851" t="s">
        <v>1462</v>
      </c>
      <c r="G2" s="1852"/>
    </row>
    <row r="3" spans="1:8" s="199" customFormat="1" ht="18" customHeight="1" thickBot="1">
      <c r="A3" s="202" t="s">
        <v>1463</v>
      </c>
      <c r="B3" s="203">
        <f ca="1">ROUND(B2*10000/(IF(B1="",'数据-汇总表'!E3,INDIRECT("'数据-取费表'!k"&amp;$G$1))),0)</f>
        <v>7862</v>
      </c>
      <c r="C3" s="198" t="s">
        <v>1464</v>
      </c>
      <c r="D3" s="198"/>
      <c r="E3" s="198"/>
      <c r="F3" s="198"/>
      <c r="G3" s="198"/>
    </row>
    <row r="4" spans="1:8" s="207" customFormat="1" ht="16.2">
      <c r="A4" s="204" t="s">
        <v>1465</v>
      </c>
      <c r="B4" s="205"/>
      <c r="C4" s="205"/>
      <c r="D4" s="205"/>
      <c r="E4" s="205"/>
      <c r="F4" s="205"/>
      <c r="G4" s="206"/>
    </row>
    <row r="5" spans="1:8" s="213" customFormat="1" ht="13.5" customHeight="1">
      <c r="A5" s="254" t="s">
        <v>1466</v>
      </c>
      <c r="B5" s="209" t="s">
        <v>1467</v>
      </c>
      <c r="C5" s="210">
        <f ca="1">C6+C7+C8</f>
        <v>7291120</v>
      </c>
      <c r="D5" s="210" t="s">
        <v>1468</v>
      </c>
      <c r="E5" s="211" t="s">
        <v>1469</v>
      </c>
      <c r="F5" s="211" t="s">
        <v>1470</v>
      </c>
      <c r="G5" s="212"/>
    </row>
    <row r="6" spans="1:8" s="213" customFormat="1" ht="13.5" customHeight="1">
      <c r="A6" s="776" t="s">
        <v>1471</v>
      </c>
      <c r="B6" s="214" t="s">
        <v>1472</v>
      </c>
      <c r="C6" s="215"/>
      <c r="D6" s="216"/>
      <c r="E6" s="217"/>
      <c r="F6" s="217"/>
      <c r="G6" s="218"/>
    </row>
    <row r="7" spans="1:8" s="213" customFormat="1" ht="13.5" customHeight="1">
      <c r="A7" s="776" t="s">
        <v>1473</v>
      </c>
      <c r="B7" s="214" t="s">
        <v>1474</v>
      </c>
      <c r="C7" s="219">
        <f>ROUND(C6*F7,0)</f>
        <v>0</v>
      </c>
      <c r="D7" s="219"/>
      <c r="E7" s="217"/>
      <c r="F7" s="220">
        <f>IF(项目基本情况!B8="出让",0,'数据-取费表'!B48+'数据-取费表'!B49)</f>
        <v>3.0499999999999999E-2</v>
      </c>
      <c r="G7" s="218"/>
    </row>
    <row r="8" spans="1:8" s="222" customFormat="1">
      <c r="A8" s="776" t="s">
        <v>1475</v>
      </c>
      <c r="B8" s="214" t="s">
        <v>1476</v>
      </c>
      <c r="C8" s="219">
        <f ca="1">IF(G8="已包含在土地购买价格中",0,C9+C10)</f>
        <v>7291120</v>
      </c>
      <c r="D8" s="221"/>
      <c r="E8" s="219"/>
      <c r="F8" s="220"/>
      <c r="G8" s="1853"/>
    </row>
    <row r="9" spans="1:8" s="213" customFormat="1" ht="13.5" customHeight="1">
      <c r="A9" s="777" t="s">
        <v>355</v>
      </c>
      <c r="B9" s="223" t="s">
        <v>1477</v>
      </c>
      <c r="C9" s="224">
        <f ca="1">ROUND(D9*E9,0)</f>
        <v>3825920</v>
      </c>
      <c r="D9" s="843">
        <f ca="1">IF(B1="",'数据-汇总表'!E5,IF(INDIRECT("'数据-取费表'!c"&amp;$G$1)="住宅",INDIRECT("'数据-取费表'!k"&amp;$G$1),0))</f>
        <v>23912</v>
      </c>
      <c r="E9" s="224">
        <f>'数据-取费表'!B27</f>
        <v>160</v>
      </c>
      <c r="F9" s="220"/>
      <c r="G9" s="225"/>
    </row>
    <row r="10" spans="1:8" s="213" customFormat="1" ht="13.5" customHeight="1">
      <c r="A10" s="777" t="s">
        <v>356</v>
      </c>
      <c r="B10" s="223" t="s">
        <v>1479</v>
      </c>
      <c r="C10" s="224">
        <f ca="1">ROUND(D10*E10,0)</f>
        <v>3465200</v>
      </c>
      <c r="D10" s="843">
        <f ca="1">IF(B1="",'数据-汇总表'!E6,IF(INDIRECT("'数据-取费表'!c"&amp;$G$1)="住宅",INDIRECT("'数据-取费表'!s"&amp;$G$1),INDIRECT("'数据-取费表'!k"&amp;$G$1)+INDIRECT("'数据-取费表'!s"&amp;$G$1)))</f>
        <v>17326</v>
      </c>
      <c r="E10" s="224">
        <f>'数据-取费表'!B28</f>
        <v>200</v>
      </c>
      <c r="F10" s="220"/>
      <c r="G10" s="225"/>
    </row>
    <row r="11" spans="1:8" s="213" customFormat="1" ht="13.5" hidden="1" customHeight="1">
      <c r="A11" s="226" t="s">
        <v>4</v>
      </c>
      <c r="B11" s="214" t="s">
        <v>1480</v>
      </c>
      <c r="C11" s="210"/>
      <c r="D11" s="845"/>
      <c r="E11" s="217"/>
      <c r="F11" s="217"/>
      <c r="G11" s="218"/>
    </row>
    <row r="12" spans="1:8" s="213" customFormat="1" ht="13.5" hidden="1" customHeight="1">
      <c r="A12" s="226" t="s">
        <v>5</v>
      </c>
      <c r="B12" s="214" t="s">
        <v>1563</v>
      </c>
      <c r="C12" s="210">
        <v>0</v>
      </c>
      <c r="D12" s="845"/>
      <c r="E12" s="227"/>
      <c r="F12" s="220">
        <v>3.0499999999999999E-2</v>
      </c>
      <c r="G12" s="218"/>
    </row>
    <row r="13" spans="1:8" s="213" customFormat="1" ht="13.5" hidden="1" customHeight="1">
      <c r="A13" s="226" t="s">
        <v>6</v>
      </c>
      <c r="B13" s="214" t="s">
        <v>1564</v>
      </c>
      <c r="C13" s="210"/>
      <c r="D13" s="845"/>
      <c r="E13" s="217"/>
      <c r="F13" s="217"/>
      <c r="G13" s="218"/>
    </row>
    <row r="14" spans="1:8" s="213" customFormat="1" ht="13.5" hidden="1" customHeight="1">
      <c r="A14" s="226" t="s">
        <v>7</v>
      </c>
      <c r="B14" s="214" t="s">
        <v>1476</v>
      </c>
      <c r="C14" s="210"/>
      <c r="D14" s="845"/>
      <c r="E14" s="217"/>
      <c r="F14" s="217"/>
      <c r="G14" s="218" t="s">
        <v>1565</v>
      </c>
    </row>
    <row r="15" spans="1:8" s="213" customFormat="1" ht="13.5" hidden="1" customHeight="1">
      <c r="A15" s="226" t="s">
        <v>8</v>
      </c>
      <c r="B15" s="214" t="s">
        <v>1566</v>
      </c>
      <c r="C15" s="219"/>
      <c r="D15" s="845"/>
      <c r="E15" s="217"/>
      <c r="F15" s="217"/>
      <c r="G15" s="218" t="s">
        <v>1567</v>
      </c>
    </row>
    <row r="16" spans="1:8" s="213" customFormat="1" ht="13.5" hidden="1" customHeight="1">
      <c r="A16" s="226" t="s">
        <v>9</v>
      </c>
      <c r="B16" s="214" t="s">
        <v>1476</v>
      </c>
      <c r="C16" s="219"/>
      <c r="D16" s="845"/>
      <c r="E16" s="217"/>
      <c r="F16" s="217"/>
      <c r="G16" s="218"/>
    </row>
    <row r="17" spans="1:7" s="213" customFormat="1" ht="13.5" hidden="1" customHeight="1">
      <c r="A17" s="226" t="s">
        <v>10</v>
      </c>
      <c r="B17" s="214" t="s">
        <v>1568</v>
      </c>
      <c r="C17" s="228"/>
      <c r="D17" s="846"/>
      <c r="E17" s="228"/>
      <c r="F17" s="228"/>
      <c r="G17" s="218" t="s">
        <v>1567</v>
      </c>
    </row>
    <row r="18" spans="1:7" s="213" customFormat="1" ht="13.5" hidden="1" customHeight="1">
      <c r="A18" s="226" t="s">
        <v>11</v>
      </c>
      <c r="B18" s="214" t="s">
        <v>1569</v>
      </c>
      <c r="C18" s="219">
        <v>0</v>
      </c>
      <c r="D18" s="845"/>
      <c r="E18" s="217"/>
      <c r="F18" s="220">
        <v>3.0499999999999999E-2</v>
      </c>
      <c r="G18" s="218" t="s">
        <v>1570</v>
      </c>
    </row>
    <row r="19" spans="1:7" s="222" customFormat="1" ht="13.5" customHeight="1">
      <c r="A19" s="254" t="s">
        <v>1571</v>
      </c>
      <c r="B19" s="209" t="s">
        <v>1572</v>
      </c>
      <c r="C19" s="210">
        <f ca="1">IF(G19="已包含在土地取得成本中","0",ROUND(D19*E19,0))</f>
        <v>8247600</v>
      </c>
      <c r="D19" s="847">
        <f ca="1">D9+D10</f>
        <v>41238</v>
      </c>
      <c r="E19" s="210">
        <f>'数据-取费表'!B31</f>
        <v>200</v>
      </c>
      <c r="F19" s="230"/>
      <c r="G19" s="1853"/>
    </row>
    <row r="20" spans="1:7" s="213" customFormat="1" ht="13.5" customHeight="1">
      <c r="A20" s="254" t="s">
        <v>1573</v>
      </c>
      <c r="B20" s="209" t="s">
        <v>1574</v>
      </c>
      <c r="C20" s="231">
        <f ca="1">ROUND((C5+C19)*F20,0)</f>
        <v>310774</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4">
        <f ca="1">ROUND(SUM(C23:C25),0)</f>
        <v>1586370</v>
      </c>
      <c r="D22" s="234">
        <f ca="1">C26</f>
        <v>1.1000000000000001E-3</v>
      </c>
      <c r="E22" s="235" t="s">
        <v>1578</v>
      </c>
      <c r="F22" s="236">
        <f ca="1">'数据-取费表'!B40</f>
        <v>3.5799999999999998E-2</v>
      </c>
      <c r="G22" s="233" t="str">
        <f>IF('数据-取费表'!B22&lt;=1,"单利计息","复利计息")</f>
        <v>复利计息</v>
      </c>
    </row>
    <row r="23" spans="1:7" s="213" customFormat="1" ht="13.5" customHeight="1">
      <c r="A23" s="778" t="s">
        <v>1471</v>
      </c>
      <c r="B23" s="214" t="s">
        <v>1582</v>
      </c>
      <c r="C23" s="1125">
        <f ca="1">ROUND(IF('数据-取费表'!B22&lt;=1,C5*F22*'数据-取费表'!B22,C5*(POWER((1+F22),'数据-取费表'!B22)-1)),0)</f>
        <v>811435</v>
      </c>
      <c r="D23" s="237"/>
      <c r="E23" s="237"/>
      <c r="F23" s="238"/>
      <c r="G23" s="239" t="s">
        <v>1583</v>
      </c>
    </row>
    <row r="24" spans="1:7" s="213" customFormat="1" ht="13.5" customHeight="1">
      <c r="A24" s="778" t="s">
        <v>1473</v>
      </c>
      <c r="B24" s="214" t="s">
        <v>1584</v>
      </c>
      <c r="C24" s="1125">
        <f ca="1">ROUND(IF('数据-取费表'!B22&lt;=1,C19*F22*('数据-取费表'!B19/2+'数据-取费表'!B20),C19*(POWER((1+F22),('数据-取费表'!B19/2+'数据-取费表'!B20))-1)),0)</f>
        <v>758098</v>
      </c>
      <c r="D24" s="237"/>
      <c r="E24" s="237"/>
      <c r="F24" s="238"/>
      <c r="G24" s="239" t="s">
        <v>1585</v>
      </c>
    </row>
    <row r="25" spans="1:7" s="213" customFormat="1" ht="24">
      <c r="A25" s="778" t="s">
        <v>1475</v>
      </c>
      <c r="B25" s="214" t="s">
        <v>1586</v>
      </c>
      <c r="C25" s="1125">
        <f ca="1">ROUND(IF('数据-取费表'!B22&lt;=1,C20*F22*'数据-取费表'!B22/2,C20*(POWER((1+F22),'数据-取费表'!B22/2)-1)),0)</f>
        <v>16837</v>
      </c>
      <c r="D25" s="237"/>
      <c r="E25" s="240"/>
      <c r="F25" s="238"/>
      <c r="G25" s="241" t="s">
        <v>1587</v>
      </c>
    </row>
    <row r="26" spans="1:7" s="213" customFormat="1">
      <c r="A26" s="778" t="s">
        <v>350</v>
      </c>
      <c r="B26" s="214" t="s">
        <v>1510</v>
      </c>
      <c r="C26" s="237">
        <f ca="1">ROUND(IF('数据-取费表'!B22&lt;=1,F21*F22*'数据-取费表'!B22/2,F21*(POWER((1+F22),'数据-取费表'!B22/2)-1)),4)</f>
        <v>1.1000000000000001E-3</v>
      </c>
      <c r="D26" s="237"/>
      <c r="E26" s="240"/>
      <c r="F26" s="238"/>
      <c r="G26" s="242"/>
    </row>
    <row r="27" spans="1:7" s="213" customFormat="1" ht="26.4">
      <c r="A27" s="254" t="s">
        <v>1511</v>
      </c>
      <c r="B27" s="243" t="s">
        <v>1512</v>
      </c>
      <c r="C27" s="244">
        <f ca="1">C28</f>
        <v>475485</v>
      </c>
      <c r="D27" s="234">
        <f ca="1">C29</f>
        <v>5.9999999999999995E-4</v>
      </c>
      <c r="E27" s="235" t="s">
        <v>1513</v>
      </c>
      <c r="F27" s="245">
        <f ca="1">IF(B1="",'数据-取费表'!Q16,INDIRECT("'数据-取费表'!q"&amp;$G$1))</f>
        <v>0.03</v>
      </c>
      <c r="G27" s="246" t="s">
        <v>1514</v>
      </c>
    </row>
    <row r="28" spans="1:7" s="213" customFormat="1" ht="13.5" customHeight="1">
      <c r="A28" s="778" t="s">
        <v>346</v>
      </c>
      <c r="B28" s="247" t="s">
        <v>1515</v>
      </c>
      <c r="C28" s="248">
        <f ca="1">ROUND((C5+C19+C20)*F27,0)</f>
        <v>475485</v>
      </c>
      <c r="D28" s="234"/>
      <c r="E28" s="235"/>
      <c r="F28" s="245"/>
      <c r="G28" s="246"/>
    </row>
    <row r="29" spans="1:7" s="213" customFormat="1" ht="13.5" customHeight="1">
      <c r="A29" s="778" t="s">
        <v>347</v>
      </c>
      <c r="B29" s="247" t="s">
        <v>1516</v>
      </c>
      <c r="C29" s="237">
        <f ca="1">ROUND(C21*F27,4)</f>
        <v>5.9999999999999995E-4</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19344799</v>
      </c>
      <c r="D31" s="229"/>
      <c r="E31" s="210"/>
      <c r="F31" s="249"/>
      <c r="G31" s="233" t="s">
        <v>1521</v>
      </c>
    </row>
    <row r="32" spans="1:7" s="207" customFormat="1" ht="16.2">
      <c r="A32" s="251" t="s">
        <v>1588</v>
      </c>
      <c r="B32" s="252"/>
      <c r="C32" s="252"/>
      <c r="D32" s="252"/>
      <c r="E32" s="252"/>
      <c r="F32" s="252"/>
      <c r="G32" s="253"/>
    </row>
    <row r="33" spans="1:7" s="213" customFormat="1" ht="13.5" customHeight="1">
      <c r="A33" s="254" t="s">
        <v>337</v>
      </c>
      <c r="B33" s="209" t="s">
        <v>1589</v>
      </c>
      <c r="C33" s="255">
        <f ca="1">SUM(C34:C38)</f>
        <v>259764695</v>
      </c>
      <c r="D33" s="231"/>
      <c r="E33" s="211"/>
      <c r="F33" s="240"/>
      <c r="G33" s="233"/>
    </row>
    <row r="34" spans="1:7" s="257" customFormat="1" ht="13.5" customHeight="1">
      <c r="A34" s="778" t="s">
        <v>346</v>
      </c>
      <c r="B34" s="214" t="s">
        <v>1524</v>
      </c>
      <c r="C34" s="219">
        <f ca="1">ROUND(IF(B1="",SUMPRODUCT('数据-取费表'!K6:K14,'数据-取费表'!L6:L14),INDIRECT("'数据-取费表'!l"&amp;$G$1)*INDIRECT("'数据-取费表'!k"&amp;$G$1)+'数据-取费表'!L14*INDIRECT("'数据-取费表'!S"&amp;$G$1)),0)</f>
        <v>214853000</v>
      </c>
      <c r="D34" s="216"/>
      <c r="E34" s="219"/>
      <c r="F34" s="256"/>
      <c r="G34" s="218"/>
    </row>
    <row r="35" spans="1:7" ht="13.5" customHeight="1">
      <c r="A35" s="778" t="s">
        <v>351</v>
      </c>
      <c r="B35" s="214" t="s">
        <v>1526</v>
      </c>
      <c r="C35" s="219">
        <f ca="1">ROUND(C34*F35,0)</f>
        <v>21485300</v>
      </c>
      <c r="D35" s="219"/>
      <c r="E35" s="219"/>
      <c r="F35" s="258">
        <f>'数据-取费表'!B33</f>
        <v>0.1</v>
      </c>
      <c r="G35" s="218" t="s">
        <v>1527</v>
      </c>
    </row>
    <row r="36" spans="1:7" ht="24">
      <c r="A36" s="778" t="s">
        <v>352</v>
      </c>
      <c r="B36" s="214" t="s">
        <v>1528</v>
      </c>
      <c r="C36" s="219">
        <f ca="1">ROUND(IF(B1="",SUM('数据-取费表'!AP6:AP13)*F36,IF(INDIRECT("'数据-取费表'!c"&amp;$G$1)="住宅",INDIRECT("'数据-取费表'!k"&amp;$G$1)*INDIRECT("'数据-取费表'!l"&amp;$G$1)*F36,0)),0)</f>
        <v>11956000</v>
      </c>
      <c r="D36" s="219"/>
      <c r="E36" s="219"/>
      <c r="F36" s="258">
        <f>'数据-取费表'!B34</f>
        <v>0.1</v>
      </c>
      <c r="G36" s="259" t="s">
        <v>1529</v>
      </c>
    </row>
    <row r="37" spans="1:7" s="257" customFormat="1" ht="13.5" customHeight="1">
      <c r="A37" s="778" t="s">
        <v>353</v>
      </c>
      <c r="B37" s="214" t="s">
        <v>1530</v>
      </c>
      <c r="C37" s="248">
        <f ca="1">ROUND(E37*D37,0)</f>
        <v>8247600</v>
      </c>
      <c r="D37" s="216">
        <f ca="1">D19</f>
        <v>41238</v>
      </c>
      <c r="E37" s="248">
        <f>'数据-取费表'!B35</f>
        <v>200</v>
      </c>
      <c r="F37" s="258"/>
      <c r="G37" s="260"/>
    </row>
    <row r="38" spans="1:7" ht="13.5" customHeight="1">
      <c r="A38" s="778" t="s">
        <v>354</v>
      </c>
      <c r="B38" s="214" t="s">
        <v>1532</v>
      </c>
      <c r="C38" s="219">
        <f ca="1">ROUND(C34*F38,0)</f>
        <v>3222795</v>
      </c>
      <c r="D38" s="219"/>
      <c r="E38" s="219"/>
      <c r="F38" s="258">
        <f>'数据-取费表'!B36</f>
        <v>1.4999999999999999E-2</v>
      </c>
      <c r="G38" s="218" t="s">
        <v>1527</v>
      </c>
    </row>
    <row r="39" spans="1:7" s="213" customFormat="1" ht="13.5" customHeight="1">
      <c r="A39" s="254" t="s">
        <v>1533</v>
      </c>
      <c r="B39" s="209" t="s">
        <v>1534</v>
      </c>
      <c r="C39" s="231">
        <f ca="1">ROUND(C33*F20,0)</f>
        <v>5195294</v>
      </c>
      <c r="D39" s="231"/>
      <c r="E39" s="231"/>
      <c r="F39" s="232">
        <f>F20</f>
        <v>0.02</v>
      </c>
      <c r="G39" s="233" t="s">
        <v>1535</v>
      </c>
    </row>
    <row r="40" spans="1:7" s="213" customFormat="1" ht="13.5" customHeight="1">
      <c r="A40" s="254" t="s">
        <v>1536</v>
      </c>
      <c r="B40" s="209" t="s">
        <v>1537</v>
      </c>
      <c r="C40" s="1324">
        <f>F21</f>
        <v>0.02</v>
      </c>
      <c r="D40" s="235" t="s">
        <v>1538</v>
      </c>
      <c r="E40" s="231"/>
      <c r="F40" s="232">
        <f>F21</f>
        <v>0.02</v>
      </c>
      <c r="G40" s="233" t="s">
        <v>1539</v>
      </c>
    </row>
    <row r="41" spans="1:7" s="213" customFormat="1" ht="13.5" customHeight="1">
      <c r="A41" s="254" t="s">
        <v>1540</v>
      </c>
      <c r="B41" s="209" t="s">
        <v>1541</v>
      </c>
      <c r="C41" s="231">
        <f ca="1">ROUND(SUM(C42:C43),0)</f>
        <v>9485568</v>
      </c>
      <c r="D41" s="234">
        <f ca="1">C44</f>
        <v>6.9999999999999999E-4</v>
      </c>
      <c r="E41" s="235" t="s">
        <v>1538</v>
      </c>
      <c r="F41" s="236">
        <f ca="1">F22</f>
        <v>3.5799999999999998E-2</v>
      </c>
      <c r="G41" s="233" t="str">
        <f>IF('数据-取费表'!B22&lt;=1,"单利计息","复利计息")</f>
        <v>复利计息</v>
      </c>
    </row>
    <row r="42" spans="1:7" ht="13.5" customHeight="1">
      <c r="A42" s="778" t="s">
        <v>346</v>
      </c>
      <c r="B42" s="214" t="s">
        <v>1542</v>
      </c>
      <c r="C42" s="237">
        <f ca="1">ROUND(IF('数据-取费表'!B22&lt;=1,C33*F22*'数据-取费表'!B20/2,C33*(POWER((1+F22),'数据-取费表'!B20/2)-1)),0)</f>
        <v>9299576</v>
      </c>
      <c r="D42" s="237"/>
      <c r="E42" s="237"/>
      <c r="F42" s="238"/>
      <c r="G42" s="3761" t="s">
        <v>1590</v>
      </c>
    </row>
    <row r="43" spans="1:7" ht="13.5" customHeight="1">
      <c r="A43" s="778" t="s">
        <v>347</v>
      </c>
      <c r="B43" s="214" t="s">
        <v>1544</v>
      </c>
      <c r="C43" s="237">
        <f ca="1">ROUND(IF('数据-取费表'!B22&lt;=1,C39*F22*'数据-取费表'!B20/2,C39*(POWER((1+F22),'数据-取费表'!B20/2)-1)),0)</f>
        <v>185992</v>
      </c>
      <c r="D43" s="237"/>
      <c r="E43" s="237"/>
      <c r="F43" s="238"/>
      <c r="G43" s="3762"/>
    </row>
    <row r="44" spans="1:7" ht="13.5" customHeight="1">
      <c r="A44" s="778" t="s">
        <v>348</v>
      </c>
      <c r="B44" s="214" t="s">
        <v>1545</v>
      </c>
      <c r="C44" s="237">
        <f ca="1">ROUND(IF('数据-取费表'!B22&lt;=1,C40*F22*'数据-取费表'!B20/2,C40*(POWER((1+F22),'数据-取费表'!B20/2)-1)),4)</f>
        <v>6.9999999999999999E-4</v>
      </c>
      <c r="D44" s="237"/>
      <c r="E44" s="237"/>
      <c r="F44" s="238"/>
      <c r="G44" s="3763"/>
    </row>
    <row r="45" spans="1:7" s="213" customFormat="1" ht="13.5" customHeight="1">
      <c r="A45" s="254" t="s">
        <v>1546</v>
      </c>
      <c r="B45" s="243" t="s">
        <v>1512</v>
      </c>
      <c r="C45" s="244">
        <f ca="1">C46</f>
        <v>7948800</v>
      </c>
      <c r="D45" s="234">
        <f ca="1">C47</f>
        <v>5.9999999999999995E-4</v>
      </c>
      <c r="E45" s="235" t="s">
        <v>1538</v>
      </c>
      <c r="F45" s="245">
        <f ca="1">F27</f>
        <v>0.03</v>
      </c>
      <c r="G45" s="246" t="s">
        <v>1547</v>
      </c>
    </row>
    <row r="46" spans="1:7" s="213" customFormat="1" ht="13.5" customHeight="1">
      <c r="A46" s="778" t="s">
        <v>346</v>
      </c>
      <c r="B46" s="247" t="s">
        <v>1548</v>
      </c>
      <c r="C46" s="248">
        <f ca="1">ROUND((C33+C39)*F27,0)</f>
        <v>7948800</v>
      </c>
      <c r="D46" s="262"/>
      <c r="E46" s="235"/>
      <c r="F46" s="245"/>
      <c r="G46" s="246"/>
    </row>
    <row r="47" spans="1:7" s="213" customFormat="1" ht="13.5" customHeight="1">
      <c r="A47" s="778" t="s">
        <v>347</v>
      </c>
      <c r="B47" s="247" t="s">
        <v>1549</v>
      </c>
      <c r="C47" s="237">
        <f ca="1">ROUND(C40*F27,4)</f>
        <v>5.9999999999999995E-4</v>
      </c>
      <c r="D47" s="262"/>
      <c r="E47" s="235"/>
      <c r="F47" s="245"/>
      <c r="G47" s="246"/>
    </row>
    <row r="48" spans="1:7" s="213" customFormat="1" ht="13.5" customHeight="1">
      <c r="A48" s="254" t="s">
        <v>1511</v>
      </c>
      <c r="B48" s="209" t="s">
        <v>1550</v>
      </c>
      <c r="C48" s="261">
        <f>ROUND(F30/(1+'数据-取费表'!C42),4)</f>
        <v>5.2400000000000002E-2</v>
      </c>
      <c r="D48" s="235" t="s">
        <v>1538</v>
      </c>
      <c r="E48" s="231"/>
      <c r="F48" s="236">
        <f>F30</f>
        <v>5.5000000000000007E-2</v>
      </c>
      <c r="G48" s="233" t="s">
        <v>1551</v>
      </c>
    </row>
    <row r="49" spans="1:7" ht="16.5" customHeight="1">
      <c r="A49" s="254" t="s">
        <v>1517</v>
      </c>
      <c r="B49" s="209" t="s">
        <v>1591</v>
      </c>
      <c r="C49" s="231">
        <f ca="1">ROUND((C33+C39+C41+C45)/(1-C40-D41-D45-C48),0)</f>
        <v>304862741</v>
      </c>
      <c r="D49" s="231"/>
      <c r="E49" s="231"/>
      <c r="F49" s="263"/>
      <c r="G49" s="233" t="s">
        <v>1553</v>
      </c>
    </row>
    <row r="50" spans="1:7" s="257" customFormat="1">
      <c r="A50" s="254" t="s">
        <v>1554</v>
      </c>
      <c r="B50" s="209" t="s">
        <v>1555</v>
      </c>
      <c r="C50" s="231"/>
      <c r="D50" s="231"/>
      <c r="E50" s="231"/>
      <c r="F50" s="263">
        <f>IF('数据-取费表'!B24=0,'数据-取费表'!N16,1)</f>
        <v>1</v>
      </c>
      <c r="G50" s="246"/>
    </row>
    <row r="51" spans="1:7" ht="16.5" customHeight="1">
      <c r="A51" s="254" t="s">
        <v>1557</v>
      </c>
      <c r="B51" s="209" t="s">
        <v>1592</v>
      </c>
      <c r="C51" s="231">
        <f ca="1">ROUND(C49*F50,0)</f>
        <v>304862741</v>
      </c>
      <c r="D51" s="231"/>
      <c r="E51" s="231"/>
      <c r="F51" s="263"/>
      <c r="G51" s="233" t="s">
        <v>1559</v>
      </c>
    </row>
    <row r="52" spans="1:7" s="207" customFormat="1" ht="16.8" thickBot="1">
      <c r="A52" s="264" t="s">
        <v>1560</v>
      </c>
      <c r="B52" s="265"/>
      <c r="C52" s="266">
        <f ca="1">C31+C51</f>
        <v>324207540</v>
      </c>
      <c r="D52" s="265"/>
      <c r="E52" s="265"/>
      <c r="F52" s="265"/>
      <c r="G52" s="267"/>
    </row>
    <row r="55" spans="1:7" ht="15">
      <c r="B55" s="269" t="s">
        <v>1561</v>
      </c>
      <c r="C55" s="270"/>
    </row>
    <row r="56" spans="1:7">
      <c r="B56" s="272" t="s">
        <v>802</v>
      </c>
      <c r="C56" s="274">
        <f ca="1">1-C57</f>
        <v>6.0000000000000053E-2</v>
      </c>
    </row>
    <row r="57" spans="1:7">
      <c r="B57" s="272" t="s">
        <v>803</v>
      </c>
      <c r="C57" s="273">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777343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5" t="s">
        <v>1593</v>
      </c>
      <c r="B1" s="1188"/>
      <c r="C1" s="1189"/>
      <c r="D1" s="1187"/>
      <c r="E1" s="2803"/>
      <c r="F1" s="2803"/>
      <c r="G1" s="2668"/>
      <c r="H1" s="2803"/>
      <c r="I1" s="2803"/>
      <c r="J1" s="2803"/>
      <c r="K1" s="2804">
        <f>MATCH(C1,'数据-取费表'!A6:A16,0)+5</f>
        <v>9</v>
      </c>
    </row>
    <row r="2" spans="1:33" ht="18" customHeight="1">
      <c r="A2" s="200" t="s">
        <v>1461</v>
      </c>
      <c r="B2" s="203">
        <f ca="1">C32</f>
        <v>-581</v>
      </c>
      <c r="C2" s="275" t="s">
        <v>1594</v>
      </c>
      <c r="D2" s="275"/>
      <c r="E2" s="2803"/>
      <c r="F2" s="2803"/>
      <c r="G2" s="2803"/>
      <c r="H2" s="2803"/>
      <c r="I2" s="2803"/>
      <c r="J2" s="2803"/>
      <c r="K2" s="2803"/>
    </row>
    <row r="3" spans="1:33" ht="18" customHeight="1" thickBot="1">
      <c r="A3" s="202" t="s">
        <v>1463</v>
      </c>
      <c r="B3" s="203">
        <f ca="1">ROUND(B2*10000/IF(C1="",'数据-汇总表'!E3,INDIRECT("'数据-取费表'!K"&amp;$K$1)),0)</f>
        <v>-141</v>
      </c>
      <c r="C3" s="275" t="s">
        <v>1595</v>
      </c>
      <c r="D3" s="275"/>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4.4">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3"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8"/>
      <c r="F12" s="810">
        <f>'数据-取费表'!B33</f>
        <v>0.1</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8"/>
      <c r="F13" s="810">
        <f>'数据-取费表'!B34</f>
        <v>0.1</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41238</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0"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41238</v>
      </c>
      <c r="E17" s="21">
        <f>'数据-取费表'!B32</f>
        <v>0</v>
      </c>
      <c r="F17" s="804"/>
      <c r="G17" s="130"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570</v>
      </c>
      <c r="D18" s="844"/>
      <c r="E18" s="21"/>
      <c r="F18" s="802"/>
      <c r="G18" s="1859"/>
      <c r="H18" s="1184"/>
      <c r="I18" s="1860" t="s">
        <v>1624</v>
      </c>
      <c r="J18" s="805"/>
      <c r="K18" s="806"/>
    </row>
    <row r="19" spans="1:33" s="801" customFormat="1" ht="13.5" customHeight="1">
      <c r="A19" s="798" t="s">
        <v>360</v>
      </c>
      <c r="B19" s="799" t="s">
        <v>1625</v>
      </c>
      <c r="C19" s="21">
        <f ca="1">ROUND(D19*E19/10000,0)</f>
        <v>383</v>
      </c>
      <c r="D19" s="844">
        <f ca="1">IF(C1="",'数据-汇总表'!E5,IF(INDIRECT("'数据-取费表'!c"&amp;$K$1)="住宅",INDIRECT("'数据-取费表'!k"&amp;$K$1),0))</f>
        <v>23912</v>
      </c>
      <c r="E19" s="21">
        <f>'数据-取费表'!B27</f>
        <v>160</v>
      </c>
      <c r="F19" s="802"/>
      <c r="G19" s="12"/>
      <c r="H19" s="1186"/>
      <c r="I19" s="807"/>
      <c r="J19" s="807"/>
      <c r="K19" s="808"/>
    </row>
    <row r="20" spans="1:33" s="801" customFormat="1" ht="13.5" customHeight="1">
      <c r="A20" s="798" t="s">
        <v>361</v>
      </c>
      <c r="B20" s="799" t="s">
        <v>1626</v>
      </c>
      <c r="C20" s="21">
        <f ca="1">ROUND(D20*E20/10000,0)</f>
        <v>347</v>
      </c>
      <c r="D20" s="844">
        <f ca="1">IF(C1="",'数据-汇总表'!E6,IF(INDIRECT("'数据-取费表'!c"&amp;$K$1)="住宅",INDIRECT("'数据-取费表'!s"&amp;$K$1),INDIRECT("'数据-取费表'!k"&amp;$K$1)+INDIRECT("'数据-取费表'!s"&amp;$K$1)))</f>
        <v>17326</v>
      </c>
      <c r="E20" s="21">
        <f>'数据-取费表'!B28</f>
        <v>200</v>
      </c>
      <c r="F20" s="802"/>
      <c r="G20" s="12"/>
      <c r="H20" s="807"/>
      <c r="I20" s="807"/>
      <c r="J20" s="807"/>
      <c r="K20" s="808"/>
    </row>
    <row r="21" spans="1:33" s="801" customFormat="1" ht="13.5" customHeight="1">
      <c r="A21" s="788" t="s">
        <v>357</v>
      </c>
      <c r="B21" s="811" t="s">
        <v>1627</v>
      </c>
      <c r="C21" s="812">
        <f ca="1">C16+C17+C18</f>
        <v>570</v>
      </c>
      <c r="D21" s="813"/>
      <c r="E21" s="280"/>
      <c r="F21" s="280"/>
      <c r="G21" s="130" t="s">
        <v>1628</v>
      </c>
      <c r="H21" s="805"/>
      <c r="I21" s="805"/>
      <c r="J21" s="805"/>
      <c r="K21" s="806"/>
    </row>
    <row r="22" spans="1:33" s="801" customFormat="1" ht="13.5" customHeight="1">
      <c r="A22" s="788" t="s">
        <v>1600</v>
      </c>
      <c r="B22" s="811" t="s">
        <v>1629</v>
      </c>
      <c r="C22" s="812">
        <f ca="1">ROUND(C21*F22,0)</f>
        <v>11</v>
      </c>
      <c r="D22" s="280"/>
      <c r="E22" s="280"/>
      <c r="F22" s="814">
        <f>'数据-取费表'!B37</f>
        <v>0.02</v>
      </c>
      <c r="G22" s="5" t="s">
        <v>1630</v>
      </c>
      <c r="H22" s="795"/>
      <c r="I22" s="795"/>
      <c r="J22" s="795"/>
      <c r="K22" s="796"/>
    </row>
    <row r="23" spans="1:33" s="801" customFormat="1" ht="13.5" customHeight="1">
      <c r="A23" s="788" t="s">
        <v>1602</v>
      </c>
      <c r="B23" s="811" t="s">
        <v>1631</v>
      </c>
      <c r="C23" s="812">
        <f ca="1">ROUND(C4*F23*F11,0)</f>
        <v>0</v>
      </c>
      <c r="D23" s="280"/>
      <c r="E23" s="280"/>
      <c r="F23" s="814">
        <f>'数据-取费表'!B38</f>
        <v>0.02</v>
      </c>
      <c r="G23" s="5" t="s">
        <v>1632</v>
      </c>
      <c r="H23" s="795"/>
      <c r="I23" s="795"/>
      <c r="J23" s="795"/>
      <c r="K23" s="796"/>
    </row>
    <row r="24" spans="1:33" s="801" customFormat="1" ht="13.5" customHeight="1">
      <c r="A24" s="788" t="s">
        <v>1633</v>
      </c>
      <c r="B24" s="811" t="s">
        <v>1634</v>
      </c>
      <c r="C24" s="279">
        <f>ROUND(F24/(1+'数据-取费表'!C42),4)</f>
        <v>2.9000000000000001E-2</v>
      </c>
      <c r="D24" s="280" t="s">
        <v>12</v>
      </c>
      <c r="E24" s="280"/>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79">
        <f ca="1">C26</f>
        <v>0</v>
      </c>
      <c r="E25" s="281" t="s">
        <v>12</v>
      </c>
      <c r="F25" s="282">
        <f ca="1">'数据-取费表'!B40</f>
        <v>3.5799999999999998E-2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1640</v>
      </c>
      <c r="B28" s="1862" t="s">
        <v>1641</v>
      </c>
      <c r="C28" s="286">
        <f ca="1">C30</f>
        <v>17</v>
      </c>
      <c r="D28" s="279">
        <f ca="1">C29</f>
        <v>0</v>
      </c>
      <c r="E28" s="281" t="s">
        <v>12</v>
      </c>
      <c r="F28" s="287">
        <f ca="1">IF(C1="",'数据-取费表'!Q16,INDIRECT("'数据-取费表'!q"&amp;$K$1))</f>
        <v>0.03</v>
      </c>
      <c r="G28" s="815"/>
      <c r="H28" s="816"/>
      <c r="I28" s="816"/>
      <c r="J28" s="816"/>
      <c r="K28" s="817"/>
    </row>
    <row r="29" spans="1:33" s="290" customFormat="1" ht="13.5" customHeight="1">
      <c r="A29" s="798" t="s">
        <v>358</v>
      </c>
      <c r="B29" s="820" t="s">
        <v>1642</v>
      </c>
      <c r="C29" s="283">
        <f ca="1">ROUND((1+C24)*F28*'数据-取费表'!B24/'数据-取费表'!B20,4)</f>
        <v>0</v>
      </c>
      <c r="D29" s="283"/>
      <c r="E29" s="284"/>
      <c r="F29" s="289"/>
      <c r="G29" s="130" t="s">
        <v>1643</v>
      </c>
      <c r="H29" s="805"/>
      <c r="I29" s="805"/>
      <c r="J29" s="805"/>
      <c r="K29" s="806"/>
    </row>
    <row r="30" spans="1:33" s="290" customFormat="1" ht="13.5" customHeight="1">
      <c r="A30" s="798" t="s">
        <v>359</v>
      </c>
      <c r="B30" s="820" t="s">
        <v>1644</v>
      </c>
      <c r="C30" s="291">
        <f ca="1">ROUND((C21+C22+C23)*F28,0)</f>
        <v>17</v>
      </c>
      <c r="D30" s="283"/>
      <c r="E30" s="284"/>
      <c r="F30" s="289"/>
      <c r="G30" s="130"/>
      <c r="H30" s="805"/>
      <c r="I30" s="805"/>
      <c r="J30" s="805"/>
      <c r="K30" s="806"/>
    </row>
    <row r="31" spans="1:33" s="801" customFormat="1" ht="13.5" customHeight="1" thickBot="1">
      <c r="A31" s="1863" t="s">
        <v>1645</v>
      </c>
      <c r="B31" s="831" t="s">
        <v>1646</v>
      </c>
      <c r="C31" s="832">
        <f>ROUND(C4*F31/(1+'数据-取费表'!C42),0)</f>
        <v>0</v>
      </c>
      <c r="D31" s="833"/>
      <c r="E31" s="834"/>
      <c r="F31" s="835">
        <f>'数据-取费表'!B41</f>
        <v>5.5000000000000007E-2</v>
      </c>
      <c r="G31" s="836" t="s">
        <v>1647</v>
      </c>
      <c r="H31" s="837"/>
      <c r="I31" s="837"/>
      <c r="J31" s="837"/>
      <c r="K31" s="838"/>
    </row>
    <row r="32" spans="1:33" s="797" customFormat="1" ht="13.5" customHeight="1" thickBot="1">
      <c r="A32" s="826" t="s">
        <v>1648</v>
      </c>
      <c r="B32" s="827"/>
      <c r="C32" s="828">
        <f ca="1">ROUND((C4-C21-C22-C23-C25-C28-C31)/(1+C24+D25+D28),0)</f>
        <v>-581</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77734375" style="654" customWidth="1"/>
    <col min="4" max="4" width="40.44140625" style="257" customWidth="1"/>
    <col min="5" max="5" width="15.77734375" style="257" customWidth="1"/>
    <col min="6" max="6" width="10.6640625" style="257" customWidth="1"/>
    <col min="7" max="7" width="4.77734375" style="257" customWidth="1"/>
    <col min="8" max="8" width="8.44140625" style="257" customWidth="1"/>
    <col min="9" max="9" width="21.109375" style="257" customWidth="1"/>
    <col min="10" max="10" width="12.109375" style="257" customWidth="1"/>
    <col min="11" max="11" width="40.109375" style="1465" customWidth="1"/>
    <col min="12" max="12" width="16.33203125" style="257" customWidth="1"/>
    <col min="13" max="13" width="13" style="257"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109375" style="1381" customWidth="1"/>
    <col min="20" max="37" width="9" style="1381"/>
    <col min="38" max="16384" width="9" style="257"/>
  </cols>
  <sheetData>
    <row r="1" spans="1:37" s="292" customFormat="1" ht="21.6">
      <c r="A1" s="1372" t="s">
        <v>877</v>
      </c>
      <c r="B1" s="711"/>
      <c r="C1" s="1376"/>
      <c r="D1" s="1359" t="s">
        <v>43</v>
      </c>
      <c r="E1" s="1360" t="s">
        <v>678</v>
      </c>
      <c r="F1" s="1059">
        <f ca="1">J53</f>
        <v>0</v>
      </c>
      <c r="G1" s="1375">
        <f>MATCH(C1,'数据-取费表'!A6:A16,0)+5</f>
        <v>9</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66" t="s">
        <v>694</v>
      </c>
      <c r="C6" s="1071">
        <f ca="1">ROUND(F6*F8*F7*(1-F9),0)</f>
        <v>0</v>
      </c>
      <c r="D6" s="154" t="s">
        <v>2105</v>
      </c>
      <c r="E6" s="301" t="s">
        <v>696</v>
      </c>
      <c r="F6" s="302">
        <f ca="1">INDIRECT("'数据-取费表'!u"&amp;$G$1)</f>
        <v>0</v>
      </c>
      <c r="G6" s="1381"/>
      <c r="H6" s="1066" t="s">
        <v>398</v>
      </c>
      <c r="I6" s="3766" t="s">
        <v>694</v>
      </c>
      <c r="J6" s="300">
        <f ca="1">ROUND(M6*M8*M7*(1-M9),0)</f>
        <v>0</v>
      </c>
      <c r="K6" s="1373" t="s">
        <v>2106</v>
      </c>
      <c r="L6" s="301" t="s">
        <v>696</v>
      </c>
      <c r="M6" s="302">
        <f ca="1">INDIRECT("'数据-取费表'!z"&amp;$G$1)</f>
        <v>0</v>
      </c>
    </row>
    <row r="7" spans="1:37" ht="18" customHeight="1">
      <c r="A7" s="1070"/>
      <c r="B7" s="3767"/>
      <c r="C7" s="1072"/>
      <c r="D7" s="306"/>
      <c r="E7" s="1073" t="s">
        <v>697</v>
      </c>
      <c r="F7" s="302">
        <f ca="1">IF(INDIRECT("'数据-取费表'!ah"&amp;$G$1)="",INDIRECT("'数据-取费表'!k"&amp;$G$1),INDIRECT("'数据-取费表'!ah"&amp;$G$1))</f>
        <v>0</v>
      </c>
      <c r="G7" s="1381"/>
      <c r="H7" s="303"/>
      <c r="I7" s="3767"/>
      <c r="J7" s="305"/>
      <c r="K7" s="306"/>
      <c r="L7" s="301" t="s">
        <v>697</v>
      </c>
      <c r="M7" s="302">
        <f ca="1">F7</f>
        <v>0</v>
      </c>
    </row>
    <row r="8" spans="1:37" ht="18" customHeight="1">
      <c r="A8" s="303"/>
      <c r="B8" s="3767"/>
      <c r="C8" s="305"/>
      <c r="D8" s="306"/>
      <c r="E8" s="301" t="s">
        <v>698</v>
      </c>
      <c r="F8" s="302">
        <f ca="1">INDIRECT("'数据-取费表'!ai"&amp;$G$1)</f>
        <v>0</v>
      </c>
      <c r="G8" s="1381"/>
      <c r="H8" s="303"/>
      <c r="I8" s="3767"/>
      <c r="J8" s="305"/>
      <c r="K8" s="306"/>
      <c r="L8" s="301" t="s">
        <v>698</v>
      </c>
      <c r="M8" s="302">
        <f ca="1">INDIRECT("'数据-取费表'!ai"&amp;$G$1)</f>
        <v>0</v>
      </c>
    </row>
    <row r="9" spans="1:37" ht="18" customHeight="1">
      <c r="A9" s="303"/>
      <c r="B9" s="3768"/>
      <c r="C9" s="305"/>
      <c r="D9" s="306"/>
      <c r="E9" s="301" t="s">
        <v>699</v>
      </c>
      <c r="F9" s="311">
        <f ca="1">INDIRECT("'数据-取费表'!w"&amp;$G$1)</f>
        <v>0</v>
      </c>
      <c r="G9" s="1381"/>
      <c r="H9" s="303"/>
      <c r="I9" s="376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2115</v>
      </c>
      <c r="E10" s="312" t="s">
        <v>701</v>
      </c>
      <c r="F10" s="1113"/>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0.1</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3336</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3.5799999999999998E-2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3336</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IF(项目基本情况!B11="自然人","——",ROUND(F34*F35,0))</f>
        <v>0</v>
      </c>
      <c r="D34" s="323" t="s">
        <v>731</v>
      </c>
      <c r="E34" s="301" t="s">
        <v>732</v>
      </c>
      <c r="F34" s="324">
        <f>'数据-取费表'!B52</f>
        <v>1.5</v>
      </c>
      <c r="G34" s="1381"/>
      <c r="H34" s="2694"/>
      <c r="I34" s="1395"/>
      <c r="J34" s="1396"/>
      <c r="K34" s="2699"/>
      <c r="L34" s="2700"/>
      <c r="M34" s="2700"/>
    </row>
    <row r="35" spans="1:18" ht="18" customHeight="1">
      <c r="A35" s="1100"/>
      <c r="B35" s="1098"/>
      <c r="C35" s="26"/>
      <c r="D35" s="326"/>
      <c r="E35" s="301" t="s">
        <v>736</v>
      </c>
      <c r="F35" s="302">
        <f ca="1">INDIRECT("'数据-取费表'!r"&amp;$G$1)</f>
        <v>0</v>
      </c>
      <c r="G35" s="1381"/>
      <c r="H35" s="2694"/>
      <c r="I35" s="1395"/>
      <c r="J35" s="1396"/>
      <c r="K35" s="2698"/>
      <c r="L35" s="2697"/>
      <c r="M35" s="2697"/>
    </row>
    <row r="36" spans="1:18" ht="18" customHeight="1">
      <c r="A36" s="1099" t="s">
        <v>402</v>
      </c>
      <c r="B36" s="301" t="s">
        <v>738</v>
      </c>
      <c r="C36" s="21">
        <f ca="1">ROUND(C29*F36,0)</f>
        <v>0</v>
      </c>
      <c r="D36" s="1341" t="s">
        <v>771</v>
      </c>
      <c r="E36" s="301" t="s">
        <v>712</v>
      </c>
      <c r="F36" s="327">
        <f ca="1">INDIRECT("'数据-取费表'!Ak"&amp;$G$1)</f>
        <v>0</v>
      </c>
      <c r="G36" s="1381"/>
      <c r="H36" s="2697"/>
      <c r="I36" s="1395"/>
      <c r="J36" s="1396"/>
      <c r="K36" s="2541"/>
      <c r="L36" s="2697"/>
      <c r="M36" s="2697"/>
    </row>
    <row r="37" spans="1:18" ht="18" customHeight="1">
      <c r="A37" s="980" t="s">
        <v>437</v>
      </c>
      <c r="B37" s="301" t="s">
        <v>742</v>
      </c>
      <c r="C37" s="21">
        <f ca="1">ROUND(C13*F37,0)</f>
        <v>0</v>
      </c>
      <c r="D37" s="1341" t="s">
        <v>743</v>
      </c>
      <c r="E37" s="301" t="s">
        <v>744</v>
      </c>
      <c r="F37" s="329">
        <f ca="1">INDIRECT("'数据-取费表'!Al"&amp;$G$1)</f>
        <v>0</v>
      </c>
      <c r="G37" s="1381"/>
      <c r="H37" s="2697"/>
      <c r="I37" s="1395"/>
      <c r="J37" s="1396"/>
      <c r="K37" s="2541"/>
      <c r="L37" s="2697"/>
      <c r="M37" s="2697"/>
    </row>
    <row r="38" spans="1:18" ht="18" customHeight="1" thickBot="1">
      <c r="A38" s="1086" t="s">
        <v>684</v>
      </c>
      <c r="B38" s="1087" t="s">
        <v>728</v>
      </c>
      <c r="C38" s="1088">
        <f ca="1">ROUND(C5*F38,0)</f>
        <v>0</v>
      </c>
      <c r="D38" s="1089" t="s">
        <v>748</v>
      </c>
      <c r="E38" s="1087" t="s">
        <v>744</v>
      </c>
      <c r="F38" s="1083">
        <f ca="1">INDIRECT("'数据-取费表'!Am"&amp;$G$1)</f>
        <v>0</v>
      </c>
      <c r="G38" s="1381"/>
      <c r="H38" s="2697"/>
      <c r="I38" s="1395"/>
      <c r="J38" s="1396"/>
      <c r="K38" s="2701"/>
      <c r="L38" s="2697"/>
      <c r="M38" s="2697"/>
    </row>
    <row r="39" spans="1:18" ht="24.45" customHeight="1" thickTop="1">
      <c r="A39" s="1076" t="s">
        <v>394</v>
      </c>
      <c r="B39" s="1091" t="s">
        <v>772</v>
      </c>
      <c r="C39" s="309">
        <f ca="1">C5-C30</f>
        <v>0</v>
      </c>
      <c r="D39" s="1092" t="s">
        <v>773</v>
      </c>
      <c r="E39" s="1093"/>
      <c r="F39" s="1094"/>
      <c r="G39" s="1381"/>
      <c r="H39" s="2697"/>
      <c r="I39" s="1395"/>
      <c r="J39" s="1396"/>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3352</v>
      </c>
      <c r="B45" s="1397"/>
      <c r="C45" s="1469" t="e">
        <f ca="1">ROUND((C68-C40)/10000,4)</f>
        <v>#DIV/0!</v>
      </c>
      <c r="D45" s="3429" t="s">
        <v>3353</v>
      </c>
      <c r="E45" s="1397"/>
      <c r="F45" s="1397"/>
      <c r="O45" s="1400" t="s">
        <v>808</v>
      </c>
      <c r="P45" s="1458"/>
      <c r="Q45" s="1458"/>
      <c r="R45" s="1458"/>
    </row>
    <row r="46" spans="1:18" s="1381" customFormat="1" ht="13.8"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8"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40.200000000000003"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8"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8"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8"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8"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0</v>
      </c>
      <c r="K53" s="3764" t="s">
        <v>837</v>
      </c>
      <c r="L53" s="3765"/>
      <c r="O53" s="1415" t="s">
        <v>409</v>
      </c>
      <c r="P53" s="1416" t="s">
        <v>838</v>
      </c>
      <c r="Q53" s="1417" t="e">
        <f ca="1">Q47+Q48</f>
        <v>#DIV/0!</v>
      </c>
      <c r="R53" s="1417" t="s">
        <v>410</v>
      </c>
    </row>
    <row r="54" spans="1:18" s="1381" customFormat="1" ht="13.8"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8"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6"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6"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8" thickBot="1">
      <c r="A61" s="980" t="s">
        <v>781</v>
      </c>
      <c r="B61" s="948" t="s">
        <v>782</v>
      </c>
      <c r="C61" s="21">
        <f ca="1">IF(项目基本情况!B11="自然人","——",IF(D61="按租金收入计税",ROUND(C49*F61/(1+'数据-取费表'!C42),0),IF(D61="按房产原值计税",ROUND(C57*F61*0.7,0),INDIRECT("'数据-取费表'!Aj"&amp;$G$1))))</f>
        <v>0</v>
      </c>
      <c r="D61" s="1367" t="s">
        <v>3336</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8"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2"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24.6"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2"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8" thickBot="1">
      <c r="A69" s="949"/>
      <c r="B69" s="950"/>
      <c r="C69" s="305"/>
      <c r="D69" s="968" t="s">
        <v>762</v>
      </c>
      <c r="E69" s="948" t="s">
        <v>763</v>
      </c>
      <c r="F69" s="332">
        <f ca="1">F41</f>
        <v>0</v>
      </c>
      <c r="O69" s="1425" t="s">
        <v>411</v>
      </c>
      <c r="P69" s="1464" t="s">
        <v>872</v>
      </c>
      <c r="Q69" s="1417">
        <f ca="1">C39</f>
        <v>0</v>
      </c>
      <c r="R69" s="1417" t="s">
        <v>818</v>
      </c>
    </row>
    <row r="70" spans="1:18" s="1381" customFormat="1" ht="13.8" thickBot="1">
      <c r="A70" s="952"/>
      <c r="B70" s="953"/>
      <c r="C70" s="309"/>
      <c r="D70" s="964"/>
      <c r="E70" s="948" t="s">
        <v>766</v>
      </c>
      <c r="F70" s="1051"/>
      <c r="O70" s="1425" t="s">
        <v>412</v>
      </c>
      <c r="P70" s="1464" t="s">
        <v>873</v>
      </c>
      <c r="Q70" s="1417">
        <f ca="1">C13</f>
        <v>0</v>
      </c>
      <c r="R70" s="1417" t="s">
        <v>818</v>
      </c>
    </row>
    <row r="71" spans="1:18" s="1381" customFormat="1" ht="13.8"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898</v>
      </c>
    </row>
    <row r="2" spans="1:1">
      <c r="A2" s="1475"/>
    </row>
    <row r="3" spans="1:1" ht="17.399999999999999">
      <c r="A3" s="1476" t="str">
        <f>项目基本情况!B5&amp;"："</f>
        <v>：</v>
      </c>
    </row>
    <row r="4" spans="1:1" ht="17.399999999999999">
      <c r="A4" s="1477" t="str">
        <f>"受贵公司委托，我公司对"&amp;项目基本情况!S1&amp;"进行了预评估。"</f>
        <v>受贵公司委托，我公司对北京市房地产市场价值进行了预评估。</v>
      </c>
    </row>
    <row r="5" spans="1:1" ht="17.399999999999999">
      <c r="A5" s="1478" t="s">
        <v>899</v>
      </c>
    </row>
    <row r="6" spans="1:1" ht="17.399999999999999">
      <c r="A6" s="1479" t="s">
        <v>900</v>
      </c>
    </row>
    <row r="7" spans="1:1" ht="52.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估价对象为北京市房地产，为所有。根据《国有土地使用证》[]，估价对象（分摊）出让国有建设用地使用权面积为14060.6356300289平方米，建筑面积为41238平方米。</v>
      </c>
    </row>
    <row r="8" spans="1:1" ht="54.6">
      <c r="A8" s="1480" t="s">
        <v>901</v>
      </c>
    </row>
    <row r="9" spans="1:1" ht="17.399999999999999">
      <c r="A9" s="1479" t="s">
        <v>902</v>
      </c>
    </row>
    <row r="10" spans="1:1" ht="52.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估价对象为北京市房地产,属开发建设的，该项目尚在开发建设中。根据《国有土地使用证》[]，估价对象（分摊）出让国有建设用地使用权面积为14060.6356300289平方米，规划建筑面积为41238平方米。</v>
      </c>
    </row>
    <row r="11" spans="1:1" ht="72">
      <c r="A11" s="1480" t="s">
        <v>903</v>
      </c>
    </row>
    <row r="12" spans="1:1" ht="17.399999999999999">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7.399999999999999">
      <c r="A14" s="1482" t="s">
        <v>905</v>
      </c>
    </row>
    <row r="15" spans="1:1" ht="17.399999999999999">
      <c r="A15" s="1483" t="str">
        <f>TEXT(项目基本情况!D3,"yyyy年m月d日;;")&amp;IF(项目基本情况!D3=项目基本情况!B3,"（评估专业人员实地查勘之日）","")</f>
        <v>2024年8月7日（评估专业人员实地查勘之日）</v>
      </c>
    </row>
    <row r="16" spans="1:1" ht="17.399999999999999">
      <c r="A16" s="1482" t="s">
        <v>906</v>
      </c>
    </row>
    <row r="17" spans="1:1" ht="69.599999999999994">
      <c r="A17" s="1477" t="s">
        <v>907</v>
      </c>
    </row>
    <row r="18" spans="1:1" ht="69.59999999999999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7" t="str">
        <f>IF(项目基本情况!B9="房地产市场价值","——",IF(项目基本情况!E8="房地产抵押价值",定义!C54,IF(项目基本情况!E8="已注销",定义!C55,定义!C56)))</f>
        <v>——</v>
      </c>
    </row>
    <row r="21" spans="1:1" ht="17.399999999999999">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7" t="str">
        <f>IF(项目基本情况!B9="房地产市场价值","——",IF(项目基本情况!E9="——","",定义!C57))</f>
        <v>——</v>
      </c>
    </row>
    <row r="23" spans="1:1" ht="17.399999999999999">
      <c r="A23" s="1482" t="s">
        <v>896</v>
      </c>
    </row>
    <row r="24" spans="1:1" ht="17.399999999999999">
      <c r="A24" s="1484" t="str">
        <f>"本次评估采用的主估价方法为"&amp;结果表!K4&amp;"和"&amp;结果表!L4&amp;"。"</f>
        <v>本次评估采用的主估价方法为基准地价系数修正法和基准地价系数修正法。</v>
      </c>
    </row>
    <row r="25" spans="1:1" ht="17.399999999999999">
      <c r="A25" s="1484"/>
    </row>
    <row r="26" spans="1:1" ht="17.399999999999999">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8.77734375" defaultRowHeight="13.2" customHeight="1"/>
  <cols>
    <col min="1" max="1" width="9.44140625" style="2839" customWidth="1"/>
    <col min="2" max="2" width="8.77734375" style="2839"/>
    <col min="3" max="5" width="12.77734375" style="2839" customWidth="1"/>
    <col min="6" max="6" width="47.44140625" style="2839" customWidth="1"/>
    <col min="7" max="7" width="13" style="2998" customWidth="1"/>
    <col min="8" max="8" width="8.77734375" style="2833"/>
    <col min="9" max="9" width="8.777343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77734375" style="2999"/>
    <col min="22" max="22" width="8.77734375" style="2834"/>
    <col min="23" max="256" width="8.77734375" style="2839"/>
    <col min="257" max="257" width="9.44140625" style="2839" customWidth="1"/>
    <col min="258" max="258" width="8.77734375" style="2839"/>
    <col min="259" max="261" width="12.77734375" style="2839" customWidth="1"/>
    <col min="262" max="262" width="47.44140625" style="2839" customWidth="1"/>
    <col min="263" max="263" width="13" style="2839" customWidth="1"/>
    <col min="264" max="265" width="8.777343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77734375" style="2839"/>
    <col min="513" max="513" width="9.44140625" style="2839" customWidth="1"/>
    <col min="514" max="514" width="8.77734375" style="2839"/>
    <col min="515" max="517" width="12.77734375" style="2839" customWidth="1"/>
    <col min="518" max="518" width="47.44140625" style="2839" customWidth="1"/>
    <col min="519" max="519" width="13" style="2839" customWidth="1"/>
    <col min="520" max="521" width="8.777343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77734375" style="2839"/>
    <col min="769" max="769" width="9.44140625" style="2839" customWidth="1"/>
    <col min="770" max="770" width="8.77734375" style="2839"/>
    <col min="771" max="773" width="12.77734375" style="2839" customWidth="1"/>
    <col min="774" max="774" width="47.44140625" style="2839" customWidth="1"/>
    <col min="775" max="775" width="13" style="2839" customWidth="1"/>
    <col min="776" max="777" width="8.777343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77734375" style="2839"/>
    <col min="1025" max="1025" width="9.44140625" style="2839" customWidth="1"/>
    <col min="1026" max="1026" width="8.77734375" style="2839"/>
    <col min="1027" max="1029" width="12.77734375" style="2839" customWidth="1"/>
    <col min="1030" max="1030" width="47.44140625" style="2839" customWidth="1"/>
    <col min="1031" max="1031" width="13" style="2839" customWidth="1"/>
    <col min="1032" max="1033" width="8.777343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77734375" style="2839"/>
    <col min="1281" max="1281" width="9.44140625" style="2839" customWidth="1"/>
    <col min="1282" max="1282" width="8.77734375" style="2839"/>
    <col min="1283" max="1285" width="12.77734375" style="2839" customWidth="1"/>
    <col min="1286" max="1286" width="47.44140625" style="2839" customWidth="1"/>
    <col min="1287" max="1287" width="13" style="2839" customWidth="1"/>
    <col min="1288" max="1289" width="8.777343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77734375" style="2839"/>
    <col min="1537" max="1537" width="9.44140625" style="2839" customWidth="1"/>
    <col min="1538" max="1538" width="8.77734375" style="2839"/>
    <col min="1539" max="1541" width="12.77734375" style="2839" customWidth="1"/>
    <col min="1542" max="1542" width="47.44140625" style="2839" customWidth="1"/>
    <col min="1543" max="1543" width="13" style="2839" customWidth="1"/>
    <col min="1544" max="1545" width="8.777343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77734375" style="2839"/>
    <col min="1793" max="1793" width="9.44140625" style="2839" customWidth="1"/>
    <col min="1794" max="1794" width="8.77734375" style="2839"/>
    <col min="1795" max="1797" width="12.77734375" style="2839" customWidth="1"/>
    <col min="1798" max="1798" width="47.44140625" style="2839" customWidth="1"/>
    <col min="1799" max="1799" width="13" style="2839" customWidth="1"/>
    <col min="1800" max="1801" width="8.777343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77734375" style="2839"/>
    <col min="2049" max="2049" width="9.44140625" style="2839" customWidth="1"/>
    <col min="2050" max="2050" width="8.77734375" style="2839"/>
    <col min="2051" max="2053" width="12.77734375" style="2839" customWidth="1"/>
    <col min="2054" max="2054" width="47.44140625" style="2839" customWidth="1"/>
    <col min="2055" max="2055" width="13" style="2839" customWidth="1"/>
    <col min="2056" max="2057" width="8.777343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77734375" style="2839"/>
    <col min="2305" max="2305" width="9.44140625" style="2839" customWidth="1"/>
    <col min="2306" max="2306" width="8.77734375" style="2839"/>
    <col min="2307" max="2309" width="12.77734375" style="2839" customWidth="1"/>
    <col min="2310" max="2310" width="47.44140625" style="2839" customWidth="1"/>
    <col min="2311" max="2311" width="13" style="2839" customWidth="1"/>
    <col min="2312" max="2313" width="8.777343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77734375" style="2839"/>
    <col min="2561" max="2561" width="9.44140625" style="2839" customWidth="1"/>
    <col min="2562" max="2562" width="8.77734375" style="2839"/>
    <col min="2563" max="2565" width="12.77734375" style="2839" customWidth="1"/>
    <col min="2566" max="2566" width="47.44140625" style="2839" customWidth="1"/>
    <col min="2567" max="2567" width="13" style="2839" customWidth="1"/>
    <col min="2568" max="2569" width="8.777343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77734375" style="2839"/>
    <col min="2817" max="2817" width="9.44140625" style="2839" customWidth="1"/>
    <col min="2818" max="2818" width="8.77734375" style="2839"/>
    <col min="2819" max="2821" width="12.77734375" style="2839" customWidth="1"/>
    <col min="2822" max="2822" width="47.44140625" style="2839" customWidth="1"/>
    <col min="2823" max="2823" width="13" style="2839" customWidth="1"/>
    <col min="2824" max="2825" width="8.777343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77734375" style="2839"/>
    <col min="3073" max="3073" width="9.44140625" style="2839" customWidth="1"/>
    <col min="3074" max="3074" width="8.77734375" style="2839"/>
    <col min="3075" max="3077" width="12.77734375" style="2839" customWidth="1"/>
    <col min="3078" max="3078" width="47.44140625" style="2839" customWidth="1"/>
    <col min="3079" max="3079" width="13" style="2839" customWidth="1"/>
    <col min="3080" max="3081" width="8.777343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77734375" style="2839"/>
    <col min="3329" max="3329" width="9.44140625" style="2839" customWidth="1"/>
    <col min="3330" max="3330" width="8.77734375" style="2839"/>
    <col min="3331" max="3333" width="12.77734375" style="2839" customWidth="1"/>
    <col min="3334" max="3334" width="47.44140625" style="2839" customWidth="1"/>
    <col min="3335" max="3335" width="13" style="2839" customWidth="1"/>
    <col min="3336" max="3337" width="8.777343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77734375" style="2839"/>
    <col min="3585" max="3585" width="9.44140625" style="2839" customWidth="1"/>
    <col min="3586" max="3586" width="8.77734375" style="2839"/>
    <col min="3587" max="3589" width="12.77734375" style="2839" customWidth="1"/>
    <col min="3590" max="3590" width="47.44140625" style="2839" customWidth="1"/>
    <col min="3591" max="3591" width="13" style="2839" customWidth="1"/>
    <col min="3592" max="3593" width="8.777343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77734375" style="2839"/>
    <col min="3841" max="3841" width="9.44140625" style="2839" customWidth="1"/>
    <col min="3842" max="3842" width="8.77734375" style="2839"/>
    <col min="3843" max="3845" width="12.77734375" style="2839" customWidth="1"/>
    <col min="3846" max="3846" width="47.44140625" style="2839" customWidth="1"/>
    <col min="3847" max="3847" width="13" style="2839" customWidth="1"/>
    <col min="3848" max="3849" width="8.777343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77734375" style="2839"/>
    <col min="4097" max="4097" width="9.44140625" style="2839" customWidth="1"/>
    <col min="4098" max="4098" width="8.77734375" style="2839"/>
    <col min="4099" max="4101" width="12.77734375" style="2839" customWidth="1"/>
    <col min="4102" max="4102" width="47.44140625" style="2839" customWidth="1"/>
    <col min="4103" max="4103" width="13" style="2839" customWidth="1"/>
    <col min="4104" max="4105" width="8.777343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77734375" style="2839"/>
    <col min="4353" max="4353" width="9.44140625" style="2839" customWidth="1"/>
    <col min="4354" max="4354" width="8.77734375" style="2839"/>
    <col min="4355" max="4357" width="12.77734375" style="2839" customWidth="1"/>
    <col min="4358" max="4358" width="47.44140625" style="2839" customWidth="1"/>
    <col min="4359" max="4359" width="13" style="2839" customWidth="1"/>
    <col min="4360" max="4361" width="8.777343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77734375" style="2839"/>
    <col min="4609" max="4609" width="9.44140625" style="2839" customWidth="1"/>
    <col min="4610" max="4610" width="8.77734375" style="2839"/>
    <col min="4611" max="4613" width="12.77734375" style="2839" customWidth="1"/>
    <col min="4614" max="4614" width="47.44140625" style="2839" customWidth="1"/>
    <col min="4615" max="4615" width="13" style="2839" customWidth="1"/>
    <col min="4616" max="4617" width="8.777343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77734375" style="2839"/>
    <col min="4865" max="4865" width="9.44140625" style="2839" customWidth="1"/>
    <col min="4866" max="4866" width="8.77734375" style="2839"/>
    <col min="4867" max="4869" width="12.77734375" style="2839" customWidth="1"/>
    <col min="4870" max="4870" width="47.44140625" style="2839" customWidth="1"/>
    <col min="4871" max="4871" width="13" style="2839" customWidth="1"/>
    <col min="4872" max="4873" width="8.777343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77734375" style="2839"/>
    <col min="5121" max="5121" width="9.44140625" style="2839" customWidth="1"/>
    <col min="5122" max="5122" width="8.77734375" style="2839"/>
    <col min="5123" max="5125" width="12.77734375" style="2839" customWidth="1"/>
    <col min="5126" max="5126" width="47.44140625" style="2839" customWidth="1"/>
    <col min="5127" max="5127" width="13" style="2839" customWidth="1"/>
    <col min="5128" max="5129" width="8.777343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77734375" style="2839"/>
    <col min="5377" max="5377" width="9.44140625" style="2839" customWidth="1"/>
    <col min="5378" max="5378" width="8.77734375" style="2839"/>
    <col min="5379" max="5381" width="12.77734375" style="2839" customWidth="1"/>
    <col min="5382" max="5382" width="47.44140625" style="2839" customWidth="1"/>
    <col min="5383" max="5383" width="13" style="2839" customWidth="1"/>
    <col min="5384" max="5385" width="8.777343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77734375" style="2839"/>
    <col min="5633" max="5633" width="9.44140625" style="2839" customWidth="1"/>
    <col min="5634" max="5634" width="8.77734375" style="2839"/>
    <col min="5635" max="5637" width="12.77734375" style="2839" customWidth="1"/>
    <col min="5638" max="5638" width="47.44140625" style="2839" customWidth="1"/>
    <col min="5639" max="5639" width="13" style="2839" customWidth="1"/>
    <col min="5640" max="5641" width="8.777343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77734375" style="2839"/>
    <col min="5889" max="5889" width="9.44140625" style="2839" customWidth="1"/>
    <col min="5890" max="5890" width="8.77734375" style="2839"/>
    <col min="5891" max="5893" width="12.77734375" style="2839" customWidth="1"/>
    <col min="5894" max="5894" width="47.44140625" style="2839" customWidth="1"/>
    <col min="5895" max="5895" width="13" style="2839" customWidth="1"/>
    <col min="5896" max="5897" width="8.777343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77734375" style="2839"/>
    <col min="6145" max="6145" width="9.44140625" style="2839" customWidth="1"/>
    <col min="6146" max="6146" width="8.77734375" style="2839"/>
    <col min="6147" max="6149" width="12.77734375" style="2839" customWidth="1"/>
    <col min="6150" max="6150" width="47.44140625" style="2839" customWidth="1"/>
    <col min="6151" max="6151" width="13" style="2839" customWidth="1"/>
    <col min="6152" max="6153" width="8.777343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77734375" style="2839"/>
    <col min="6401" max="6401" width="9.44140625" style="2839" customWidth="1"/>
    <col min="6402" max="6402" width="8.77734375" style="2839"/>
    <col min="6403" max="6405" width="12.77734375" style="2839" customWidth="1"/>
    <col min="6406" max="6406" width="47.44140625" style="2839" customWidth="1"/>
    <col min="6407" max="6407" width="13" style="2839" customWidth="1"/>
    <col min="6408" max="6409" width="8.777343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77734375" style="2839"/>
    <col min="6657" max="6657" width="9.44140625" style="2839" customWidth="1"/>
    <col min="6658" max="6658" width="8.77734375" style="2839"/>
    <col min="6659" max="6661" width="12.77734375" style="2839" customWidth="1"/>
    <col min="6662" max="6662" width="47.44140625" style="2839" customWidth="1"/>
    <col min="6663" max="6663" width="13" style="2839" customWidth="1"/>
    <col min="6664" max="6665" width="8.777343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77734375" style="2839"/>
    <col min="6913" max="6913" width="9.44140625" style="2839" customWidth="1"/>
    <col min="6914" max="6914" width="8.77734375" style="2839"/>
    <col min="6915" max="6917" width="12.77734375" style="2839" customWidth="1"/>
    <col min="6918" max="6918" width="47.44140625" style="2839" customWidth="1"/>
    <col min="6919" max="6919" width="13" style="2839" customWidth="1"/>
    <col min="6920" max="6921" width="8.777343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77734375" style="2839"/>
    <col min="7169" max="7169" width="9.44140625" style="2839" customWidth="1"/>
    <col min="7170" max="7170" width="8.77734375" style="2839"/>
    <col min="7171" max="7173" width="12.77734375" style="2839" customWidth="1"/>
    <col min="7174" max="7174" width="47.44140625" style="2839" customWidth="1"/>
    <col min="7175" max="7175" width="13" style="2839" customWidth="1"/>
    <col min="7176" max="7177" width="8.777343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77734375" style="2839"/>
    <col min="7425" max="7425" width="9.44140625" style="2839" customWidth="1"/>
    <col min="7426" max="7426" width="8.77734375" style="2839"/>
    <col min="7427" max="7429" width="12.77734375" style="2839" customWidth="1"/>
    <col min="7430" max="7430" width="47.44140625" style="2839" customWidth="1"/>
    <col min="7431" max="7431" width="13" style="2839" customWidth="1"/>
    <col min="7432" max="7433" width="8.777343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77734375" style="2839"/>
    <col min="7681" max="7681" width="9.44140625" style="2839" customWidth="1"/>
    <col min="7682" max="7682" width="8.77734375" style="2839"/>
    <col min="7683" max="7685" width="12.77734375" style="2839" customWidth="1"/>
    <col min="7686" max="7686" width="47.44140625" style="2839" customWidth="1"/>
    <col min="7687" max="7687" width="13" style="2839" customWidth="1"/>
    <col min="7688" max="7689" width="8.777343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77734375" style="2839"/>
    <col min="7937" max="7937" width="9.44140625" style="2839" customWidth="1"/>
    <col min="7938" max="7938" width="8.77734375" style="2839"/>
    <col min="7939" max="7941" width="12.77734375" style="2839" customWidth="1"/>
    <col min="7942" max="7942" width="47.44140625" style="2839" customWidth="1"/>
    <col min="7943" max="7943" width="13" style="2839" customWidth="1"/>
    <col min="7944" max="7945" width="8.777343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77734375" style="2839"/>
    <col min="8193" max="8193" width="9.44140625" style="2839" customWidth="1"/>
    <col min="8194" max="8194" width="8.77734375" style="2839"/>
    <col min="8195" max="8197" width="12.77734375" style="2839" customWidth="1"/>
    <col min="8198" max="8198" width="47.44140625" style="2839" customWidth="1"/>
    <col min="8199" max="8199" width="13" style="2839" customWidth="1"/>
    <col min="8200" max="8201" width="8.777343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77734375" style="2839"/>
    <col min="8449" max="8449" width="9.44140625" style="2839" customWidth="1"/>
    <col min="8450" max="8450" width="8.77734375" style="2839"/>
    <col min="8451" max="8453" width="12.77734375" style="2839" customWidth="1"/>
    <col min="8454" max="8454" width="47.44140625" style="2839" customWidth="1"/>
    <col min="8455" max="8455" width="13" style="2839" customWidth="1"/>
    <col min="8456" max="8457" width="8.777343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77734375" style="2839"/>
    <col min="8705" max="8705" width="9.44140625" style="2839" customWidth="1"/>
    <col min="8706" max="8706" width="8.77734375" style="2839"/>
    <col min="8707" max="8709" width="12.77734375" style="2839" customWidth="1"/>
    <col min="8710" max="8710" width="47.44140625" style="2839" customWidth="1"/>
    <col min="8711" max="8711" width="13" style="2839" customWidth="1"/>
    <col min="8712" max="8713" width="8.777343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77734375" style="2839"/>
    <col min="8961" max="8961" width="9.44140625" style="2839" customWidth="1"/>
    <col min="8962" max="8962" width="8.77734375" style="2839"/>
    <col min="8963" max="8965" width="12.77734375" style="2839" customWidth="1"/>
    <col min="8966" max="8966" width="47.44140625" style="2839" customWidth="1"/>
    <col min="8967" max="8967" width="13" style="2839" customWidth="1"/>
    <col min="8968" max="8969" width="8.777343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77734375" style="2839"/>
    <col min="9217" max="9217" width="9.44140625" style="2839" customWidth="1"/>
    <col min="9218" max="9218" width="8.77734375" style="2839"/>
    <col min="9219" max="9221" width="12.77734375" style="2839" customWidth="1"/>
    <col min="9222" max="9222" width="47.44140625" style="2839" customWidth="1"/>
    <col min="9223" max="9223" width="13" style="2839" customWidth="1"/>
    <col min="9224" max="9225" width="8.777343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77734375" style="2839"/>
    <col min="9473" max="9473" width="9.44140625" style="2839" customWidth="1"/>
    <col min="9474" max="9474" width="8.77734375" style="2839"/>
    <col min="9475" max="9477" width="12.77734375" style="2839" customWidth="1"/>
    <col min="9478" max="9478" width="47.44140625" style="2839" customWidth="1"/>
    <col min="9479" max="9479" width="13" style="2839" customWidth="1"/>
    <col min="9480" max="9481" width="8.777343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77734375" style="2839"/>
    <col min="9729" max="9729" width="9.44140625" style="2839" customWidth="1"/>
    <col min="9730" max="9730" width="8.77734375" style="2839"/>
    <col min="9731" max="9733" width="12.77734375" style="2839" customWidth="1"/>
    <col min="9734" max="9734" width="47.44140625" style="2839" customWidth="1"/>
    <col min="9735" max="9735" width="13" style="2839" customWidth="1"/>
    <col min="9736" max="9737" width="8.777343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77734375" style="2839"/>
    <col min="9985" max="9985" width="9.44140625" style="2839" customWidth="1"/>
    <col min="9986" max="9986" width="8.77734375" style="2839"/>
    <col min="9987" max="9989" width="12.77734375" style="2839" customWidth="1"/>
    <col min="9990" max="9990" width="47.44140625" style="2839" customWidth="1"/>
    <col min="9991" max="9991" width="13" style="2839" customWidth="1"/>
    <col min="9992" max="9993" width="8.777343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77734375" style="2839"/>
    <col min="10241" max="10241" width="9.44140625" style="2839" customWidth="1"/>
    <col min="10242" max="10242" width="8.77734375" style="2839"/>
    <col min="10243" max="10245" width="12.77734375" style="2839" customWidth="1"/>
    <col min="10246" max="10246" width="47.44140625" style="2839" customWidth="1"/>
    <col min="10247" max="10247" width="13" style="2839" customWidth="1"/>
    <col min="10248" max="10249" width="8.777343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77734375" style="2839"/>
    <col min="10497" max="10497" width="9.44140625" style="2839" customWidth="1"/>
    <col min="10498" max="10498" width="8.77734375" style="2839"/>
    <col min="10499" max="10501" width="12.77734375" style="2839" customWidth="1"/>
    <col min="10502" max="10502" width="47.44140625" style="2839" customWidth="1"/>
    <col min="10503" max="10503" width="13" style="2839" customWidth="1"/>
    <col min="10504" max="10505" width="8.777343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77734375" style="2839"/>
    <col min="10753" max="10753" width="9.44140625" style="2839" customWidth="1"/>
    <col min="10754" max="10754" width="8.77734375" style="2839"/>
    <col min="10755" max="10757" width="12.77734375" style="2839" customWidth="1"/>
    <col min="10758" max="10758" width="47.44140625" style="2839" customWidth="1"/>
    <col min="10759" max="10759" width="13" style="2839" customWidth="1"/>
    <col min="10760" max="10761" width="8.777343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77734375" style="2839"/>
    <col min="11009" max="11009" width="9.44140625" style="2839" customWidth="1"/>
    <col min="11010" max="11010" width="8.77734375" style="2839"/>
    <col min="11011" max="11013" width="12.77734375" style="2839" customWidth="1"/>
    <col min="11014" max="11014" width="47.44140625" style="2839" customWidth="1"/>
    <col min="11015" max="11015" width="13" style="2839" customWidth="1"/>
    <col min="11016" max="11017" width="8.777343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77734375" style="2839"/>
    <col min="11265" max="11265" width="9.44140625" style="2839" customWidth="1"/>
    <col min="11266" max="11266" width="8.77734375" style="2839"/>
    <col min="11267" max="11269" width="12.77734375" style="2839" customWidth="1"/>
    <col min="11270" max="11270" width="47.44140625" style="2839" customWidth="1"/>
    <col min="11271" max="11271" width="13" style="2839" customWidth="1"/>
    <col min="11272" max="11273" width="8.777343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77734375" style="2839"/>
    <col min="11521" max="11521" width="9.44140625" style="2839" customWidth="1"/>
    <col min="11522" max="11522" width="8.77734375" style="2839"/>
    <col min="11523" max="11525" width="12.77734375" style="2839" customWidth="1"/>
    <col min="11526" max="11526" width="47.44140625" style="2839" customWidth="1"/>
    <col min="11527" max="11527" width="13" style="2839" customWidth="1"/>
    <col min="11528" max="11529" width="8.777343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77734375" style="2839"/>
    <col min="11777" max="11777" width="9.44140625" style="2839" customWidth="1"/>
    <col min="11778" max="11778" width="8.77734375" style="2839"/>
    <col min="11779" max="11781" width="12.77734375" style="2839" customWidth="1"/>
    <col min="11782" max="11782" width="47.44140625" style="2839" customWidth="1"/>
    <col min="11783" max="11783" width="13" style="2839" customWidth="1"/>
    <col min="11784" max="11785" width="8.777343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77734375" style="2839"/>
    <col min="12033" max="12033" width="9.44140625" style="2839" customWidth="1"/>
    <col min="12034" max="12034" width="8.77734375" style="2839"/>
    <col min="12035" max="12037" width="12.77734375" style="2839" customWidth="1"/>
    <col min="12038" max="12038" width="47.44140625" style="2839" customWidth="1"/>
    <col min="12039" max="12039" width="13" style="2839" customWidth="1"/>
    <col min="12040" max="12041" width="8.777343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77734375" style="2839"/>
    <col min="12289" max="12289" width="9.44140625" style="2839" customWidth="1"/>
    <col min="12290" max="12290" width="8.77734375" style="2839"/>
    <col min="12291" max="12293" width="12.77734375" style="2839" customWidth="1"/>
    <col min="12294" max="12294" width="47.44140625" style="2839" customWidth="1"/>
    <col min="12295" max="12295" width="13" style="2839" customWidth="1"/>
    <col min="12296" max="12297" width="8.777343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77734375" style="2839"/>
    <col min="12545" max="12545" width="9.44140625" style="2839" customWidth="1"/>
    <col min="12546" max="12546" width="8.77734375" style="2839"/>
    <col min="12547" max="12549" width="12.77734375" style="2839" customWidth="1"/>
    <col min="12550" max="12550" width="47.44140625" style="2839" customWidth="1"/>
    <col min="12551" max="12551" width="13" style="2839" customWidth="1"/>
    <col min="12552" max="12553" width="8.777343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77734375" style="2839"/>
    <col min="12801" max="12801" width="9.44140625" style="2839" customWidth="1"/>
    <col min="12802" max="12802" width="8.77734375" style="2839"/>
    <col min="12803" max="12805" width="12.77734375" style="2839" customWidth="1"/>
    <col min="12806" max="12806" width="47.44140625" style="2839" customWidth="1"/>
    <col min="12807" max="12807" width="13" style="2839" customWidth="1"/>
    <col min="12808" max="12809" width="8.777343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77734375" style="2839"/>
    <col min="13057" max="13057" width="9.44140625" style="2839" customWidth="1"/>
    <col min="13058" max="13058" width="8.77734375" style="2839"/>
    <col min="13059" max="13061" width="12.77734375" style="2839" customWidth="1"/>
    <col min="13062" max="13062" width="47.44140625" style="2839" customWidth="1"/>
    <col min="13063" max="13063" width="13" style="2839" customWidth="1"/>
    <col min="13064" max="13065" width="8.777343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77734375" style="2839"/>
    <col min="13313" max="13313" width="9.44140625" style="2839" customWidth="1"/>
    <col min="13314" max="13314" width="8.77734375" style="2839"/>
    <col min="13315" max="13317" width="12.77734375" style="2839" customWidth="1"/>
    <col min="13318" max="13318" width="47.44140625" style="2839" customWidth="1"/>
    <col min="13319" max="13319" width="13" style="2839" customWidth="1"/>
    <col min="13320" max="13321" width="8.777343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77734375" style="2839"/>
    <col min="13569" max="13569" width="9.44140625" style="2839" customWidth="1"/>
    <col min="13570" max="13570" width="8.77734375" style="2839"/>
    <col min="13571" max="13573" width="12.77734375" style="2839" customWidth="1"/>
    <col min="13574" max="13574" width="47.44140625" style="2839" customWidth="1"/>
    <col min="13575" max="13575" width="13" style="2839" customWidth="1"/>
    <col min="13576" max="13577" width="8.777343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77734375" style="2839"/>
    <col min="13825" max="13825" width="9.44140625" style="2839" customWidth="1"/>
    <col min="13826" max="13826" width="8.77734375" style="2839"/>
    <col min="13827" max="13829" width="12.77734375" style="2839" customWidth="1"/>
    <col min="13830" max="13830" width="47.44140625" style="2839" customWidth="1"/>
    <col min="13831" max="13831" width="13" style="2839" customWidth="1"/>
    <col min="13832" max="13833" width="8.777343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77734375" style="2839"/>
    <col min="14081" max="14081" width="9.44140625" style="2839" customWidth="1"/>
    <col min="14082" max="14082" width="8.77734375" style="2839"/>
    <col min="14083" max="14085" width="12.77734375" style="2839" customWidth="1"/>
    <col min="14086" max="14086" width="47.44140625" style="2839" customWidth="1"/>
    <col min="14087" max="14087" width="13" style="2839" customWidth="1"/>
    <col min="14088" max="14089" width="8.777343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77734375" style="2839"/>
    <col min="14337" max="14337" width="9.44140625" style="2839" customWidth="1"/>
    <col min="14338" max="14338" width="8.77734375" style="2839"/>
    <col min="14339" max="14341" width="12.77734375" style="2839" customWidth="1"/>
    <col min="14342" max="14342" width="47.44140625" style="2839" customWidth="1"/>
    <col min="14343" max="14343" width="13" style="2839" customWidth="1"/>
    <col min="14344" max="14345" width="8.777343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77734375" style="2839"/>
    <col min="14593" max="14593" width="9.44140625" style="2839" customWidth="1"/>
    <col min="14594" max="14594" width="8.77734375" style="2839"/>
    <col min="14595" max="14597" width="12.77734375" style="2839" customWidth="1"/>
    <col min="14598" max="14598" width="47.44140625" style="2839" customWidth="1"/>
    <col min="14599" max="14599" width="13" style="2839" customWidth="1"/>
    <col min="14600" max="14601" width="8.777343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77734375" style="2839"/>
    <col min="14849" max="14849" width="9.44140625" style="2839" customWidth="1"/>
    <col min="14850" max="14850" width="8.77734375" style="2839"/>
    <col min="14851" max="14853" width="12.77734375" style="2839" customWidth="1"/>
    <col min="14854" max="14854" width="47.44140625" style="2839" customWidth="1"/>
    <col min="14855" max="14855" width="13" style="2839" customWidth="1"/>
    <col min="14856" max="14857" width="8.777343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77734375" style="2839"/>
    <col min="15105" max="15105" width="9.44140625" style="2839" customWidth="1"/>
    <col min="15106" max="15106" width="8.77734375" style="2839"/>
    <col min="15107" max="15109" width="12.77734375" style="2839" customWidth="1"/>
    <col min="15110" max="15110" width="47.44140625" style="2839" customWidth="1"/>
    <col min="15111" max="15111" width="13" style="2839" customWidth="1"/>
    <col min="15112" max="15113" width="8.777343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77734375" style="2839"/>
    <col min="15361" max="15361" width="9.44140625" style="2839" customWidth="1"/>
    <col min="15362" max="15362" width="8.77734375" style="2839"/>
    <col min="15363" max="15365" width="12.77734375" style="2839" customWidth="1"/>
    <col min="15366" max="15366" width="47.44140625" style="2839" customWidth="1"/>
    <col min="15367" max="15367" width="13" style="2839" customWidth="1"/>
    <col min="15368" max="15369" width="8.777343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77734375" style="2839"/>
    <col min="15617" max="15617" width="9.44140625" style="2839" customWidth="1"/>
    <col min="15618" max="15618" width="8.77734375" style="2839"/>
    <col min="15619" max="15621" width="12.77734375" style="2839" customWidth="1"/>
    <col min="15622" max="15622" width="47.44140625" style="2839" customWidth="1"/>
    <col min="15623" max="15623" width="13" style="2839" customWidth="1"/>
    <col min="15624" max="15625" width="8.777343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77734375" style="2839"/>
    <col min="15873" max="15873" width="9.44140625" style="2839" customWidth="1"/>
    <col min="15874" max="15874" width="8.77734375" style="2839"/>
    <col min="15875" max="15877" width="12.77734375" style="2839" customWidth="1"/>
    <col min="15878" max="15878" width="47.44140625" style="2839" customWidth="1"/>
    <col min="15879" max="15879" width="13" style="2839" customWidth="1"/>
    <col min="15880" max="15881" width="8.777343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77734375" style="2839"/>
    <col min="16129" max="16129" width="9.44140625" style="2839" customWidth="1"/>
    <col min="16130" max="16130" width="8.77734375" style="2839"/>
    <col min="16131" max="16133" width="12.77734375" style="2839" customWidth="1"/>
    <col min="16134" max="16134" width="47.44140625" style="2839" customWidth="1"/>
    <col min="16135" max="16135" width="13" style="2839" customWidth="1"/>
    <col min="16136" max="16137" width="8.777343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777343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2" customHeight="1">
      <c r="A2" s="1382" t="s">
        <v>2315</v>
      </c>
      <c r="B2" s="2840" t="e">
        <f>IF(D2="——",C40,C40+E2)</f>
        <v>#DIV/0!</v>
      </c>
      <c r="C2" s="2841" t="s">
        <v>2316</v>
      </c>
      <c r="D2" s="3440" t="s">
        <v>3359</v>
      </c>
      <c r="E2" s="3441"/>
      <c r="F2" s="2843"/>
      <c r="G2" s="2844"/>
      <c r="H2" s="2845"/>
      <c r="I2" s="2846"/>
      <c r="J2" s="3892" t="s">
        <v>2317</v>
      </c>
      <c r="K2" s="3893"/>
      <c r="L2" s="2847" t="s">
        <v>2318</v>
      </c>
      <c r="M2" s="2847" t="s">
        <v>2319</v>
      </c>
      <c r="N2" s="2847" t="s">
        <v>2320</v>
      </c>
      <c r="O2" s="2847" t="s">
        <v>2321</v>
      </c>
      <c r="P2" s="2847" t="s">
        <v>2322</v>
      </c>
      <c r="Q2" s="2848" t="s">
        <v>2323</v>
      </c>
      <c r="R2" s="2849" t="s">
        <v>2324</v>
      </c>
      <c r="S2" s="2838"/>
      <c r="T2" s="2838"/>
      <c r="U2" s="2838"/>
      <c r="V2" s="2846"/>
    </row>
    <row r="3" spans="1:22" s="2850" customFormat="1" ht="13.2" customHeight="1">
      <c r="A3" s="2851" t="s">
        <v>2325</v>
      </c>
      <c r="B3" s="2852" t="e">
        <f>ROUND(B2*10000/B4,0)</f>
        <v>#DIV/0!</v>
      </c>
      <c r="C3" s="2841" t="s">
        <v>2326</v>
      </c>
      <c r="D3" s="2841"/>
      <c r="E3" s="2842"/>
      <c r="F3" s="2843"/>
      <c r="G3" s="2844"/>
      <c r="H3" s="2845"/>
      <c r="I3" s="2846"/>
      <c r="J3" s="3894" t="s">
        <v>2327</v>
      </c>
      <c r="K3" s="3895"/>
      <c r="L3" s="2853"/>
      <c r="M3" s="2853"/>
      <c r="N3" s="2853"/>
      <c r="O3" s="2853"/>
      <c r="P3" s="2853"/>
      <c r="Q3" s="2854"/>
      <c r="R3" s="2855">
        <f>SUM(L3:Q3)</f>
        <v>0</v>
      </c>
      <c r="S3" s="2838"/>
      <c r="T3" s="2838"/>
      <c r="U3" s="2838"/>
      <c r="V3" s="2846"/>
    </row>
    <row r="4" spans="1:22" s="2850" customFormat="1" ht="13.2" customHeight="1">
      <c r="A4" s="2856" t="s">
        <v>2328</v>
      </c>
      <c r="B4" s="2857"/>
      <c r="C4" s="2841"/>
      <c r="D4" s="2841"/>
      <c r="E4" s="2842"/>
      <c r="F4" s="2843"/>
      <c r="G4" s="2844"/>
      <c r="H4" s="2845"/>
      <c r="I4" s="2846"/>
      <c r="J4" s="3894" t="s">
        <v>2329</v>
      </c>
      <c r="K4" s="3895"/>
      <c r="L4" s="2858"/>
      <c r="M4" s="2858"/>
      <c r="N4" s="2858"/>
      <c r="O4" s="2858"/>
      <c r="P4" s="2858"/>
      <c r="Q4" s="2859"/>
      <c r="R4" s="2860">
        <f>SUM(L4:Q4)</f>
        <v>0</v>
      </c>
      <c r="S4" s="2838"/>
      <c r="T4" s="2838"/>
      <c r="U4" s="2838"/>
      <c r="V4" s="2846"/>
    </row>
    <row r="5" spans="1:22" s="2850" customFormat="1" ht="13.2"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2" customHeight="1" thickBot="1">
      <c r="A6" s="3896" t="s">
        <v>2333</v>
      </c>
      <c r="B6" s="3897"/>
      <c r="C6" s="3898"/>
      <c r="D6" s="2867"/>
      <c r="E6" s="2868"/>
      <c r="F6" s="2869"/>
      <c r="G6" s="2870"/>
      <c r="H6" s="2845"/>
      <c r="I6" s="2846"/>
      <c r="J6" s="3899">
        <v>1</v>
      </c>
      <c r="K6" s="3900"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2" customHeight="1">
      <c r="A7" s="2873" t="s">
        <v>2343</v>
      </c>
      <c r="B7" s="2874"/>
      <c r="C7" s="2875"/>
      <c r="D7" s="2876">
        <f>SUM(D9,D10,D11,D17,0)</f>
        <v>0</v>
      </c>
      <c r="E7" s="2877" t="e">
        <f>E9+E10+E11+E17</f>
        <v>#DIV/0!</v>
      </c>
      <c r="F7" s="2878"/>
      <c r="G7" s="2879"/>
      <c r="H7" s="2845"/>
      <c r="I7" s="2846"/>
      <c r="J7" s="3899"/>
      <c r="K7" s="3901"/>
      <c r="L7" s="2880" t="s">
        <v>2344</v>
      </c>
      <c r="M7" s="2881"/>
      <c r="N7" s="2857"/>
      <c r="O7" s="2882"/>
      <c r="P7" s="2882"/>
      <c r="Q7" s="2883">
        <v>365</v>
      </c>
      <c r="R7" s="2884">
        <f>ROUND(M7*N7*O7*P7*Q7/10000,0)</f>
        <v>0</v>
      </c>
      <c r="S7" s="2838"/>
      <c r="T7" s="2838" t="s">
        <v>2345</v>
      </c>
      <c r="U7" s="2838"/>
      <c r="V7" s="2846"/>
    </row>
    <row r="8" spans="1:22" s="2850" customFormat="1" ht="13.2" customHeight="1">
      <c r="A8" s="2885" t="s">
        <v>2346</v>
      </c>
      <c r="B8" s="3903" t="s">
        <v>2347</v>
      </c>
      <c r="C8" s="3904"/>
      <c r="D8" s="2886" t="s">
        <v>2348</v>
      </c>
      <c r="E8" s="2887" t="s">
        <v>2349</v>
      </c>
      <c r="F8" s="2888" t="s">
        <v>2350</v>
      </c>
      <c r="G8" s="2889"/>
      <c r="H8" s="2845"/>
      <c r="I8" s="2846"/>
      <c r="J8" s="3899"/>
      <c r="K8" s="3901"/>
      <c r="L8" s="2880" t="s">
        <v>2351</v>
      </c>
      <c r="M8" s="2881"/>
      <c r="N8" s="2857"/>
      <c r="O8" s="2882"/>
      <c r="P8" s="2882"/>
      <c r="Q8" s="2883">
        <v>365</v>
      </c>
      <c r="R8" s="2884">
        <f t="shared" ref="R8:R13" si="0">ROUND(M8*N8*O8*P8*Q8/10000,0)</f>
        <v>0</v>
      </c>
      <c r="S8" s="2838"/>
      <c r="T8" s="2838" t="s">
        <v>2352</v>
      </c>
      <c r="U8" s="2838"/>
      <c r="V8" s="2846"/>
    </row>
    <row r="9" spans="1:22" s="2850" customFormat="1" ht="13.2" customHeight="1">
      <c r="A9" s="2885">
        <v>1</v>
      </c>
      <c r="B9" s="3903" t="s">
        <v>2353</v>
      </c>
      <c r="C9" s="3904"/>
      <c r="D9" s="2886">
        <f>ROUND(D6*E9,0)</f>
        <v>0</v>
      </c>
      <c r="E9" s="2890"/>
      <c r="F9" s="2891" t="s">
        <v>2354</v>
      </c>
      <c r="G9" s="2870"/>
      <c r="H9" s="2845"/>
      <c r="I9" s="2846"/>
      <c r="J9" s="3899"/>
      <c r="K9" s="3901"/>
      <c r="L9" s="2880" t="s">
        <v>2355</v>
      </c>
      <c r="M9" s="2881"/>
      <c r="N9" s="2857"/>
      <c r="O9" s="2882"/>
      <c r="P9" s="2882"/>
      <c r="Q9" s="2883">
        <v>365</v>
      </c>
      <c r="R9" s="2884">
        <f t="shared" si="0"/>
        <v>0</v>
      </c>
      <c r="S9" s="2838"/>
      <c r="T9" s="2838"/>
      <c r="U9" s="2838"/>
      <c r="V9" s="2846"/>
    </row>
    <row r="10" spans="1:22" s="2850" customFormat="1" ht="13.2" customHeight="1">
      <c r="A10" s="2885">
        <v>2</v>
      </c>
      <c r="B10" s="3903" t="s">
        <v>2356</v>
      </c>
      <c r="C10" s="3904"/>
      <c r="D10" s="2886">
        <f>ROUND(D6*E10,0)</f>
        <v>0</v>
      </c>
      <c r="E10" s="2890"/>
      <c r="F10" s="2891" t="s">
        <v>2357</v>
      </c>
      <c r="G10" s="2870"/>
      <c r="H10" s="2845"/>
      <c r="I10" s="2846"/>
      <c r="J10" s="3899"/>
      <c r="K10" s="3901"/>
      <c r="L10" s="2880" t="s">
        <v>2358</v>
      </c>
      <c r="M10" s="2881"/>
      <c r="N10" s="2857"/>
      <c r="O10" s="2882"/>
      <c r="P10" s="2882"/>
      <c r="Q10" s="2883">
        <v>365</v>
      </c>
      <c r="R10" s="2884">
        <f t="shared" si="0"/>
        <v>0</v>
      </c>
      <c r="S10" s="2838"/>
      <c r="T10" s="2838"/>
      <c r="U10" s="2838"/>
      <c r="V10" s="2846"/>
    </row>
    <row r="11" spans="1:22" s="2850" customFormat="1" ht="13.2" customHeight="1">
      <c r="A11" s="2885">
        <v>3</v>
      </c>
      <c r="B11" s="3903" t="s">
        <v>2359</v>
      </c>
      <c r="C11" s="3904"/>
      <c r="D11" s="2886">
        <f>D12+D14+D15+D16</f>
        <v>0</v>
      </c>
      <c r="E11" s="2892" t="e">
        <f>D11/D6</f>
        <v>#DIV/0!</v>
      </c>
      <c r="F11" s="2888"/>
      <c r="G11" s="2889"/>
      <c r="H11" s="2845"/>
      <c r="I11" s="2846"/>
      <c r="J11" s="3899"/>
      <c r="K11" s="3901"/>
      <c r="L11" s="2880" t="s">
        <v>2360</v>
      </c>
      <c r="M11" s="2881"/>
      <c r="N11" s="2857"/>
      <c r="O11" s="2882"/>
      <c r="P11" s="2882"/>
      <c r="Q11" s="2883">
        <v>365</v>
      </c>
      <c r="R11" s="2884">
        <f t="shared" si="0"/>
        <v>0</v>
      </c>
      <c r="S11" s="2838"/>
      <c r="T11" s="2838"/>
      <c r="U11" s="2838"/>
      <c r="V11" s="2846"/>
    </row>
    <row r="12" spans="1:22" s="2850" customFormat="1" ht="13.2" customHeight="1">
      <c r="A12" s="2893" t="s">
        <v>2361</v>
      </c>
      <c r="B12" s="3905" t="s">
        <v>2362</v>
      </c>
      <c r="C12" s="3906"/>
      <c r="D12" s="2894">
        <f>ROUND(D13*1.2%*(1-30%),0)</f>
        <v>0</v>
      </c>
      <c r="E12" s="2895">
        <v>1.2E-2</v>
      </c>
      <c r="F12" s="2888" t="s">
        <v>2363</v>
      </c>
      <c r="G12" s="2889"/>
      <c r="H12" s="2845"/>
      <c r="I12" s="2846"/>
      <c r="J12" s="3899"/>
      <c r="K12" s="3901"/>
      <c r="L12" s="2880" t="s">
        <v>2364</v>
      </c>
      <c r="M12" s="2881"/>
      <c r="N12" s="2857"/>
      <c r="O12" s="2882"/>
      <c r="P12" s="2882"/>
      <c r="Q12" s="2883">
        <v>365</v>
      </c>
      <c r="R12" s="2884">
        <f t="shared" si="0"/>
        <v>0</v>
      </c>
      <c r="S12" s="2838"/>
      <c r="T12" s="2838"/>
      <c r="U12" s="2838"/>
      <c r="V12" s="2846"/>
    </row>
    <row r="13" spans="1:22" s="2850" customFormat="1" ht="13.2" customHeight="1">
      <c r="A13" s="2893"/>
      <c r="B13" s="2896"/>
      <c r="C13" s="2897" t="s">
        <v>2365</v>
      </c>
      <c r="D13" s="2898"/>
      <c r="E13" s="2899"/>
      <c r="F13" s="2888"/>
      <c r="G13" s="2889"/>
      <c r="H13" s="2845"/>
      <c r="I13" s="2846"/>
      <c r="J13" s="3899"/>
      <c r="K13" s="3901"/>
      <c r="L13" s="2880" t="s">
        <v>2366</v>
      </c>
      <c r="M13" s="2881"/>
      <c r="N13" s="2857"/>
      <c r="O13" s="2882"/>
      <c r="P13" s="2882"/>
      <c r="Q13" s="2883">
        <v>365</v>
      </c>
      <c r="R13" s="2884">
        <f t="shared" si="0"/>
        <v>0</v>
      </c>
      <c r="S13" s="2838"/>
      <c r="T13" s="2838"/>
      <c r="U13" s="2838"/>
      <c r="V13" s="2846"/>
    </row>
    <row r="14" spans="1:22" s="2850" customFormat="1" ht="13.2" customHeight="1">
      <c r="A14" s="2893" t="s">
        <v>2367</v>
      </c>
      <c r="B14" s="3905" t="s">
        <v>2368</v>
      </c>
      <c r="C14" s="3906"/>
      <c r="D14" s="2894">
        <f>ROUND(E14*B5/10000,0)</f>
        <v>0</v>
      </c>
      <c r="E14" s="2883"/>
      <c r="F14" s="2888" t="s">
        <v>2369</v>
      </c>
      <c r="G14" s="2889"/>
      <c r="H14" s="2845"/>
      <c r="I14" s="2846"/>
      <c r="J14" s="3899"/>
      <c r="K14" s="3902"/>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2371</v>
      </c>
      <c r="B15" s="3905" t="s">
        <v>2372</v>
      </c>
      <c r="C15" s="3906"/>
      <c r="D15" s="2894">
        <f>ROUND(D6*E15,0)</f>
        <v>0</v>
      </c>
      <c r="E15" s="2895">
        <v>5.5E-2</v>
      </c>
      <c r="F15" s="2888" t="s">
        <v>2373</v>
      </c>
      <c r="G15" s="2870"/>
      <c r="H15" s="2845"/>
      <c r="I15" s="2846"/>
      <c r="J15" s="3899">
        <v>2</v>
      </c>
      <c r="K15" s="3900"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2" customHeight="1">
      <c r="A16" s="2893" t="s">
        <v>2380</v>
      </c>
      <c r="B16" s="3905" t="s">
        <v>2381</v>
      </c>
      <c r="C16" s="3906"/>
      <c r="D16" s="2905">
        <f>D6*E16</f>
        <v>0</v>
      </c>
      <c r="E16" s="2906"/>
      <c r="F16" s="2891" t="s">
        <v>2382</v>
      </c>
      <c r="G16" s="2870"/>
      <c r="H16" s="2845"/>
      <c r="I16" s="2846"/>
      <c r="J16" s="3899"/>
      <c r="K16" s="3901"/>
      <c r="L16" s="2880" t="s">
        <v>2383</v>
      </c>
      <c r="M16" s="2881"/>
      <c r="N16" s="2881"/>
      <c r="O16" s="2882"/>
      <c r="P16" s="2883">
        <v>365</v>
      </c>
      <c r="Q16" s="2857"/>
      <c r="R16" s="2904">
        <f>ROUND(M16*N16*O16*P16/10000,0)</f>
        <v>0</v>
      </c>
      <c r="S16" s="2838"/>
      <c r="T16" s="2838"/>
      <c r="U16" s="2838"/>
      <c r="V16" s="2846"/>
    </row>
    <row r="17" spans="1:22" s="2850" customFormat="1" ht="13.2" customHeight="1" thickBot="1">
      <c r="A17" s="2907">
        <v>4</v>
      </c>
      <c r="B17" s="3907" t="s">
        <v>2384</v>
      </c>
      <c r="C17" s="3908"/>
      <c r="D17" s="2908">
        <f>ROUND(D6*E17,0)</f>
        <v>0</v>
      </c>
      <c r="E17" s="2909"/>
      <c r="F17" s="2910" t="s">
        <v>2385</v>
      </c>
      <c r="G17" s="2870"/>
      <c r="H17" s="2845"/>
      <c r="I17" s="2846"/>
      <c r="J17" s="3899"/>
      <c r="K17" s="3901"/>
      <c r="L17" s="2880" t="s">
        <v>2386</v>
      </c>
      <c r="M17" s="2881"/>
      <c r="N17" s="2881"/>
      <c r="O17" s="2882"/>
      <c r="P17" s="2883">
        <v>365</v>
      </c>
      <c r="Q17" s="2857"/>
      <c r="R17" s="2904">
        <f>ROUND(M17*N17*O17*P17/10000,0)</f>
        <v>0</v>
      </c>
      <c r="S17" s="2838"/>
      <c r="T17" s="2838"/>
      <c r="U17" s="2838"/>
      <c r="V17" s="2846"/>
    </row>
    <row r="18" spans="1:22" s="2850" customFormat="1" ht="13.2" customHeight="1" thickBot="1">
      <c r="A18" s="2873" t="s">
        <v>2387</v>
      </c>
      <c r="B18" s="2874"/>
      <c r="C18" s="2874"/>
      <c r="D18" s="2911">
        <f>ROUND(D6*E18,0)</f>
        <v>0</v>
      </c>
      <c r="E18" s="2912"/>
      <c r="F18" s="2913" t="s">
        <v>2388</v>
      </c>
      <c r="G18" s="2870"/>
      <c r="H18" s="2845"/>
      <c r="I18" s="2846"/>
      <c r="J18" s="3899"/>
      <c r="K18" s="3901"/>
      <c r="L18" s="2880" t="s">
        <v>2389</v>
      </c>
      <c r="M18" s="2881"/>
      <c r="N18" s="2881"/>
      <c r="O18" s="2882"/>
      <c r="P18" s="2883">
        <v>365</v>
      </c>
      <c r="Q18" s="2857"/>
      <c r="R18" s="2904">
        <f>ROUND(M18*N18*O18*P18/10000,0)</f>
        <v>0</v>
      </c>
      <c r="S18" s="2838"/>
      <c r="T18" s="2838"/>
      <c r="U18" s="2838"/>
      <c r="V18" s="2846"/>
    </row>
    <row r="19" spans="1:22" s="2850" customFormat="1" ht="13.2" customHeight="1" thickBot="1">
      <c r="A19" s="2914" t="s">
        <v>2390</v>
      </c>
      <c r="B19" s="2868"/>
      <c r="C19" s="2868"/>
      <c r="D19" s="2868"/>
      <c r="E19" s="2868"/>
      <c r="F19" s="2869"/>
      <c r="G19" s="2889"/>
      <c r="H19" s="2845"/>
      <c r="I19" s="2846"/>
      <c r="J19" s="3899"/>
      <c r="K19" s="3902"/>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899">
        <v>3</v>
      </c>
      <c r="K20" s="3900"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2" customHeight="1">
      <c r="A21" s="2873"/>
      <c r="B21" s="2874"/>
      <c r="C21" s="2920" t="s">
        <v>2399</v>
      </c>
      <c r="D21" s="2921" t="s">
        <v>2400</v>
      </c>
      <c r="E21" s="2922" t="s">
        <v>2401</v>
      </c>
      <c r="F21" s="2917"/>
      <c r="G21" s="2889"/>
      <c r="H21" s="2845"/>
      <c r="I21" s="2846"/>
      <c r="J21" s="3899"/>
      <c r="K21" s="3901"/>
      <c r="L21" s="2880" t="s">
        <v>2402</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2403</v>
      </c>
      <c r="D22" s="2925" t="s">
        <v>2404</v>
      </c>
      <c r="E22" s="2926" t="s">
        <v>2405</v>
      </c>
      <c r="F22" s="2917"/>
      <c r="G22" s="2927"/>
      <c r="H22" s="2845"/>
      <c r="I22" s="2846"/>
      <c r="J22" s="3899"/>
      <c r="K22" s="3901"/>
      <c r="L22" s="2880" t="s">
        <v>2406</v>
      </c>
      <c r="M22" s="2881"/>
      <c r="N22" s="2881"/>
      <c r="O22" s="2882"/>
      <c r="P22" s="2883">
        <v>365</v>
      </c>
      <c r="Q22" s="2857"/>
      <c r="R22" s="2923">
        <f>ROUND(M22*N22*O22*P22/10000,0)</f>
        <v>0</v>
      </c>
      <c r="S22" s="2919"/>
      <c r="T22" s="2919"/>
      <c r="U22" s="2919"/>
      <c r="V22" s="2846"/>
    </row>
    <row r="23" spans="1:22" s="2850" customFormat="1" ht="13.2" customHeight="1">
      <c r="A23" s="2928">
        <v>1</v>
      </c>
      <c r="B23" s="2929" t="s">
        <v>2407</v>
      </c>
      <c r="C23" s="2930">
        <f>D6</f>
        <v>0</v>
      </c>
      <c r="D23" s="2931">
        <f>C23*(1+D24)</f>
        <v>0</v>
      </c>
      <c r="E23" s="2932">
        <f>D23*(1+E24)</f>
        <v>0</v>
      </c>
      <c r="F23" s="2933"/>
      <c r="G23" s="2934"/>
      <c r="H23" s="2845"/>
      <c r="I23" s="2846"/>
      <c r="J23" s="3899"/>
      <c r="K23" s="3901"/>
      <c r="L23" s="2880" t="s">
        <v>2408</v>
      </c>
      <c r="M23" s="2881"/>
      <c r="N23" s="2881"/>
      <c r="O23" s="2882"/>
      <c r="P23" s="2883">
        <v>365</v>
      </c>
      <c r="Q23" s="2857"/>
      <c r="R23" s="2923">
        <f>ROUND(M23*N23*O23*P23/10000,0)</f>
        <v>0</v>
      </c>
      <c r="S23" s="2838"/>
      <c r="T23" s="2838"/>
      <c r="U23" s="2838"/>
      <c r="V23" s="2846"/>
    </row>
    <row r="24" spans="1:22" s="2850" customFormat="1" ht="13.2" customHeight="1">
      <c r="A24" s="2935"/>
      <c r="B24" s="2936" t="s">
        <v>2409</v>
      </c>
      <c r="C24" s="2937"/>
      <c r="D24" s="2938"/>
      <c r="E24" s="2939"/>
      <c r="F24" s="2940"/>
      <c r="G24" s="2934"/>
      <c r="H24" s="2845"/>
      <c r="I24" s="2846"/>
      <c r="J24" s="3899"/>
      <c r="K24" s="3902"/>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2" customHeight="1">
      <c r="A26" s="2928">
        <v>2</v>
      </c>
      <c r="B26" s="2929" t="s">
        <v>2411</v>
      </c>
      <c r="C26" s="2930">
        <f>D7</f>
        <v>0</v>
      </c>
      <c r="D26" s="2931">
        <f>D23*D27</f>
        <v>0</v>
      </c>
      <c r="E26" s="2932">
        <f>E23*E27</f>
        <v>0</v>
      </c>
      <c r="F26" s="2933"/>
      <c r="G26" s="2934"/>
      <c r="H26" s="2845"/>
      <c r="I26" s="2846"/>
      <c r="J26" s="3909">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2" customHeight="1">
      <c r="A27" s="2935"/>
      <c r="B27" s="2936" t="s">
        <v>2417</v>
      </c>
      <c r="C27" s="2954" t="e">
        <f>E7</f>
        <v>#DIV/0!</v>
      </c>
      <c r="D27" s="2938"/>
      <c r="E27" s="2939"/>
      <c r="F27" s="2940"/>
      <c r="G27" s="2934"/>
      <c r="H27" s="2955"/>
      <c r="I27" s="2946"/>
      <c r="J27" s="3910"/>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2"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2" customHeight="1">
      <c r="A32" s="2928">
        <v>4</v>
      </c>
      <c r="B32" s="2929" t="s">
        <v>2425</v>
      </c>
      <c r="C32" s="2930">
        <f>C23-C26-C29</f>
        <v>0</v>
      </c>
      <c r="D32" s="2931">
        <f>D23-D26-D29</f>
        <v>0</v>
      </c>
      <c r="E32" s="2932">
        <f>E23-E26-E29</f>
        <v>0</v>
      </c>
      <c r="F32" s="2933"/>
      <c r="G32" s="2927"/>
      <c r="H32" s="2845"/>
      <c r="I32" s="2846"/>
      <c r="J32" s="3892" t="s">
        <v>2317</v>
      </c>
      <c r="K32" s="3893"/>
      <c r="L32" s="2847" t="s">
        <v>2318</v>
      </c>
      <c r="M32" s="2847" t="s">
        <v>2319</v>
      </c>
      <c r="N32" s="2847" t="s">
        <v>2320</v>
      </c>
      <c r="O32" s="2847" t="s">
        <v>2321</v>
      </c>
      <c r="P32" s="2847" t="s">
        <v>2322</v>
      </c>
      <c r="Q32" s="2848" t="s">
        <v>2323</v>
      </c>
      <c r="R32" s="2970" t="s">
        <v>2324</v>
      </c>
      <c r="S32" s="2919"/>
      <c r="T32" s="2838"/>
      <c r="U32" s="2838"/>
      <c r="V32" s="2946"/>
    </row>
    <row r="33" spans="1:23" s="2850" customFormat="1" ht="13.2" customHeight="1">
      <c r="A33" s="2928"/>
      <c r="B33" s="2929"/>
      <c r="C33" s="2930"/>
      <c r="D33" s="2971"/>
      <c r="E33" s="2972"/>
      <c r="F33" s="2933"/>
      <c r="G33" s="2927"/>
      <c r="H33" s="2955"/>
      <c r="I33" s="2946"/>
      <c r="J33" s="3894" t="s">
        <v>2327</v>
      </c>
      <c r="K33" s="3895"/>
      <c r="L33" s="2853"/>
      <c r="M33" s="2853"/>
      <c r="N33" s="2853"/>
      <c r="O33" s="2853"/>
      <c r="P33" s="2853"/>
      <c r="Q33" s="2854"/>
      <c r="R33" s="2973">
        <f>SUM(L33:Q33)</f>
        <v>0</v>
      </c>
      <c r="S33" s="2919"/>
      <c r="T33" s="2838"/>
      <c r="U33" s="2838"/>
      <c r="V33" s="2846"/>
    </row>
    <row r="34" spans="1:23" s="2850" customFormat="1" ht="13.2" customHeight="1">
      <c r="A34" s="2928">
        <v>5</v>
      </c>
      <c r="B34" s="2929" t="s">
        <v>2426</v>
      </c>
      <c r="C34" s="2974"/>
      <c r="D34" s="2975"/>
      <c r="E34" s="2976"/>
      <c r="F34" s="2933"/>
      <c r="G34" s="2927"/>
      <c r="H34" s="2955"/>
      <c r="I34" s="2946"/>
      <c r="J34" s="3894" t="s">
        <v>2329</v>
      </c>
      <c r="K34" s="3895"/>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2" customHeight="1" thickBot="1">
      <c r="A36" s="2928">
        <v>7</v>
      </c>
      <c r="B36" s="2983" t="s">
        <v>2428</v>
      </c>
      <c r="C36" s="2984"/>
      <c r="D36" s="2985"/>
      <c r="E36" s="2986"/>
      <c r="F36" s="2987">
        <f>C36+D36+E36</f>
        <v>0</v>
      </c>
      <c r="G36" s="2927"/>
      <c r="H36" s="2845"/>
      <c r="I36" s="2846"/>
      <c r="J36" s="3899">
        <v>1</v>
      </c>
      <c r="K36" s="3900" t="s">
        <v>2429</v>
      </c>
      <c r="L36" s="2871"/>
      <c r="M36" s="2872"/>
      <c r="N36" s="2872"/>
      <c r="O36" s="2872"/>
      <c r="P36" s="2872"/>
      <c r="Q36" s="2872"/>
      <c r="R36" s="2855" t="s">
        <v>2341</v>
      </c>
      <c r="S36" s="2919"/>
      <c r="T36" s="2838" t="s">
        <v>2342</v>
      </c>
      <c r="U36" s="2838"/>
      <c r="V36" s="2846"/>
    </row>
    <row r="37" spans="1:23" s="2850" customFormat="1" ht="13.2" customHeight="1">
      <c r="A37" s="2928"/>
      <c r="B37" s="2929"/>
      <c r="C37" s="2929"/>
      <c r="D37" s="2929"/>
      <c r="E37" s="2929"/>
      <c r="F37" s="2933"/>
      <c r="G37" s="2927"/>
      <c r="H37" s="2845"/>
      <c r="I37" s="2846"/>
      <c r="J37" s="3899"/>
      <c r="K37" s="3901"/>
      <c r="L37" s="2880"/>
      <c r="M37" s="2881"/>
      <c r="N37" s="2857"/>
      <c r="O37" s="2882"/>
      <c r="P37" s="2882"/>
      <c r="Q37" s="2883"/>
      <c r="R37" s="2884"/>
      <c r="S37" s="2919"/>
      <c r="T37" s="2838" t="s">
        <v>2345</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899"/>
      <c r="K38" s="3901"/>
      <c r="L38" s="2880"/>
      <c r="M38" s="2881"/>
      <c r="N38" s="2857"/>
      <c r="O38" s="2882"/>
      <c r="P38" s="2882"/>
      <c r="Q38" s="2883"/>
      <c r="R38" s="2884"/>
      <c r="S38" s="2919"/>
      <c r="T38" s="2838" t="s">
        <v>2352</v>
      </c>
      <c r="U38" s="2838"/>
      <c r="V38" s="2846"/>
    </row>
    <row r="39" spans="1:23" s="2850" customFormat="1" ht="13.2" customHeight="1">
      <c r="A39" s="2928">
        <v>9</v>
      </c>
      <c r="B39" s="2929" t="s">
        <v>2430</v>
      </c>
      <c r="C39" s="2894" t="e">
        <f>C38</f>
        <v>#DIV/0!</v>
      </c>
      <c r="D39" s="2929">
        <f>D38/(1+D34)^C36</f>
        <v>0</v>
      </c>
      <c r="E39" s="2929">
        <f>E38/(1+E34)^(C36+D36)</f>
        <v>0</v>
      </c>
      <c r="F39" s="2933"/>
      <c r="G39" s="2988"/>
      <c r="H39" s="2845"/>
      <c r="I39" s="2846"/>
      <c r="J39" s="3899"/>
      <c r="K39" s="3901"/>
      <c r="L39" s="2880"/>
      <c r="M39" s="2881"/>
      <c r="N39" s="2857"/>
      <c r="O39" s="2882"/>
      <c r="P39" s="2882"/>
      <c r="Q39" s="2883"/>
      <c r="R39" s="2884"/>
      <c r="S39" s="2919"/>
      <c r="T39" s="2838"/>
      <c r="U39" s="2838"/>
      <c r="V39" s="2846"/>
    </row>
    <row r="40" spans="1:23" s="2850" customFormat="1" ht="13.2" customHeight="1">
      <c r="A40" s="2989">
        <v>10</v>
      </c>
      <c r="B40" s="2929" t="s">
        <v>2431</v>
      </c>
      <c r="C40" s="2990" t="e">
        <f>C39+D39+E39</f>
        <v>#DIV/0!</v>
      </c>
      <c r="D40" s="2991"/>
      <c r="E40" s="2991"/>
      <c r="F40" s="2992"/>
      <c r="G40" s="2927"/>
      <c r="H40" s="2845"/>
      <c r="I40" s="2846"/>
      <c r="J40" s="3899"/>
      <c r="K40" s="3902"/>
      <c r="L40" s="2900" t="s">
        <v>2370</v>
      </c>
      <c r="M40" s="2901"/>
      <c r="N40" s="2901"/>
      <c r="O40" s="2902"/>
      <c r="P40" s="2902"/>
      <c r="Q40" s="2903"/>
      <c r="R40" s="2849">
        <f>SUM(R37:R39)</f>
        <v>0</v>
      </c>
      <c r="S40" s="2919"/>
      <c r="T40" s="2838"/>
      <c r="U40" s="2838"/>
      <c r="V40" s="2846"/>
    </row>
    <row r="41" spans="1:23" s="2850" customFormat="1" ht="13.2"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2" customHeight="1">
      <c r="G42" s="2997"/>
      <c r="H42" s="2845"/>
      <c r="I42" s="2846"/>
      <c r="J42" s="3909">
        <v>3</v>
      </c>
      <c r="K42" s="2948" t="s">
        <v>2412</v>
      </c>
      <c r="L42" s="2949"/>
      <c r="M42" s="2950"/>
      <c r="N42" s="2951" t="s">
        <v>2413</v>
      </c>
      <c r="O42" s="2951" t="s">
        <v>2414</v>
      </c>
      <c r="P42" s="2952" t="s">
        <v>2415</v>
      </c>
      <c r="Q42" s="2952" t="s">
        <v>2416</v>
      </c>
      <c r="R42" s="2855" t="s">
        <v>2341</v>
      </c>
      <c r="S42" s="2953"/>
      <c r="T42" s="2953"/>
      <c r="U42" s="2838"/>
      <c r="V42" s="2846"/>
    </row>
    <row r="43" spans="1:23" ht="13.2" customHeight="1">
      <c r="A43" s="2850"/>
      <c r="B43" s="2850"/>
      <c r="C43" s="2850"/>
      <c r="D43" s="2850"/>
      <c r="E43" s="2850"/>
      <c r="F43" s="2850"/>
      <c r="I43" s="2833"/>
      <c r="J43" s="3910"/>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F20" sqref="F20"/>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77734375" style="1474" customWidth="1"/>
    <col min="7" max="16384" width="9" style="1474"/>
  </cols>
  <sheetData>
    <row r="1" spans="1:22" ht="21.6">
      <c r="A1" s="1864" t="s">
        <v>1657</v>
      </c>
      <c r="B1" s="1865"/>
      <c r="C1" s="1865"/>
      <c r="D1" s="1865"/>
      <c r="E1" s="1866"/>
      <c r="F1" s="2704"/>
      <c r="G1" s="1486"/>
      <c r="H1" s="1486"/>
      <c r="I1" s="1486"/>
      <c r="J1" s="1486"/>
      <c r="K1" s="1486"/>
      <c r="L1" s="1486"/>
      <c r="M1" s="1486"/>
      <c r="N1" s="1486"/>
      <c r="O1" s="1486"/>
      <c r="P1" s="1486"/>
      <c r="Q1" s="1486"/>
      <c r="R1" s="1486"/>
      <c r="S1" s="1486"/>
    </row>
    <row r="2" spans="1:22" ht="15.6">
      <c r="A2" s="1867" t="s">
        <v>1461</v>
      </c>
      <c r="B2" s="1868">
        <f ca="1">SUMIF(B6:B13,"&lt;&gt;#ref!",B6:B13)</f>
        <v>161970</v>
      </c>
      <c r="C2" s="1869" t="s">
        <v>1650</v>
      </c>
      <c r="D2" s="1870" t="s">
        <v>1651</v>
      </c>
      <c r="E2" s="2604">
        <f>SUM(E6:E13)</f>
        <v>41237.999999999993</v>
      </c>
      <c r="F2" s="2704"/>
      <c r="G2" s="1486"/>
      <c r="H2" s="1486"/>
      <c r="I2" s="1486"/>
      <c r="J2" s="1486"/>
      <c r="K2" s="1486"/>
      <c r="L2" s="1486"/>
      <c r="M2" s="1486"/>
      <c r="N2" s="1486"/>
      <c r="O2" s="1486"/>
      <c r="P2" s="1486"/>
      <c r="Q2" s="1486"/>
      <c r="R2" s="1486"/>
      <c r="S2" s="1486"/>
    </row>
    <row r="3" spans="1:22" ht="15.6">
      <c r="A3" s="1867" t="s">
        <v>686</v>
      </c>
      <c r="B3" s="2598">
        <f ca="1">ROUND(B2*10000/E2,0)</f>
        <v>39277</v>
      </c>
      <c r="C3" s="1869" t="s">
        <v>1658</v>
      </c>
      <c r="D3" s="2706"/>
      <c r="E3" s="2708"/>
      <c r="F3" s="2704"/>
      <c r="G3" s="1486"/>
      <c r="H3" s="1486"/>
      <c r="I3" s="1486"/>
      <c r="J3" s="1486"/>
      <c r="K3" s="1486"/>
      <c r="L3" s="1486"/>
      <c r="M3" s="1486"/>
      <c r="N3" s="1486"/>
      <c r="O3" s="1486"/>
      <c r="P3" s="1486"/>
      <c r="Q3" s="1486"/>
      <c r="R3" s="1486"/>
      <c r="S3" s="1486"/>
    </row>
    <row r="4" spans="1:22" ht="15.6">
      <c r="A4" s="2709"/>
      <c r="B4" s="2706"/>
      <c r="C4" s="2706"/>
      <c r="D4" s="2706"/>
      <c r="E4" s="2708"/>
      <c r="F4" s="2704"/>
      <c r="G4" s="1486"/>
      <c r="H4" s="1486"/>
      <c r="I4" s="1486"/>
      <c r="J4" s="1486"/>
      <c r="K4" s="1486"/>
      <c r="L4" s="1486"/>
      <c r="M4" s="1486"/>
      <c r="N4" s="1486"/>
      <c r="O4" s="1486"/>
      <c r="P4" s="1486"/>
      <c r="Q4" s="1486"/>
      <c r="R4" s="1486"/>
      <c r="S4" s="1486"/>
    </row>
    <row r="5" spans="1:22" ht="14.4">
      <c r="A5" s="2600" t="s">
        <v>1652</v>
      </c>
      <c r="B5" s="3911" t="s">
        <v>1653</v>
      </c>
      <c r="C5" s="3912"/>
      <c r="D5" s="2705"/>
      <c r="E5" s="1871" t="s">
        <v>1654</v>
      </c>
      <c r="F5" s="1872" t="s">
        <v>1655</v>
      </c>
      <c r="G5" s="1486"/>
      <c r="H5" s="1486"/>
      <c r="I5" s="1486"/>
      <c r="J5" s="1486"/>
      <c r="K5" s="1486"/>
      <c r="L5" s="1486"/>
      <c r="M5" s="1486"/>
      <c r="N5" s="1486"/>
      <c r="O5" s="1486"/>
      <c r="P5" s="1486"/>
      <c r="Q5" s="1486"/>
      <c r="R5" s="1486"/>
      <c r="S5" s="1486"/>
    </row>
    <row r="6" spans="1:22" ht="14.4">
      <c r="A6" s="2601" t="str">
        <f>'数据-取费表'!AN6</f>
        <v>成本法</v>
      </c>
      <c r="B6" s="2599">
        <f ca="1">IF(F6="是",'数据-取费表'!AO6,0)</f>
        <v>53990</v>
      </c>
      <c r="C6" s="1869" t="s">
        <v>1650</v>
      </c>
      <c r="D6" s="2706"/>
      <c r="E6" s="2603">
        <f>IF(OR(A6=0,F6="否"),0,'数据-取费表'!K6+'数据-取费表'!S6)</f>
        <v>26216.35</v>
      </c>
      <c r="F6" s="1873" t="s">
        <v>1656</v>
      </c>
      <c r="G6" s="1486"/>
      <c r="H6" s="1486"/>
      <c r="I6" s="1486"/>
      <c r="J6" s="1486"/>
      <c r="K6" s="1486"/>
      <c r="L6" s="1486"/>
      <c r="M6" s="1486"/>
      <c r="N6" s="1486"/>
      <c r="O6" s="1486"/>
      <c r="P6" s="1486"/>
      <c r="Q6" s="1486"/>
      <c r="R6" s="1486"/>
      <c r="S6" s="1486"/>
    </row>
    <row r="7" spans="1:22" ht="14.4">
      <c r="A7" s="2601" t="str">
        <f>'数据-取费表'!AN7</f>
        <v>成本法</v>
      </c>
      <c r="B7" s="2599">
        <f ca="1">IF(F7="是",'数据-取费表'!AO7,0)</f>
        <v>53990</v>
      </c>
      <c r="C7" s="1869" t="s">
        <v>1650</v>
      </c>
      <c r="D7" s="2706"/>
      <c r="E7" s="2603">
        <f>IF(OR(A7=0,F7="否"),0,'数据-取费表'!K7+'数据-取费表'!S7)</f>
        <v>11269.880000000001</v>
      </c>
      <c r="F7" s="1873" t="s">
        <v>1656</v>
      </c>
      <c r="G7" s="1486"/>
      <c r="H7" s="1486"/>
      <c r="I7" s="1486"/>
      <c r="J7" s="1486"/>
      <c r="K7" s="1486"/>
      <c r="L7" s="1486"/>
      <c r="M7" s="1486"/>
      <c r="N7" s="1486"/>
      <c r="O7" s="1486"/>
      <c r="P7" s="1486"/>
      <c r="Q7" s="1486"/>
      <c r="R7" s="1486"/>
      <c r="S7" s="1486"/>
    </row>
    <row r="8" spans="1:22" ht="14.4">
      <c r="A8" s="2601" t="str">
        <f>'数据-取费表'!AN8</f>
        <v>成本法</v>
      </c>
      <c r="B8" s="2599">
        <f ca="1">IF(F8="是",'数据-取费表'!AO8,0)</f>
        <v>53990</v>
      </c>
      <c r="C8" s="1869" t="s">
        <v>1650</v>
      </c>
      <c r="D8" s="2706"/>
      <c r="E8" s="2603">
        <f>IF(OR(A8=0,F8="否"),0,'数据-取费表'!K8+'数据-取费表'!S8)</f>
        <v>3751.77</v>
      </c>
      <c r="F8" s="1873" t="s">
        <v>1656</v>
      </c>
      <c r="G8" s="1486"/>
      <c r="H8" s="1486"/>
      <c r="I8" s="1486"/>
      <c r="J8" s="1486"/>
      <c r="K8" s="1486"/>
      <c r="L8" s="1486"/>
      <c r="M8" s="1486"/>
      <c r="N8" s="1486"/>
      <c r="O8" s="1486"/>
      <c r="P8" s="1486"/>
      <c r="Q8" s="1486"/>
      <c r="R8" s="1486"/>
      <c r="S8" s="1486"/>
    </row>
    <row r="9" spans="1:22" ht="14.4">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ht="14.4">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ht="14.4">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ht="14.4">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S33" sqref="S33"/>
    </sheetView>
  </sheetViews>
  <sheetFormatPr defaultColWidth="9" defaultRowHeight="13.8"/>
  <cols>
    <col min="1" max="1" width="10.44140625" style="356" customWidth="1"/>
    <col min="2" max="3" width="15.77734375" style="356" customWidth="1"/>
    <col min="4" max="4" width="12.109375" style="356" customWidth="1"/>
    <col min="5" max="5" width="17.109375" style="356" customWidth="1"/>
    <col min="6" max="6" width="12.109375" style="356" customWidth="1"/>
    <col min="7" max="7" width="16.44140625" style="356" customWidth="1"/>
    <col min="8" max="8" width="12.109375" style="356" customWidth="1"/>
    <col min="9" max="9" width="15.6640625" style="356" customWidth="1"/>
    <col min="10" max="10" width="12.109375" style="356" customWidth="1"/>
    <col min="11" max="11" width="12.109375" style="443" customWidth="1"/>
    <col min="12" max="12" width="12.109375" style="444" customWidth="1"/>
    <col min="13" max="15" width="12.109375" style="356" customWidth="1"/>
    <col min="16" max="16" width="4.77734375" style="1913" customWidth="1"/>
    <col min="17" max="17" width="19.44140625" style="356" customWidth="1"/>
    <col min="18" max="22" width="6.109375" style="356" customWidth="1"/>
    <col min="23" max="23" width="5.77734375" style="356" customWidth="1"/>
    <col min="24" max="24" width="4.1093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1664</v>
      </c>
      <c r="D3" s="352">
        <f>IF(D1="",'数据-汇总表'!E3,SUMIF('数据-汇总表'!$C19:$C33,D1,'数据-汇总表'!$E19:$E33))</f>
        <v>41238</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4.4">
      <c r="A4" s="354" t="s">
        <v>1665</v>
      </c>
      <c r="B4" s="355"/>
      <c r="C4" s="3931" t="s">
        <v>1666</v>
      </c>
      <c r="D4" s="3932"/>
      <c r="E4" s="3933" t="s">
        <v>1667</v>
      </c>
      <c r="F4" s="3934"/>
      <c r="G4" s="3931" t="s">
        <v>1668</v>
      </c>
      <c r="H4" s="3932"/>
      <c r="I4" s="3931" t="s">
        <v>1669</v>
      </c>
      <c r="J4" s="3932"/>
      <c r="K4" s="1886" t="s">
        <v>1670</v>
      </c>
      <c r="L4" s="2712"/>
      <c r="M4" s="2713"/>
      <c r="N4" s="2713"/>
      <c r="O4" s="2713"/>
      <c r="P4" s="3935" t="s">
        <v>1671</v>
      </c>
      <c r="Q4" s="3936"/>
      <c r="R4" s="3918" t="s">
        <v>1667</v>
      </c>
      <c r="S4" s="3919"/>
      <c r="T4" s="3918" t="s">
        <v>1668</v>
      </c>
      <c r="U4" s="3919"/>
      <c r="V4" s="3943" t="s">
        <v>1669</v>
      </c>
      <c r="W4" s="3943"/>
      <c r="X4" s="1352"/>
      <c r="Y4" s="3918" t="s">
        <v>1671</v>
      </c>
      <c r="Z4" s="3919"/>
      <c r="AA4" s="3913" t="s">
        <v>1667</v>
      </c>
      <c r="AB4" s="3913" t="s">
        <v>1668</v>
      </c>
      <c r="AC4" s="3913" t="s">
        <v>1669</v>
      </c>
    </row>
    <row r="5" spans="1:29">
      <c r="A5" s="357"/>
      <c r="B5" s="358"/>
      <c r="C5" s="3924" t="s">
        <v>1672</v>
      </c>
      <c r="D5" s="3925"/>
      <c r="E5" s="3922" t="s">
        <v>1673</v>
      </c>
      <c r="F5" s="3923"/>
      <c r="G5" s="3924" t="s">
        <v>1674</v>
      </c>
      <c r="H5" s="3925"/>
      <c r="I5" s="3924" t="s">
        <v>1675</v>
      </c>
      <c r="J5" s="3925"/>
      <c r="K5" s="1887"/>
      <c r="L5" s="2712"/>
      <c r="M5" s="2713"/>
      <c r="N5" s="2713"/>
      <c r="O5" s="2713"/>
      <c r="P5" s="3937"/>
      <c r="Q5" s="3938"/>
      <c r="R5" s="3920"/>
      <c r="S5" s="3921"/>
      <c r="T5" s="3920"/>
      <c r="U5" s="3921"/>
      <c r="V5" s="3943"/>
      <c r="W5" s="3943"/>
      <c r="X5" s="1352"/>
      <c r="Y5" s="3920"/>
      <c r="Z5" s="3921"/>
      <c r="AA5" s="3914"/>
      <c r="AB5" s="3914"/>
      <c r="AC5" s="3914"/>
    </row>
    <row r="6" spans="1:29" ht="15" thickBot="1">
      <c r="A6" s="359"/>
      <c r="B6" s="360"/>
      <c r="C6" s="3926" t="s">
        <v>1676</v>
      </c>
      <c r="D6" s="3927"/>
      <c r="E6" s="3928" t="s">
        <v>1676</v>
      </c>
      <c r="F6" s="3929"/>
      <c r="G6" s="3926" t="s">
        <v>1676</v>
      </c>
      <c r="H6" s="3927"/>
      <c r="I6" s="3926" t="s">
        <v>1676</v>
      </c>
      <c r="J6" s="3927"/>
      <c r="K6" s="1887" t="s">
        <v>1677</v>
      </c>
      <c r="L6" s="2712"/>
      <c r="M6" s="2713"/>
      <c r="N6" s="2713"/>
      <c r="O6" s="2713"/>
      <c r="P6" s="3939"/>
      <c r="Q6" s="3940"/>
      <c r="R6" s="3920"/>
      <c r="S6" s="3921"/>
      <c r="T6" s="3941"/>
      <c r="U6" s="3942"/>
      <c r="V6" s="3943"/>
      <c r="W6" s="3943"/>
      <c r="X6" s="1352"/>
      <c r="Y6" s="3941"/>
      <c r="Z6" s="3942"/>
      <c r="AA6" s="3915"/>
      <c r="AB6" s="3915"/>
      <c r="AC6" s="3915"/>
    </row>
    <row r="7" spans="1:29" s="108" customFormat="1" ht="15" thickBot="1">
      <c r="A7" s="361" t="s">
        <v>1678</v>
      </c>
      <c r="B7" s="362"/>
      <c r="C7" s="363">
        <f>'数据-取费表'!B2</f>
        <v>45511</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916" t="s">
        <v>1679</v>
      </c>
      <c r="Q7" s="3944"/>
      <c r="R7" s="699" t="s">
        <v>20</v>
      </c>
      <c r="S7" s="700">
        <f t="shared" ref="S7:S15" si="0">F7</f>
        <v>0</v>
      </c>
      <c r="T7" s="699" t="s">
        <v>20</v>
      </c>
      <c r="U7" s="700">
        <f t="shared" ref="U7:U15" si="1">H7</f>
        <v>0</v>
      </c>
      <c r="V7" s="699" t="s">
        <v>20</v>
      </c>
      <c r="W7" s="700">
        <f t="shared" ref="W7:W15" si="2">J7</f>
        <v>0</v>
      </c>
      <c r="X7" s="701"/>
      <c r="Y7" s="3916" t="s">
        <v>1679</v>
      </c>
      <c r="Z7" s="3917"/>
      <c r="AA7" s="702" t="e">
        <f>D7/F7</f>
        <v>#DIV/0!</v>
      </c>
      <c r="AB7" s="702" t="e">
        <f>D7/H7</f>
        <v>#DIV/0!</v>
      </c>
      <c r="AC7" s="702" t="e">
        <f>D7/J7</f>
        <v>#DIV/0!</v>
      </c>
    </row>
    <row r="8" spans="1:29" s="108" customFormat="1" ht="15" thickBot="1">
      <c r="A8" s="361" t="s">
        <v>1680</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916" t="s">
        <v>1682</v>
      </c>
      <c r="Q8" s="3917"/>
      <c r="R8" s="699" t="s">
        <v>20</v>
      </c>
      <c r="S8" s="700">
        <f t="shared" si="0"/>
        <v>100</v>
      </c>
      <c r="T8" s="699" t="s">
        <v>20</v>
      </c>
      <c r="U8" s="700">
        <f t="shared" si="1"/>
        <v>100</v>
      </c>
      <c r="V8" s="699" t="s">
        <v>20</v>
      </c>
      <c r="W8" s="700">
        <f t="shared" si="2"/>
        <v>100</v>
      </c>
      <c r="X8" s="701"/>
      <c r="Y8" s="3916" t="s">
        <v>1682</v>
      </c>
      <c r="Z8" s="3917"/>
      <c r="AA8" s="702">
        <f t="shared" ref="AA8:AA19" si="3">D8/F8</f>
        <v>1</v>
      </c>
      <c r="AB8" s="702">
        <f t="shared" ref="AB8:AB19" si="4">D8/H8</f>
        <v>1</v>
      </c>
      <c r="AC8" s="702">
        <f t="shared" ref="AC8:AC19" si="5">D8/J8</f>
        <v>1</v>
      </c>
    </row>
    <row r="9" spans="1:29" s="108" customFormat="1" ht="14.4">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930" t="s">
        <v>1685</v>
      </c>
      <c r="Q9" s="1340" t="str">
        <f t="shared" ref="Q9:Q15" si="6">B9</f>
        <v>用途</v>
      </c>
      <c r="R9" s="699" t="s">
        <v>14</v>
      </c>
      <c r="S9" s="700">
        <f t="shared" si="0"/>
        <v>100</v>
      </c>
      <c r="T9" s="699" t="s">
        <v>14</v>
      </c>
      <c r="U9" s="700">
        <f t="shared" si="1"/>
        <v>100</v>
      </c>
      <c r="V9" s="699" t="s">
        <v>14</v>
      </c>
      <c r="W9" s="700">
        <f t="shared" si="2"/>
        <v>100</v>
      </c>
      <c r="X9" s="701"/>
      <c r="Y9" s="3840" t="s">
        <v>1686</v>
      </c>
      <c r="Z9" s="52" t="str">
        <f t="shared" ref="Z9:Z15" si="7">Q9</f>
        <v>用途</v>
      </c>
      <c r="AA9" s="702">
        <f t="shared" si="3"/>
        <v>1</v>
      </c>
      <c r="AB9" s="702">
        <f t="shared" si="4"/>
        <v>1</v>
      </c>
      <c r="AC9" s="702">
        <f t="shared" si="5"/>
        <v>1</v>
      </c>
    </row>
    <row r="10" spans="1:29" s="377" customFormat="1" ht="28.8">
      <c r="A10" s="373"/>
      <c r="B10" s="374" t="s">
        <v>1687</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930"/>
      <c r="Q10" s="1340" t="str">
        <f t="shared" si="6"/>
        <v>土地使用年限（年）</v>
      </c>
      <c r="R10" s="699" t="s">
        <v>14</v>
      </c>
      <c r="S10" s="700">
        <f t="shared" si="0"/>
        <v>100</v>
      </c>
      <c r="T10" s="699" t="s">
        <v>14</v>
      </c>
      <c r="U10" s="700">
        <f t="shared" si="1"/>
        <v>100</v>
      </c>
      <c r="V10" s="699" t="s">
        <v>14</v>
      </c>
      <c r="W10" s="700">
        <f t="shared" si="2"/>
        <v>100</v>
      </c>
      <c r="X10" s="701"/>
      <c r="Y10" s="3840"/>
      <c r="Z10" s="52" t="str">
        <f t="shared" si="7"/>
        <v>土地使用年限（年）</v>
      </c>
      <c r="AA10" s="702">
        <f t="shared" si="3"/>
        <v>1</v>
      </c>
      <c r="AB10" s="702">
        <f t="shared" si="4"/>
        <v>1</v>
      </c>
      <c r="AC10" s="702">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930"/>
      <c r="Q11" s="1340" t="str">
        <f t="shared" si="6"/>
        <v>容积率</v>
      </c>
      <c r="R11" s="699" t="s">
        <v>18</v>
      </c>
      <c r="S11" s="700" t="e">
        <f t="shared" si="0"/>
        <v>#N/A</v>
      </c>
      <c r="T11" s="699" t="s">
        <v>18</v>
      </c>
      <c r="U11" s="700" t="e">
        <f t="shared" si="1"/>
        <v>#N/A</v>
      </c>
      <c r="V11" s="699" t="s">
        <v>18</v>
      </c>
      <c r="W11" s="700" t="e">
        <f t="shared" si="2"/>
        <v>#N/A</v>
      </c>
      <c r="X11" s="701"/>
      <c r="Y11" s="3840"/>
      <c r="Z11" s="52" t="str">
        <f t="shared" si="7"/>
        <v>容积率</v>
      </c>
      <c r="AA11" s="702" t="e">
        <f t="shared" si="3"/>
        <v>#N/A</v>
      </c>
      <c r="AB11" s="702" t="e">
        <f t="shared" si="4"/>
        <v>#N/A</v>
      </c>
      <c r="AC11" s="702"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930"/>
      <c r="Q12" s="1340">
        <f t="shared" si="6"/>
        <v>111</v>
      </c>
      <c r="R12" s="699" t="s">
        <v>18</v>
      </c>
      <c r="S12" s="700">
        <f t="shared" si="0"/>
        <v>100</v>
      </c>
      <c r="T12" s="699" t="s">
        <v>18</v>
      </c>
      <c r="U12" s="700">
        <f t="shared" si="1"/>
        <v>100</v>
      </c>
      <c r="V12" s="699" t="s">
        <v>18</v>
      </c>
      <c r="W12" s="700">
        <f t="shared" si="2"/>
        <v>100</v>
      </c>
      <c r="X12" s="701"/>
      <c r="Y12" s="3840"/>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930"/>
      <c r="Q13" s="1340">
        <f t="shared" si="6"/>
        <v>111</v>
      </c>
      <c r="R13" s="699" t="s">
        <v>18</v>
      </c>
      <c r="S13" s="700">
        <f t="shared" si="0"/>
        <v>100</v>
      </c>
      <c r="T13" s="699" t="s">
        <v>18</v>
      </c>
      <c r="U13" s="700">
        <f t="shared" si="1"/>
        <v>100</v>
      </c>
      <c r="V13" s="699" t="s">
        <v>18</v>
      </c>
      <c r="W13" s="700">
        <f t="shared" si="2"/>
        <v>100</v>
      </c>
      <c r="X13" s="701"/>
      <c r="Y13" s="3840"/>
      <c r="Z13" s="52">
        <f t="shared" si="7"/>
        <v>111</v>
      </c>
      <c r="AA13" s="702">
        <f t="shared" si="3"/>
        <v>1</v>
      </c>
      <c r="AB13" s="702">
        <f t="shared" si="4"/>
        <v>1</v>
      </c>
      <c r="AC13" s="702">
        <f t="shared" si="5"/>
        <v>1</v>
      </c>
    </row>
    <row r="14" spans="1:29" ht="15.6"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930"/>
      <c r="Q14" s="1340">
        <f t="shared" si="6"/>
        <v>111</v>
      </c>
      <c r="R14" s="699" t="s">
        <v>18</v>
      </c>
      <c r="S14" s="700">
        <f t="shared" si="0"/>
        <v>100</v>
      </c>
      <c r="T14" s="699" t="s">
        <v>18</v>
      </c>
      <c r="U14" s="700">
        <f t="shared" si="1"/>
        <v>100</v>
      </c>
      <c r="V14" s="699" t="s">
        <v>18</v>
      </c>
      <c r="W14" s="700">
        <f t="shared" si="2"/>
        <v>100</v>
      </c>
      <c r="X14" s="701"/>
      <c r="Y14" s="3840"/>
      <c r="Z14" s="52">
        <f t="shared" si="7"/>
        <v>111</v>
      </c>
      <c r="AA14" s="702">
        <f t="shared" si="3"/>
        <v>1</v>
      </c>
      <c r="AB14" s="702">
        <f t="shared" si="4"/>
        <v>1</v>
      </c>
      <c r="AC14" s="702">
        <f t="shared" si="5"/>
        <v>1</v>
      </c>
    </row>
    <row r="15" spans="1:29" ht="96.6">
      <c r="A15" s="390" t="s">
        <v>1689</v>
      </c>
      <c r="B15" s="61" t="s">
        <v>1256</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957" t="s">
        <v>1690</v>
      </c>
      <c r="Q15" s="1349" t="str">
        <f t="shared" si="6"/>
        <v>居住社区成熟度</v>
      </c>
      <c r="R15" s="703" t="s">
        <v>18</v>
      </c>
      <c r="S15" s="704">
        <f t="shared" si="0"/>
        <v>100</v>
      </c>
      <c r="T15" s="703" t="s">
        <v>18</v>
      </c>
      <c r="U15" s="704">
        <f t="shared" si="1"/>
        <v>100</v>
      </c>
      <c r="V15" s="703" t="s">
        <v>18</v>
      </c>
      <c r="W15" s="704">
        <f t="shared" si="2"/>
        <v>100</v>
      </c>
      <c r="X15" s="1352"/>
      <c r="Y15" s="3950" t="s">
        <v>1690</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958"/>
      <c r="Q16" s="1349"/>
      <c r="R16" s="703"/>
      <c r="S16" s="704"/>
      <c r="T16" s="703"/>
      <c r="U16" s="704"/>
      <c r="V16" s="703"/>
      <c r="W16" s="704"/>
      <c r="X16" s="1352"/>
      <c r="Y16" s="3951"/>
      <c r="Z16" s="1353"/>
      <c r="AA16" s="1350">
        <v>1</v>
      </c>
      <c r="AB16" s="1350">
        <v>1</v>
      </c>
      <c r="AC16" s="1350">
        <v>1</v>
      </c>
    </row>
    <row r="17" spans="1:29" ht="82.8">
      <c r="A17" s="378"/>
      <c r="B17" s="401" t="s">
        <v>1258</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958"/>
      <c r="Q17" s="1349" t="str">
        <f>B17</f>
        <v>交通便捷度</v>
      </c>
      <c r="R17" s="703" t="s">
        <v>18</v>
      </c>
      <c r="S17" s="704">
        <f>F17</f>
        <v>100</v>
      </c>
      <c r="T17" s="703" t="s">
        <v>18</v>
      </c>
      <c r="U17" s="704">
        <f>H17</f>
        <v>100</v>
      </c>
      <c r="V17" s="703" t="s">
        <v>18</v>
      </c>
      <c r="W17" s="704">
        <f>J17</f>
        <v>100</v>
      </c>
      <c r="X17" s="1352"/>
      <c r="Y17" s="3951"/>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958"/>
      <c r="Q18" s="1349"/>
      <c r="R18" s="703"/>
      <c r="S18" s="704"/>
      <c r="T18" s="703"/>
      <c r="U18" s="704"/>
      <c r="V18" s="703"/>
      <c r="W18" s="704"/>
      <c r="X18" s="1352"/>
      <c r="Y18" s="3951"/>
      <c r="Z18" s="1353"/>
      <c r="AA18" s="1350">
        <v>1</v>
      </c>
      <c r="AB18" s="1350">
        <v>1</v>
      </c>
      <c r="AC18" s="1350">
        <v>1</v>
      </c>
    </row>
    <row r="19" spans="1:29" ht="41.4">
      <c r="A19" s="378"/>
      <c r="B19" s="401" t="s">
        <v>1257</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958"/>
      <c r="Q19" s="1349" t="str">
        <f>B19</f>
        <v>公共配套设施</v>
      </c>
      <c r="R19" s="703" t="s">
        <v>18</v>
      </c>
      <c r="S19" s="704">
        <f>F19</f>
        <v>100</v>
      </c>
      <c r="T19" s="703" t="s">
        <v>18</v>
      </c>
      <c r="U19" s="704">
        <f>H19</f>
        <v>100</v>
      </c>
      <c r="V19" s="703" t="s">
        <v>18</v>
      </c>
      <c r="W19" s="704">
        <f>J19</f>
        <v>100</v>
      </c>
      <c r="X19" s="1352"/>
      <c r="Y19" s="3951"/>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958"/>
      <c r="Q20" s="1349"/>
      <c r="R20" s="703"/>
      <c r="S20" s="704"/>
      <c r="T20" s="703"/>
      <c r="U20" s="704"/>
      <c r="V20" s="703"/>
      <c r="W20" s="704"/>
      <c r="X20" s="1352"/>
      <c r="Y20" s="3951"/>
      <c r="Z20" s="1353"/>
      <c r="AA20" s="1350">
        <v>1</v>
      </c>
      <c r="AB20" s="1350">
        <v>1</v>
      </c>
      <c r="AC20" s="1350">
        <v>1</v>
      </c>
    </row>
    <row r="21" spans="1:29" ht="27.6">
      <c r="A21" s="378"/>
      <c r="B21" s="1128" t="s">
        <v>1259</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958"/>
      <c r="Q21" s="1349" t="str">
        <f>B21</f>
        <v>基础设施水平</v>
      </c>
      <c r="R21" s="703" t="s">
        <v>14</v>
      </c>
      <c r="S21" s="704">
        <f>F21</f>
        <v>100</v>
      </c>
      <c r="T21" s="703" t="s">
        <v>14</v>
      </c>
      <c r="U21" s="704">
        <f>H21</f>
        <v>100</v>
      </c>
      <c r="V21" s="703" t="s">
        <v>14</v>
      </c>
      <c r="W21" s="704">
        <f>J21</f>
        <v>100</v>
      </c>
      <c r="X21" s="1352"/>
      <c r="Y21" s="3951"/>
      <c r="Z21" s="1353" t="str">
        <f>Q21</f>
        <v>基础设施水平</v>
      </c>
      <c r="AA21" s="1350">
        <f>D21/F21</f>
        <v>1</v>
      </c>
      <c r="AB21" s="1350">
        <f>D21/H21</f>
        <v>1</v>
      </c>
      <c r="AC21" s="1350">
        <f>D21/J21</f>
        <v>1</v>
      </c>
    </row>
    <row r="22" spans="1:29" ht="15">
      <c r="A22" s="378"/>
      <c r="B22" s="1128"/>
      <c r="C22" s="1898"/>
      <c r="D22" s="398"/>
      <c r="E22" s="397"/>
      <c r="F22" s="398"/>
      <c r="G22" s="1901"/>
      <c r="H22" s="398"/>
      <c r="I22" s="397"/>
      <c r="J22" s="398"/>
      <c r="K22" s="1902"/>
      <c r="L22" s="2719"/>
      <c r="M22" s="2713"/>
      <c r="N22" s="2713"/>
      <c r="O22" s="2713"/>
      <c r="P22" s="3958"/>
      <c r="Q22" s="1349"/>
      <c r="R22" s="703"/>
      <c r="S22" s="704"/>
      <c r="T22" s="703"/>
      <c r="U22" s="704"/>
      <c r="V22" s="703"/>
      <c r="W22" s="704"/>
      <c r="X22" s="1352"/>
      <c r="Y22" s="3951"/>
      <c r="Z22" s="1353"/>
      <c r="AA22" s="1350">
        <v>1</v>
      </c>
      <c r="AB22" s="1350">
        <v>1</v>
      </c>
      <c r="AC22" s="1350">
        <v>1</v>
      </c>
    </row>
    <row r="23" spans="1:29" ht="55.2">
      <c r="A23" s="378"/>
      <c r="B23" s="401" t="s">
        <v>1260</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958"/>
      <c r="Q23" s="1349" t="str">
        <f>B23</f>
        <v>自然及人文环境</v>
      </c>
      <c r="R23" s="703" t="s">
        <v>18</v>
      </c>
      <c r="S23" s="704">
        <f>F23</f>
        <v>100</v>
      </c>
      <c r="T23" s="703" t="s">
        <v>18</v>
      </c>
      <c r="U23" s="704">
        <f>H23</f>
        <v>100</v>
      </c>
      <c r="V23" s="703" t="s">
        <v>18</v>
      </c>
      <c r="W23" s="704">
        <f>J23</f>
        <v>100</v>
      </c>
      <c r="X23" s="1352"/>
      <c r="Y23" s="3951"/>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958"/>
      <c r="Q24" s="1349"/>
      <c r="R24" s="703"/>
      <c r="S24" s="704"/>
      <c r="T24" s="703"/>
      <c r="U24" s="704"/>
      <c r="V24" s="703"/>
      <c r="W24" s="704"/>
      <c r="X24" s="1352"/>
      <c r="Y24" s="3951"/>
      <c r="Z24" s="1353"/>
      <c r="AA24" s="1350">
        <v>1</v>
      </c>
      <c r="AB24" s="1350">
        <v>1</v>
      </c>
      <c r="AC24" s="1350">
        <v>1</v>
      </c>
    </row>
    <row r="25" spans="1:29" ht="15">
      <c r="A25" s="378"/>
      <c r="B25" s="374" t="s">
        <v>1691</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958"/>
      <c r="Q25" s="1349" t="str">
        <f t="shared" ref="Q25:Q46" si="8">B25</f>
        <v>楼层-1</v>
      </c>
      <c r="R25" s="703" t="s">
        <v>18</v>
      </c>
      <c r="S25" s="704">
        <f t="shared" ref="S25:S46" si="9">F25</f>
        <v>100</v>
      </c>
      <c r="T25" s="703" t="s">
        <v>18</v>
      </c>
      <c r="U25" s="704">
        <f t="shared" ref="U25:U46" si="10">H25</f>
        <v>100</v>
      </c>
      <c r="V25" s="703" t="s">
        <v>18</v>
      </c>
      <c r="W25" s="704">
        <f t="shared" ref="W25:W46" si="11">J25</f>
        <v>100</v>
      </c>
      <c r="X25" s="1352"/>
      <c r="Y25" s="3951"/>
      <c r="Z25" s="1353" t="str">
        <f>Q25</f>
        <v>楼层-1</v>
      </c>
      <c r="AA25" s="1350">
        <f t="shared" ref="AA25:AA46" si="12">D25/F25</f>
        <v>1</v>
      </c>
      <c r="AB25" s="1350">
        <f t="shared" ref="AB25:AB46" si="13">D25/H25</f>
        <v>1</v>
      </c>
      <c r="AC25" s="1350">
        <f t="shared" ref="AC25:AC46" si="14">D25/J25</f>
        <v>1</v>
      </c>
    </row>
    <row r="26" spans="1:29" ht="15">
      <c r="A26" s="378"/>
      <c r="B26" s="374" t="s">
        <v>1692</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958"/>
      <c r="Q26" s="1349" t="str">
        <f t="shared" si="8"/>
        <v>朝向</v>
      </c>
      <c r="R26" s="703" t="s">
        <v>18</v>
      </c>
      <c r="S26" s="704">
        <f t="shared" si="9"/>
        <v>100</v>
      </c>
      <c r="T26" s="703" t="s">
        <v>18</v>
      </c>
      <c r="U26" s="704">
        <f t="shared" si="10"/>
        <v>100</v>
      </c>
      <c r="V26" s="703" t="s">
        <v>18</v>
      </c>
      <c r="W26" s="704">
        <f t="shared" si="11"/>
        <v>100</v>
      </c>
      <c r="X26" s="1352"/>
      <c r="Y26" s="3951"/>
      <c r="Z26" s="1353" t="str">
        <f>Q26</f>
        <v>朝向</v>
      </c>
      <c r="AA26" s="1350">
        <f t="shared" si="12"/>
        <v>1</v>
      </c>
      <c r="AB26" s="1350">
        <f t="shared" si="13"/>
        <v>1</v>
      </c>
      <c r="AC26" s="1350">
        <f t="shared" si="14"/>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958"/>
      <c r="Q27" s="1340">
        <f t="shared" si="8"/>
        <v>111</v>
      </c>
      <c r="R27" s="699" t="s">
        <v>18</v>
      </c>
      <c r="S27" s="700">
        <f t="shared" si="9"/>
        <v>100</v>
      </c>
      <c r="T27" s="699" t="s">
        <v>18</v>
      </c>
      <c r="U27" s="700">
        <f t="shared" si="10"/>
        <v>100</v>
      </c>
      <c r="V27" s="699" t="s">
        <v>18</v>
      </c>
      <c r="W27" s="700">
        <f t="shared" si="11"/>
        <v>100</v>
      </c>
      <c r="X27" s="701"/>
      <c r="Y27" s="3951"/>
      <c r="Z27" s="52">
        <f>Q27</f>
        <v>111</v>
      </c>
      <c r="AA27" s="1350">
        <f t="shared" si="12"/>
        <v>1</v>
      </c>
      <c r="AB27" s="1350">
        <f t="shared" si="13"/>
        <v>1</v>
      </c>
      <c r="AC27" s="1350">
        <f t="shared" si="14"/>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958"/>
      <c r="Q28" s="1349">
        <f t="shared" si="8"/>
        <v>111</v>
      </c>
      <c r="R28" s="703" t="s">
        <v>18</v>
      </c>
      <c r="S28" s="704">
        <f t="shared" si="9"/>
        <v>100</v>
      </c>
      <c r="T28" s="703" t="s">
        <v>18</v>
      </c>
      <c r="U28" s="704">
        <f t="shared" si="10"/>
        <v>100</v>
      </c>
      <c r="V28" s="703" t="s">
        <v>18</v>
      </c>
      <c r="W28" s="704">
        <f t="shared" si="11"/>
        <v>100</v>
      </c>
      <c r="X28" s="1352"/>
      <c r="Y28" s="3951"/>
      <c r="Z28" s="1353">
        <f t="shared" ref="Z28:Z46" si="15">Q28</f>
        <v>111</v>
      </c>
      <c r="AA28" s="1350">
        <f t="shared" si="12"/>
        <v>1</v>
      </c>
      <c r="AB28" s="1350">
        <f t="shared" si="13"/>
        <v>1</v>
      </c>
      <c r="AC28" s="1350">
        <f t="shared" si="14"/>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958"/>
      <c r="Q29" s="1349">
        <f t="shared" si="8"/>
        <v>111</v>
      </c>
      <c r="R29" s="703" t="s">
        <v>18</v>
      </c>
      <c r="S29" s="704">
        <f t="shared" si="9"/>
        <v>100</v>
      </c>
      <c r="T29" s="703" t="s">
        <v>18</v>
      </c>
      <c r="U29" s="704">
        <f t="shared" si="10"/>
        <v>100</v>
      </c>
      <c r="V29" s="703" t="s">
        <v>18</v>
      </c>
      <c r="W29" s="704">
        <f t="shared" si="11"/>
        <v>100</v>
      </c>
      <c r="X29" s="1352"/>
      <c r="Y29" s="3951"/>
      <c r="Z29" s="1353">
        <f t="shared" si="15"/>
        <v>111</v>
      </c>
      <c r="AA29" s="1350">
        <f t="shared" si="12"/>
        <v>1</v>
      </c>
      <c r="AB29" s="1350">
        <f t="shared" si="13"/>
        <v>1</v>
      </c>
      <c r="AC29" s="1350">
        <f t="shared" si="14"/>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958"/>
      <c r="Q30" s="1349">
        <f t="shared" si="8"/>
        <v>111</v>
      </c>
      <c r="R30" s="703" t="s">
        <v>18</v>
      </c>
      <c r="S30" s="704">
        <f t="shared" si="9"/>
        <v>100</v>
      </c>
      <c r="T30" s="703" t="s">
        <v>18</v>
      </c>
      <c r="U30" s="704">
        <f t="shared" si="10"/>
        <v>100</v>
      </c>
      <c r="V30" s="703" t="s">
        <v>18</v>
      </c>
      <c r="W30" s="704">
        <f t="shared" si="11"/>
        <v>100</v>
      </c>
      <c r="X30" s="1352"/>
      <c r="Y30" s="3951"/>
      <c r="Z30" s="1353">
        <f t="shared" si="15"/>
        <v>111</v>
      </c>
      <c r="AA30" s="1350">
        <f t="shared" si="12"/>
        <v>1</v>
      </c>
      <c r="AB30" s="1350">
        <f t="shared" si="13"/>
        <v>1</v>
      </c>
      <c r="AC30" s="1350">
        <f t="shared" si="14"/>
        <v>1</v>
      </c>
    </row>
    <row r="31" spans="1:29" ht="15.6"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958"/>
      <c r="Q31" s="1349">
        <f t="shared" si="8"/>
        <v>111</v>
      </c>
      <c r="R31" s="703" t="s">
        <v>18</v>
      </c>
      <c r="S31" s="704">
        <f t="shared" si="9"/>
        <v>100</v>
      </c>
      <c r="T31" s="703" t="s">
        <v>18</v>
      </c>
      <c r="U31" s="704">
        <f t="shared" si="10"/>
        <v>100</v>
      </c>
      <c r="V31" s="703" t="s">
        <v>18</v>
      </c>
      <c r="W31" s="704">
        <f t="shared" si="11"/>
        <v>100</v>
      </c>
      <c r="X31" s="1352"/>
      <c r="Y31" s="3951"/>
      <c r="Z31" s="1353">
        <f t="shared" si="15"/>
        <v>111</v>
      </c>
      <c r="AA31" s="1350">
        <f t="shared" si="12"/>
        <v>1</v>
      </c>
      <c r="AB31" s="1350">
        <f t="shared" si="13"/>
        <v>1</v>
      </c>
      <c r="AC31" s="1350">
        <f t="shared" si="14"/>
        <v>1</v>
      </c>
    </row>
    <row r="32" spans="1:29" ht="15">
      <c r="A32" s="390" t="s">
        <v>1693</v>
      </c>
      <c r="B32" s="63" t="s">
        <v>1694</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952" t="s">
        <v>1695</v>
      </c>
      <c r="Q32" s="1349" t="str">
        <f t="shared" si="8"/>
        <v>建筑类型</v>
      </c>
      <c r="R32" s="703" t="s">
        <v>18</v>
      </c>
      <c r="S32" s="704">
        <f t="shared" si="9"/>
        <v>100</v>
      </c>
      <c r="T32" s="703" t="s">
        <v>18</v>
      </c>
      <c r="U32" s="704">
        <f t="shared" si="10"/>
        <v>100</v>
      </c>
      <c r="V32" s="703" t="s">
        <v>18</v>
      </c>
      <c r="W32" s="704">
        <f t="shared" si="11"/>
        <v>100</v>
      </c>
      <c r="X32" s="1352"/>
      <c r="Y32" s="3955" t="s">
        <v>1695</v>
      </c>
      <c r="Z32" s="1353" t="str">
        <f t="shared" si="15"/>
        <v>建筑类型</v>
      </c>
      <c r="AA32" s="1350">
        <f t="shared" si="12"/>
        <v>1</v>
      </c>
      <c r="AB32" s="1350">
        <f t="shared" si="13"/>
        <v>1</v>
      </c>
      <c r="AC32" s="1350">
        <f t="shared" si="14"/>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953"/>
      <c r="Q33" s="705" t="str">
        <f t="shared" si="8"/>
        <v>项目建筑规模</v>
      </c>
      <c r="R33" s="706" t="s">
        <v>18</v>
      </c>
      <c r="S33" s="707" t="e">
        <f t="shared" si="9"/>
        <v>#N/A</v>
      </c>
      <c r="T33" s="706" t="s">
        <v>18</v>
      </c>
      <c r="U33" s="707" t="e">
        <f t="shared" si="10"/>
        <v>#N/A</v>
      </c>
      <c r="V33" s="706" t="s">
        <v>18</v>
      </c>
      <c r="W33" s="707" t="e">
        <f t="shared" si="11"/>
        <v>#N/A</v>
      </c>
      <c r="X33" s="708"/>
      <c r="Y33" s="3955"/>
      <c r="Z33" s="709" t="str">
        <f t="shared" si="15"/>
        <v>项目建筑规模</v>
      </c>
      <c r="AA33" s="1350" t="e">
        <f t="shared" si="12"/>
        <v>#N/A</v>
      </c>
      <c r="AB33" s="1350" t="e">
        <f t="shared" si="13"/>
        <v>#N/A</v>
      </c>
      <c r="AC33" s="1350" t="e">
        <f t="shared" si="14"/>
        <v>#N/A</v>
      </c>
    </row>
    <row r="34" spans="1:29" ht="15">
      <c r="A34" s="422"/>
      <c r="B34" s="374" t="s">
        <v>1697</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953"/>
      <c r="Q34" s="1349" t="str">
        <f t="shared" si="8"/>
        <v>建筑结构</v>
      </c>
      <c r="R34" s="703" t="s">
        <v>18</v>
      </c>
      <c r="S34" s="704">
        <f t="shared" si="9"/>
        <v>100</v>
      </c>
      <c r="T34" s="703" t="s">
        <v>18</v>
      </c>
      <c r="U34" s="704">
        <f t="shared" si="10"/>
        <v>100</v>
      </c>
      <c r="V34" s="703" t="s">
        <v>18</v>
      </c>
      <c r="W34" s="704">
        <f t="shared" si="11"/>
        <v>100</v>
      </c>
      <c r="X34" s="1352"/>
      <c r="Y34" s="3955"/>
      <c r="Z34" s="1353" t="str">
        <f t="shared" si="15"/>
        <v>建筑结构</v>
      </c>
      <c r="AA34" s="1350">
        <f t="shared" si="12"/>
        <v>1</v>
      </c>
      <c r="AB34" s="1350">
        <f t="shared" si="13"/>
        <v>1</v>
      </c>
      <c r="AC34" s="1350">
        <f t="shared" si="14"/>
        <v>1</v>
      </c>
    </row>
    <row r="35" spans="1:29" ht="15">
      <c r="A35" s="422"/>
      <c r="B35" s="374" t="s">
        <v>1698</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953"/>
      <c r="Q35" s="1349" t="str">
        <f t="shared" si="8"/>
        <v>建筑品质</v>
      </c>
      <c r="R35" s="703" t="s">
        <v>18</v>
      </c>
      <c r="S35" s="704">
        <f t="shared" si="9"/>
        <v>100</v>
      </c>
      <c r="T35" s="703" t="s">
        <v>18</v>
      </c>
      <c r="U35" s="704">
        <f t="shared" si="10"/>
        <v>100</v>
      </c>
      <c r="V35" s="703" t="s">
        <v>18</v>
      </c>
      <c r="W35" s="704">
        <f t="shared" si="11"/>
        <v>100</v>
      </c>
      <c r="X35" s="1352"/>
      <c r="Y35" s="3955"/>
      <c r="Z35" s="1353" t="str">
        <f t="shared" si="15"/>
        <v>建筑品质</v>
      </c>
      <c r="AA35" s="1350">
        <f t="shared" si="12"/>
        <v>1</v>
      </c>
      <c r="AB35" s="1350">
        <f t="shared" si="13"/>
        <v>1</v>
      </c>
      <c r="AC35" s="1350">
        <f t="shared" si="14"/>
        <v>1</v>
      </c>
    </row>
    <row r="36" spans="1:29" ht="15">
      <c r="A36" s="422"/>
      <c r="B36" s="374" t="s">
        <v>1699</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953"/>
      <c r="Q36" s="1349" t="str">
        <f t="shared" si="8"/>
        <v>公共部分装修</v>
      </c>
      <c r="R36" s="703" t="s">
        <v>18</v>
      </c>
      <c r="S36" s="704">
        <f t="shared" si="9"/>
        <v>100</v>
      </c>
      <c r="T36" s="703" t="s">
        <v>18</v>
      </c>
      <c r="U36" s="704">
        <f t="shared" si="10"/>
        <v>100</v>
      </c>
      <c r="V36" s="703" t="s">
        <v>18</v>
      </c>
      <c r="W36" s="704">
        <f t="shared" si="11"/>
        <v>100</v>
      </c>
      <c r="X36" s="1352"/>
      <c r="Y36" s="3955"/>
      <c r="Z36" s="1353" t="str">
        <f t="shared" si="15"/>
        <v>公共部分装修</v>
      </c>
      <c r="AA36" s="1350">
        <f t="shared" si="12"/>
        <v>1</v>
      </c>
      <c r="AB36" s="1350">
        <f t="shared" si="13"/>
        <v>1</v>
      </c>
      <c r="AC36" s="1350">
        <f t="shared" si="14"/>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953"/>
      <c r="Q37" s="1340" t="str">
        <f t="shared" si="8"/>
        <v>成新度</v>
      </c>
      <c r="R37" s="699" t="s">
        <v>18</v>
      </c>
      <c r="S37" s="700" t="e">
        <f t="shared" si="9"/>
        <v>#N/A</v>
      </c>
      <c r="T37" s="699" t="s">
        <v>18</v>
      </c>
      <c r="U37" s="700" t="e">
        <f t="shared" si="10"/>
        <v>#N/A</v>
      </c>
      <c r="V37" s="699" t="s">
        <v>18</v>
      </c>
      <c r="W37" s="700" t="e">
        <f t="shared" si="11"/>
        <v>#N/A</v>
      </c>
      <c r="X37" s="701"/>
      <c r="Y37" s="3955"/>
      <c r="Z37" s="52" t="str">
        <f t="shared" si="15"/>
        <v>成新度</v>
      </c>
      <c r="AA37" s="702" t="e">
        <f t="shared" si="12"/>
        <v>#N/A</v>
      </c>
      <c r="AB37" s="702" t="e">
        <f t="shared" si="13"/>
        <v>#N/A</v>
      </c>
      <c r="AC37" s="702" t="e">
        <f t="shared" si="14"/>
        <v>#N/A</v>
      </c>
    </row>
    <row r="38" spans="1:29" ht="15">
      <c r="A38" s="422"/>
      <c r="B38" s="374" t="s">
        <v>1701</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953" t="s">
        <v>1695</v>
      </c>
      <c r="Q38" s="1349" t="str">
        <f t="shared" si="8"/>
        <v>物业管理</v>
      </c>
      <c r="R38" s="703" t="s">
        <v>18</v>
      </c>
      <c r="S38" s="704">
        <f t="shared" si="9"/>
        <v>100</v>
      </c>
      <c r="T38" s="703" t="s">
        <v>18</v>
      </c>
      <c r="U38" s="704">
        <f t="shared" si="10"/>
        <v>100</v>
      </c>
      <c r="V38" s="703" t="s">
        <v>18</v>
      </c>
      <c r="W38" s="704">
        <f t="shared" si="11"/>
        <v>100</v>
      </c>
      <c r="X38" s="1352"/>
      <c r="Y38" s="3955" t="s">
        <v>1695</v>
      </c>
      <c r="Z38" s="1353" t="str">
        <f t="shared" si="15"/>
        <v>物业管理</v>
      </c>
      <c r="AA38" s="1350">
        <f t="shared" si="12"/>
        <v>1</v>
      </c>
      <c r="AB38" s="1350">
        <f t="shared" si="13"/>
        <v>1</v>
      </c>
      <c r="AC38" s="1350">
        <f t="shared" si="14"/>
        <v>1</v>
      </c>
    </row>
    <row r="39" spans="1:29" ht="15">
      <c r="A39" s="422"/>
      <c r="B39" s="374" t="s">
        <v>1702</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953"/>
      <c r="Q39" s="1349" t="str">
        <f t="shared" si="8"/>
        <v>市政基础设施</v>
      </c>
      <c r="R39" s="703" t="s">
        <v>18</v>
      </c>
      <c r="S39" s="704">
        <f t="shared" si="9"/>
        <v>100</v>
      </c>
      <c r="T39" s="703" t="s">
        <v>18</v>
      </c>
      <c r="U39" s="704">
        <f t="shared" si="10"/>
        <v>100</v>
      </c>
      <c r="V39" s="703" t="s">
        <v>18</v>
      </c>
      <c r="W39" s="704">
        <f t="shared" si="11"/>
        <v>100</v>
      </c>
      <c r="X39" s="1352"/>
      <c r="Y39" s="3955"/>
      <c r="Z39" s="1353" t="str">
        <f t="shared" si="15"/>
        <v>市政基础设施</v>
      </c>
      <c r="AA39" s="1350">
        <f t="shared" si="12"/>
        <v>1</v>
      </c>
      <c r="AB39" s="1350">
        <f t="shared" si="13"/>
        <v>1</v>
      </c>
      <c r="AC39" s="1350">
        <f t="shared" si="14"/>
        <v>1</v>
      </c>
    </row>
    <row r="40" spans="1:29" ht="15">
      <c r="A40" s="422"/>
      <c r="B40" s="374" t="s">
        <v>1703</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953"/>
      <c r="Q40" s="1349" t="str">
        <f t="shared" si="8"/>
        <v>房型</v>
      </c>
      <c r="R40" s="703" t="s">
        <v>18</v>
      </c>
      <c r="S40" s="704">
        <f t="shared" si="9"/>
        <v>100</v>
      </c>
      <c r="T40" s="703" t="s">
        <v>18</v>
      </c>
      <c r="U40" s="704">
        <f t="shared" si="10"/>
        <v>100</v>
      </c>
      <c r="V40" s="703" t="s">
        <v>18</v>
      </c>
      <c r="W40" s="704">
        <f t="shared" si="11"/>
        <v>100</v>
      </c>
      <c r="X40" s="1352"/>
      <c r="Y40" s="3955"/>
      <c r="Z40" s="1353" t="str">
        <f t="shared" si="15"/>
        <v>房型</v>
      </c>
      <c r="AA40" s="1350">
        <f t="shared" si="12"/>
        <v>1</v>
      </c>
      <c r="AB40" s="1350">
        <f t="shared" si="13"/>
        <v>1</v>
      </c>
      <c r="AC40" s="1350">
        <f t="shared" si="14"/>
        <v>1</v>
      </c>
    </row>
    <row r="41" spans="1:29" s="421" customFormat="1" ht="28.8">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953"/>
      <c r="Q41" s="705" t="str">
        <f t="shared" si="8"/>
        <v>单套/主力户型建筑面积</v>
      </c>
      <c r="R41" s="706" t="s">
        <v>18</v>
      </c>
      <c r="S41" s="707">
        <f t="shared" si="9"/>
        <v>100</v>
      </c>
      <c r="T41" s="706" t="s">
        <v>18</v>
      </c>
      <c r="U41" s="707">
        <f t="shared" si="10"/>
        <v>100</v>
      </c>
      <c r="V41" s="706" t="s">
        <v>18</v>
      </c>
      <c r="W41" s="707">
        <f t="shared" si="11"/>
        <v>100</v>
      </c>
      <c r="X41" s="708"/>
      <c r="Y41" s="3955"/>
      <c r="Z41" s="709" t="str">
        <f t="shared" si="15"/>
        <v>单套/主力户型建筑面积</v>
      </c>
      <c r="AA41" s="1350">
        <f t="shared" si="12"/>
        <v>1</v>
      </c>
      <c r="AB41" s="1350">
        <f t="shared" si="13"/>
        <v>1</v>
      </c>
      <c r="AC41" s="1350">
        <f t="shared" si="14"/>
        <v>1</v>
      </c>
    </row>
    <row r="42" spans="1:29" ht="15">
      <c r="A42" s="422"/>
      <c r="B42" s="374" t="s">
        <v>1705</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953"/>
      <c r="Q42" s="1349" t="str">
        <f t="shared" si="8"/>
        <v>内部装修</v>
      </c>
      <c r="R42" s="703" t="s">
        <v>18</v>
      </c>
      <c r="S42" s="704">
        <f t="shared" si="9"/>
        <v>100</v>
      </c>
      <c r="T42" s="703" t="s">
        <v>18</v>
      </c>
      <c r="U42" s="704">
        <f t="shared" si="10"/>
        <v>100</v>
      </c>
      <c r="V42" s="703" t="s">
        <v>18</v>
      </c>
      <c r="W42" s="704">
        <f t="shared" si="11"/>
        <v>100</v>
      </c>
      <c r="X42" s="1352"/>
      <c r="Y42" s="3955"/>
      <c r="Z42" s="1353" t="str">
        <f t="shared" si="15"/>
        <v>内部装修</v>
      </c>
      <c r="AA42" s="1350">
        <f t="shared" si="12"/>
        <v>1</v>
      </c>
      <c r="AB42" s="1350">
        <f t="shared" si="13"/>
        <v>1</v>
      </c>
      <c r="AC42" s="1350">
        <f t="shared" si="14"/>
        <v>1</v>
      </c>
    </row>
    <row r="43" spans="1:29" ht="28.8">
      <c r="A43" s="422"/>
      <c r="B43" s="374" t="s">
        <v>1706</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953"/>
      <c r="Q43" s="1349" t="str">
        <f t="shared" si="8"/>
        <v>内部装修维护情况</v>
      </c>
      <c r="R43" s="703" t="s">
        <v>18</v>
      </c>
      <c r="S43" s="704">
        <f t="shared" si="9"/>
        <v>100</v>
      </c>
      <c r="T43" s="703" t="s">
        <v>18</v>
      </c>
      <c r="U43" s="704">
        <f t="shared" si="10"/>
        <v>100</v>
      </c>
      <c r="V43" s="703" t="s">
        <v>18</v>
      </c>
      <c r="W43" s="704">
        <f t="shared" si="11"/>
        <v>100</v>
      </c>
      <c r="X43" s="1352"/>
      <c r="Y43" s="3955"/>
      <c r="Z43" s="1353" t="str">
        <f t="shared" si="15"/>
        <v>内部装修维护情况</v>
      </c>
      <c r="AA43" s="1350">
        <f t="shared" si="12"/>
        <v>1</v>
      </c>
      <c r="AB43" s="1350">
        <f t="shared" si="13"/>
        <v>1</v>
      </c>
      <c r="AC43" s="1350">
        <f t="shared" si="14"/>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953"/>
      <c r="Q44" s="1340">
        <f t="shared" si="8"/>
        <v>111</v>
      </c>
      <c r="R44" s="699" t="s">
        <v>18</v>
      </c>
      <c r="S44" s="700">
        <f t="shared" si="9"/>
        <v>100</v>
      </c>
      <c r="T44" s="699" t="s">
        <v>18</v>
      </c>
      <c r="U44" s="700">
        <f t="shared" si="10"/>
        <v>100</v>
      </c>
      <c r="V44" s="699" t="s">
        <v>18</v>
      </c>
      <c r="W44" s="700">
        <f t="shared" si="11"/>
        <v>100</v>
      </c>
      <c r="X44" s="701"/>
      <c r="Y44" s="3955"/>
      <c r="Z44" s="52">
        <f t="shared" si="15"/>
        <v>111</v>
      </c>
      <c r="AA44" s="702">
        <f t="shared" si="12"/>
        <v>1</v>
      </c>
      <c r="AB44" s="702">
        <f t="shared" si="13"/>
        <v>1</v>
      </c>
      <c r="AC44" s="702">
        <f t="shared" si="14"/>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953"/>
      <c r="Q45" s="1349">
        <f t="shared" si="8"/>
        <v>111</v>
      </c>
      <c r="R45" s="703" t="s">
        <v>18</v>
      </c>
      <c r="S45" s="704">
        <f t="shared" si="9"/>
        <v>100</v>
      </c>
      <c r="T45" s="703" t="s">
        <v>18</v>
      </c>
      <c r="U45" s="704">
        <f t="shared" si="10"/>
        <v>100</v>
      </c>
      <c r="V45" s="703" t="s">
        <v>18</v>
      </c>
      <c r="W45" s="704">
        <f t="shared" si="11"/>
        <v>100</v>
      </c>
      <c r="X45" s="1352"/>
      <c r="Y45" s="3955"/>
      <c r="Z45" s="1353">
        <f t="shared" si="15"/>
        <v>111</v>
      </c>
      <c r="AA45" s="1350">
        <f t="shared" si="12"/>
        <v>1</v>
      </c>
      <c r="AB45" s="1350">
        <f t="shared" si="13"/>
        <v>1</v>
      </c>
      <c r="AC45" s="1350">
        <f t="shared" si="14"/>
        <v>1</v>
      </c>
    </row>
    <row r="46" spans="1:29" ht="15.6"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954"/>
      <c r="Q46" s="1349">
        <f t="shared" si="8"/>
        <v>111</v>
      </c>
      <c r="R46" s="703" t="s">
        <v>17</v>
      </c>
      <c r="S46" s="704">
        <f t="shared" si="9"/>
        <v>100</v>
      </c>
      <c r="T46" s="703" t="s">
        <v>17</v>
      </c>
      <c r="U46" s="704">
        <f t="shared" si="10"/>
        <v>100</v>
      </c>
      <c r="V46" s="703" t="s">
        <v>17</v>
      </c>
      <c r="W46" s="704">
        <f t="shared" si="11"/>
        <v>100</v>
      </c>
      <c r="X46" s="1352"/>
      <c r="Y46" s="3956"/>
      <c r="Z46" s="1353">
        <f t="shared" si="15"/>
        <v>111</v>
      </c>
      <c r="AA46" s="1350">
        <f t="shared" si="12"/>
        <v>1</v>
      </c>
      <c r="AB46" s="1350">
        <f t="shared" si="13"/>
        <v>1</v>
      </c>
      <c r="AC46" s="1350">
        <f t="shared" si="14"/>
        <v>1</v>
      </c>
    </row>
    <row r="47" spans="1:29" ht="14.4">
      <c r="A47" s="429" t="s">
        <v>1707</v>
      </c>
      <c r="B47" s="430"/>
      <c r="C47" s="1151" t="s">
        <v>16</v>
      </c>
      <c r="D47" s="1152"/>
      <c r="E47" s="1153"/>
      <c r="F47" s="1154"/>
      <c r="G47" s="1155"/>
      <c r="H47" s="1156"/>
      <c r="I47" s="1153"/>
      <c r="J47" s="1156"/>
      <c r="K47" s="1911"/>
      <c r="L47" s="2721"/>
      <c r="M47" s="2722"/>
      <c r="N47" s="2713"/>
      <c r="O47" s="2722"/>
      <c r="P47" s="3948" t="str">
        <f>A47</f>
        <v>成交单价（元/平方米）</v>
      </c>
      <c r="Q47" s="3948"/>
      <c r="R47" s="3949">
        <f>E47</f>
        <v>0</v>
      </c>
      <c r="S47" s="3949"/>
      <c r="T47" s="3949">
        <f>G47</f>
        <v>0</v>
      </c>
      <c r="U47" s="3949"/>
      <c r="V47" s="3949">
        <f>I47</f>
        <v>0</v>
      </c>
      <c r="W47" s="3949"/>
      <c r="X47" s="688"/>
      <c r="Y47" s="710"/>
      <c r="Z47" s="688"/>
      <c r="AA47" s="688"/>
      <c r="AB47" s="688"/>
      <c r="AC47" s="688"/>
    </row>
    <row r="48" spans="1:29" ht="15" thickBot="1">
      <c r="A48" s="436" t="s">
        <v>1708</v>
      </c>
      <c r="B48" s="437"/>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948" t="str">
        <f>A48</f>
        <v>比较价值（元/平方米）</v>
      </c>
      <c r="Q48" s="3948"/>
      <c r="R48" s="3949" t="e">
        <f>IF(F1="售价",ROUND(PRODUCT(R47,AA7:AA46),0),ROUND(PRODUCT(R47,AA7:AA46),1))</f>
        <v>#DIV/0!</v>
      </c>
      <c r="S48" s="3949"/>
      <c r="T48" s="3949" t="e">
        <f>IF(F1="售价",ROUND(PRODUCT(T47,AB7:AB46),0),ROUND(PRODUCT(T47,AB7:AB46),1))</f>
        <v>#DIV/0!</v>
      </c>
      <c r="U48" s="3949"/>
      <c r="V48" s="3949" t="e">
        <f>IF(F1="售价",ROUND(PRODUCT(V47,AC7:AC46),0),ROUND(PRODUCT(V47,AC7:AC46),1))</f>
        <v>#DIV/0!</v>
      </c>
      <c r="W48" s="3949"/>
      <c r="X48" s="688"/>
      <c r="Y48" s="688"/>
      <c r="Z48" s="688"/>
      <c r="AA48" s="688"/>
      <c r="AB48" s="688"/>
      <c r="AC48" s="688"/>
    </row>
    <row r="49" spans="1:29" ht="15" thickBot="1">
      <c r="A49" s="440" t="s">
        <v>1709</v>
      </c>
      <c r="B49" s="441"/>
      <c r="C49" s="1159" t="e">
        <f>R49</f>
        <v>#DIV/0!</v>
      </c>
      <c r="D49" s="1160"/>
      <c r="E49" s="1160"/>
      <c r="F49" s="1160"/>
      <c r="G49" s="1160"/>
      <c r="H49" s="1160"/>
      <c r="I49" s="1160"/>
      <c r="J49" s="1160"/>
      <c r="K49" s="1912"/>
      <c r="L49" s="2721"/>
      <c r="M49" s="2722"/>
      <c r="N49" s="2722"/>
      <c r="O49" s="2722"/>
      <c r="P49" s="3945" t="str">
        <f>A49</f>
        <v>估价对象XX用房的比较价值（楼面单价，元/平方米）</v>
      </c>
      <c r="Q49" s="3946"/>
      <c r="R49" s="3947" t="e">
        <f>IF(F1="售价",ROUND(IF(D48="简单平均",AVERAGE(R48:V48),R48*F48+T48*H48+V48*J48),0),ROUND(IF(D48="简单平均",AVERAGE(R48:V48),R48*F48+T48*H48+V48*J48),1))</f>
        <v>#DIV/0!</v>
      </c>
      <c r="S49" s="3947"/>
      <c r="T49" s="3947"/>
      <c r="U49" s="3947"/>
      <c r="V49" s="3947"/>
      <c r="W49" s="394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2" t="s">
        <v>1713</v>
      </c>
      <c r="B57" s="688"/>
      <c r="C57" s="693"/>
      <c r="D57" s="693"/>
      <c r="E57" s="693"/>
      <c r="F57" s="694"/>
      <c r="G57" s="694"/>
      <c r="H57" s="693"/>
      <c r="I57" s="693"/>
      <c r="J57" s="693"/>
      <c r="K57" s="939"/>
      <c r="L57" s="940"/>
      <c r="M57" s="938"/>
      <c r="N57" s="938"/>
      <c r="O57" s="938"/>
      <c r="P57" s="1915"/>
      <c r="Q57" s="452"/>
    </row>
    <row r="58" spans="1:29" s="456" customFormat="1" ht="14.4">
      <c r="A58" s="453" t="s">
        <v>1714</v>
      </c>
      <c r="B58" s="454"/>
      <c r="C58" s="1183" t="str">
        <f>YEAR(C7)&amp;"-"&amp;MONTH(C7)</f>
        <v>2024-8</v>
      </c>
      <c r="D58" s="1182">
        <f>EDATE(C58,-1)</f>
        <v>45474</v>
      </c>
      <c r="E58" s="1182">
        <f>EDATE(D58,-1)</f>
        <v>45444</v>
      </c>
      <c r="F58" s="1182">
        <f t="shared" ref="F58:O58" si="16">EDATE(E58,-1)</f>
        <v>45413</v>
      </c>
      <c r="G58" s="1182">
        <f t="shared" si="16"/>
        <v>45383</v>
      </c>
      <c r="H58" s="1182">
        <f t="shared" si="16"/>
        <v>45352</v>
      </c>
      <c r="I58" s="1182">
        <f t="shared" si="16"/>
        <v>45323</v>
      </c>
      <c r="J58" s="1182">
        <f t="shared" si="16"/>
        <v>45292</v>
      </c>
      <c r="K58" s="1182">
        <f t="shared" si="16"/>
        <v>45261</v>
      </c>
      <c r="L58" s="1182">
        <f t="shared" si="16"/>
        <v>45231</v>
      </c>
      <c r="M58" s="1182">
        <f t="shared" si="16"/>
        <v>45200</v>
      </c>
      <c r="N58" s="1182">
        <f t="shared" si="16"/>
        <v>45170</v>
      </c>
      <c r="O58" s="1182">
        <f t="shared" si="16"/>
        <v>45139</v>
      </c>
      <c r="P58" s="1178"/>
    </row>
    <row r="59" spans="1:29" s="108" customFormat="1">
      <c r="A59" s="457"/>
      <c r="B59" s="1916"/>
      <c r="C59" s="1180">
        <v>100</v>
      </c>
      <c r="D59" s="459"/>
      <c r="E59" s="460"/>
      <c r="F59" s="460"/>
      <c r="G59" s="460"/>
      <c r="H59" s="460"/>
      <c r="I59" s="460"/>
      <c r="J59" s="460"/>
      <c r="K59" s="460"/>
      <c r="L59" s="460"/>
      <c r="M59" s="461"/>
      <c r="N59" s="460"/>
      <c r="O59" s="461"/>
      <c r="P59" s="1917"/>
    </row>
    <row r="60" spans="1:29" s="108" customFormat="1" ht="15" thickBot="1">
      <c r="A60" s="463" t="s">
        <v>1715</v>
      </c>
      <c r="B60" s="464"/>
      <c r="C60" s="465"/>
      <c r="D60" s="466"/>
      <c r="E60" s="466"/>
      <c r="F60" s="466"/>
      <c r="G60" s="466"/>
      <c r="H60" s="466"/>
      <c r="I60" s="466"/>
      <c r="J60" s="466"/>
      <c r="K60" s="466"/>
      <c r="L60" s="466"/>
      <c r="M60" s="467"/>
      <c r="N60" s="466"/>
      <c r="O60" s="467"/>
      <c r="P60" s="1917"/>
      <c r="Q60" s="452"/>
    </row>
    <row r="61" spans="1:29" s="108" customFormat="1" ht="14.4">
      <c r="A61" s="469" t="s">
        <v>1716</v>
      </c>
      <c r="B61" s="458"/>
      <c r="C61" s="470" t="s">
        <v>1717</v>
      </c>
      <c r="D61" s="471"/>
      <c r="E61" s="471"/>
      <c r="F61" s="471"/>
      <c r="G61" s="471"/>
      <c r="H61" s="471"/>
      <c r="I61" s="471"/>
      <c r="J61" s="471"/>
      <c r="K61" s="471"/>
      <c r="L61" s="472"/>
      <c r="M61" s="473"/>
      <c r="N61" s="930"/>
      <c r="O61" s="930"/>
      <c r="P61" s="1918"/>
      <c r="Q61" s="452"/>
    </row>
    <row r="62" spans="1:29" s="108" customFormat="1" ht="14.4" thickBot="1">
      <c r="A62" s="469"/>
      <c r="B62" s="458"/>
      <c r="C62" s="459">
        <v>100</v>
      </c>
      <c r="D62" s="460"/>
      <c r="E62" s="460"/>
      <c r="F62" s="460"/>
      <c r="G62" s="460"/>
      <c r="H62" s="460"/>
      <c r="I62" s="460"/>
      <c r="J62" s="460"/>
      <c r="K62" s="460"/>
      <c r="L62" s="460"/>
      <c r="M62" s="462"/>
      <c r="N62" s="930"/>
      <c r="O62" s="930"/>
      <c r="P62" s="1917"/>
      <c r="Q62" s="452"/>
    </row>
    <row r="63" spans="1:29" ht="14.4">
      <c r="A63" s="475" t="s">
        <v>1718</v>
      </c>
      <c r="B63" s="476" t="s">
        <v>1684</v>
      </c>
      <c r="C63" s="477">
        <f>C9</f>
        <v>0</v>
      </c>
      <c r="D63" s="478"/>
      <c r="E63" s="478"/>
      <c r="F63" s="478"/>
      <c r="G63" s="478"/>
      <c r="H63" s="478"/>
      <c r="I63" s="478"/>
      <c r="J63" s="478"/>
      <c r="K63" s="479"/>
      <c r="L63" s="480"/>
      <c r="M63" s="481"/>
      <c r="N63" s="931"/>
      <c r="O63" s="931"/>
      <c r="P63" s="1919"/>
      <c r="Q63" s="452"/>
    </row>
    <row r="64" spans="1:29" ht="14.4" thickBot="1">
      <c r="A64" s="482"/>
      <c r="B64" s="483"/>
      <c r="C64" s="484">
        <v>100</v>
      </c>
      <c r="D64" s="484"/>
      <c r="E64" s="484"/>
      <c r="F64" s="484"/>
      <c r="G64" s="484"/>
      <c r="H64" s="484"/>
      <c r="I64" s="484"/>
      <c r="J64" s="484"/>
      <c r="K64" s="484"/>
      <c r="L64" s="484"/>
      <c r="M64" s="485"/>
      <c r="N64" s="932"/>
      <c r="O64" s="932"/>
      <c r="P64" s="1919"/>
      <c r="Q64" s="452"/>
    </row>
    <row r="65" spans="1:17" ht="29.4" thickTop="1">
      <c r="A65" s="482"/>
      <c r="B65" s="486" t="s">
        <v>1687</v>
      </c>
      <c r="C65" s="531"/>
      <c r="D65" s="531"/>
      <c r="E65" s="531"/>
      <c r="F65" s="531"/>
      <c r="G65" s="531"/>
      <c r="H65" s="531"/>
      <c r="I65" s="531"/>
      <c r="J65" s="531"/>
      <c r="K65" s="531"/>
      <c r="L65" s="531"/>
      <c r="M65" s="531"/>
      <c r="N65" s="932"/>
      <c r="O65" s="932"/>
      <c r="P65" s="1919"/>
      <c r="Q65" s="452"/>
    </row>
    <row r="66" spans="1:17" ht="14.4" thickBot="1">
      <c r="A66" s="482"/>
      <c r="B66" s="491"/>
      <c r="C66" s="484"/>
      <c r="D66" s="484"/>
      <c r="E66" s="484"/>
      <c r="F66" s="484"/>
      <c r="G66" s="484"/>
      <c r="H66" s="484"/>
      <c r="I66" s="484"/>
      <c r="J66" s="484"/>
      <c r="K66" s="484"/>
      <c r="L66" s="484"/>
      <c r="M66" s="485"/>
      <c r="N66" s="932"/>
      <c r="O66" s="932"/>
      <c r="P66" s="1919"/>
      <c r="Q66" s="452"/>
    </row>
    <row r="67" spans="1:17" ht="1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K68&amp;"（含）"&amp;"-"&amp;L68</f>
        <v>（含）-</v>
      </c>
      <c r="L67" s="495" t="str">
        <f t="shared" si="17"/>
        <v>（含）-</v>
      </c>
      <c r="M67" s="398" t="str">
        <f>M68&amp;"（含）"&amp;"-"&amp;P68</f>
        <v>（含）-</v>
      </c>
      <c r="N67" s="932"/>
      <c r="O67" s="932"/>
      <c r="P67" s="1919"/>
      <c r="Q67" s="452"/>
    </row>
    <row r="68" spans="1:17">
      <c r="A68" s="482"/>
      <c r="B68" s="496"/>
      <c r="C68" s="497"/>
      <c r="D68" s="497"/>
      <c r="E68" s="497"/>
      <c r="F68" s="497"/>
      <c r="G68" s="497"/>
      <c r="H68" s="497"/>
      <c r="I68" s="497"/>
      <c r="J68" s="497"/>
      <c r="K68" s="498"/>
      <c r="L68" s="499"/>
      <c r="M68" s="500"/>
      <c r="N68" s="931"/>
      <c r="O68" s="931"/>
      <c r="P68" s="1919"/>
      <c r="Q68" s="452"/>
    </row>
    <row r="69" spans="1:17"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932"/>
      <c r="O69" s="932"/>
      <c r="P69" s="1919"/>
      <c r="Q69" s="452"/>
    </row>
    <row r="70" spans="1:17" s="421" customFormat="1" ht="14.4" thickTop="1">
      <c r="A70" s="501"/>
      <c r="B70" s="486">
        <f>B12</f>
        <v>111</v>
      </c>
      <c r="C70" s="502"/>
      <c r="D70" s="502"/>
      <c r="E70" s="502"/>
      <c r="F70" s="502"/>
      <c r="G70" s="502"/>
      <c r="H70" s="503"/>
      <c r="I70" s="503"/>
      <c r="J70" s="503"/>
      <c r="K70" s="503"/>
      <c r="L70" s="504"/>
      <c r="M70" s="505"/>
      <c r="N70" s="933"/>
      <c r="O70" s="933"/>
      <c r="P70" s="1920"/>
      <c r="Q70" s="507"/>
    </row>
    <row r="71" spans="1:17" s="421" customFormat="1" ht="14.4" thickBot="1">
      <c r="A71" s="501"/>
      <c r="B71" s="491"/>
      <c r="C71" s="508"/>
      <c r="D71" s="484"/>
      <c r="E71" s="484"/>
      <c r="F71" s="484"/>
      <c r="G71" s="484"/>
      <c r="H71" s="484"/>
      <c r="I71" s="484"/>
      <c r="J71" s="484"/>
      <c r="K71" s="484"/>
      <c r="L71" s="484"/>
      <c r="M71" s="485"/>
      <c r="N71" s="932"/>
      <c r="O71" s="932"/>
      <c r="P71" s="1920"/>
      <c r="Q71" s="507"/>
    </row>
    <row r="72" spans="1:17" s="421" customFormat="1" ht="14.4" thickTop="1">
      <c r="A72" s="501"/>
      <c r="B72" s="486">
        <f>B13</f>
        <v>111</v>
      </c>
      <c r="C72" s="502"/>
      <c r="D72" s="502"/>
      <c r="E72" s="502"/>
      <c r="F72" s="502"/>
      <c r="G72" s="502"/>
      <c r="H72" s="503"/>
      <c r="I72" s="503"/>
      <c r="J72" s="503"/>
      <c r="K72" s="503"/>
      <c r="L72" s="504"/>
      <c r="M72" s="505"/>
      <c r="N72" s="933"/>
      <c r="O72" s="933"/>
      <c r="P72" s="1921"/>
      <c r="Q72" s="509"/>
    </row>
    <row r="73" spans="1:17" s="421" customFormat="1" ht="14.4" thickBot="1">
      <c r="A73" s="501"/>
      <c r="B73" s="491"/>
      <c r="C73" s="508"/>
      <c r="D73" s="508"/>
      <c r="E73" s="508"/>
      <c r="F73" s="508"/>
      <c r="G73" s="508"/>
      <c r="H73" s="510"/>
      <c r="I73" s="510"/>
      <c r="J73" s="510"/>
      <c r="K73" s="510"/>
      <c r="L73" s="510"/>
      <c r="M73" s="511"/>
      <c r="N73" s="933"/>
      <c r="O73" s="933"/>
      <c r="P73" s="1920"/>
      <c r="Q73" s="507"/>
    </row>
    <row r="74" spans="1:17" s="421" customFormat="1" ht="14.4" thickTop="1">
      <c r="A74" s="501"/>
      <c r="B74" s="494">
        <f>B14</f>
        <v>111</v>
      </c>
      <c r="C74" s="502"/>
      <c r="D74" s="502"/>
      <c r="E74" s="502"/>
      <c r="F74" s="502"/>
      <c r="G74" s="471"/>
      <c r="H74" s="512"/>
      <c r="I74" s="512"/>
      <c r="J74" s="512"/>
      <c r="K74" s="512"/>
      <c r="L74" s="513"/>
      <c r="M74" s="514"/>
      <c r="N74" s="933"/>
      <c r="O74" s="933"/>
      <c r="P74" s="1922"/>
      <c r="Q74" s="507"/>
    </row>
    <row r="75" spans="1:17" s="421" customFormat="1" ht="14.4" thickBot="1">
      <c r="A75" s="516"/>
      <c r="B75" s="517"/>
      <c r="C75" s="518"/>
      <c r="D75" s="518"/>
      <c r="E75" s="518"/>
      <c r="F75" s="518"/>
      <c r="G75" s="518"/>
      <c r="H75" s="519"/>
      <c r="I75" s="519"/>
      <c r="J75" s="519"/>
      <c r="K75" s="519"/>
      <c r="L75" s="519"/>
      <c r="M75" s="520"/>
      <c r="N75" s="933"/>
      <c r="O75" s="933"/>
      <c r="P75" s="1920"/>
      <c r="Q75" s="507"/>
    </row>
    <row r="76" spans="1:17" ht="14.4">
      <c r="A76" s="475" t="s">
        <v>1689</v>
      </c>
      <c r="B76" s="476" t="s">
        <v>1719</v>
      </c>
      <c r="C76" s="521" t="s">
        <v>1720</v>
      </c>
      <c r="D76" s="521" t="s">
        <v>1721</v>
      </c>
      <c r="E76" s="521" t="s">
        <v>1722</v>
      </c>
      <c r="F76" s="521" t="s">
        <v>1723</v>
      </c>
      <c r="G76" s="521" t="s">
        <v>1724</v>
      </c>
      <c r="H76" s="477"/>
      <c r="I76" s="477"/>
      <c r="J76" s="477"/>
      <c r="K76" s="522"/>
      <c r="L76" s="523"/>
      <c r="M76" s="524"/>
      <c r="N76" s="931"/>
      <c r="O76" s="931"/>
      <c r="P76" s="1923"/>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2"/>
      <c r="O77" s="932"/>
      <c r="P77" s="1919"/>
      <c r="Q77" s="452"/>
    </row>
    <row r="78" spans="1:17" ht="15" thickTop="1">
      <c r="A78" s="482"/>
      <c r="B78" s="486" t="s">
        <v>1725</v>
      </c>
      <c r="C78" s="526" t="s">
        <v>1720</v>
      </c>
      <c r="D78" s="526" t="s">
        <v>1721</v>
      </c>
      <c r="E78" s="526" t="s">
        <v>1722</v>
      </c>
      <c r="F78" s="526" t="s">
        <v>1723</v>
      </c>
      <c r="G78" s="526" t="s">
        <v>1724</v>
      </c>
      <c r="H78" s="487"/>
      <c r="I78" s="487"/>
      <c r="J78" s="487"/>
      <c r="K78" s="488"/>
      <c r="L78" s="489"/>
      <c r="M78" s="490"/>
      <c r="N78" s="931"/>
      <c r="O78" s="931"/>
      <c r="P78" s="1919"/>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2"/>
      <c r="O79" s="932"/>
      <c r="P79" s="1919"/>
      <c r="Q79" s="452"/>
    </row>
    <row r="80" spans="1:17" ht="15" thickTop="1">
      <c r="A80" s="482"/>
      <c r="B80" s="486" t="s">
        <v>1726</v>
      </c>
      <c r="C80" s="526" t="s">
        <v>1720</v>
      </c>
      <c r="D80" s="526" t="s">
        <v>1721</v>
      </c>
      <c r="E80" s="526" t="s">
        <v>1722</v>
      </c>
      <c r="F80" s="526" t="s">
        <v>1723</v>
      </c>
      <c r="G80" s="526" t="s">
        <v>1724</v>
      </c>
      <c r="H80" s="487"/>
      <c r="I80" s="487"/>
      <c r="J80" s="487"/>
      <c r="K80" s="488"/>
      <c r="L80" s="489"/>
      <c r="M80" s="490"/>
      <c r="N80" s="931"/>
      <c r="O80" s="931"/>
      <c r="P80" s="1919"/>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2"/>
      <c r="O81" s="932"/>
      <c r="P81" s="1919"/>
      <c r="Q81" s="452"/>
    </row>
    <row r="82" spans="1:17" ht="15" thickTop="1">
      <c r="A82" s="482"/>
      <c r="B82" s="494" t="s">
        <v>1259</v>
      </c>
      <c r="C82" s="487" t="s">
        <v>1727</v>
      </c>
      <c r="D82" s="487" t="s">
        <v>1728</v>
      </c>
      <c r="E82" s="487" t="s">
        <v>1729</v>
      </c>
      <c r="F82" s="487" t="s">
        <v>1730</v>
      </c>
      <c r="G82" s="487" t="s">
        <v>1731</v>
      </c>
      <c r="H82" s="487"/>
      <c r="I82" s="487"/>
      <c r="J82" s="487"/>
      <c r="K82" s="487"/>
      <c r="L82" s="487"/>
      <c r="M82" s="1126"/>
      <c r="N82" s="932"/>
      <c r="O82" s="932"/>
      <c r="P82" s="1919"/>
      <c r="Q82" s="452"/>
    </row>
    <row r="83" spans="1:17" ht="14.4" thickBot="1">
      <c r="A83" s="482"/>
      <c r="B83" s="494"/>
      <c r="C83" s="607">
        <v>100</v>
      </c>
      <c r="D83" s="607">
        <f>C83-$K21</f>
        <v>100</v>
      </c>
      <c r="E83" s="607">
        <f>D83-$K21</f>
        <v>100</v>
      </c>
      <c r="F83" s="607">
        <f>E83-$K21</f>
        <v>100</v>
      </c>
      <c r="G83" s="607">
        <f>F83-$K21</f>
        <v>100</v>
      </c>
      <c r="H83" s="607"/>
      <c r="I83" s="607"/>
      <c r="J83" s="607"/>
      <c r="K83" s="607"/>
      <c r="L83" s="607"/>
      <c r="M83" s="400"/>
      <c r="N83" s="932"/>
      <c r="O83" s="932"/>
      <c r="P83" s="1919"/>
      <c r="Q83" s="452"/>
    </row>
    <row r="84" spans="1:17" ht="15" thickTop="1">
      <c r="A84" s="482"/>
      <c r="B84" s="486" t="s">
        <v>1732</v>
      </c>
      <c r="C84" s="526" t="s">
        <v>1720</v>
      </c>
      <c r="D84" s="526" t="s">
        <v>1721</v>
      </c>
      <c r="E84" s="526" t="s">
        <v>1722</v>
      </c>
      <c r="F84" s="526" t="s">
        <v>1723</v>
      </c>
      <c r="G84" s="526" t="s">
        <v>1724</v>
      </c>
      <c r="H84" s="487"/>
      <c r="I84" s="487"/>
      <c r="J84" s="487"/>
      <c r="K84" s="488"/>
      <c r="L84" s="489"/>
      <c r="M84" s="490"/>
      <c r="N84" s="931"/>
      <c r="O84" s="931"/>
      <c r="P84" s="1919"/>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2"/>
      <c r="O85" s="932"/>
      <c r="P85" s="1919"/>
      <c r="Q85" s="452"/>
    </row>
    <row r="86" spans="1:17" s="108" customFormat="1" ht="15" thickTop="1">
      <c r="A86" s="527"/>
      <c r="B86" s="486" t="s">
        <v>1733</v>
      </c>
      <c r="C86" s="502"/>
      <c r="D86" s="502"/>
      <c r="E86" s="502"/>
      <c r="F86" s="502"/>
      <c r="G86" s="502"/>
      <c r="H86" s="502"/>
      <c r="I86" s="502"/>
      <c r="J86" s="502"/>
      <c r="K86" s="502"/>
      <c r="L86" s="528"/>
      <c r="M86" s="529"/>
      <c r="N86" s="930"/>
      <c r="O86" s="930"/>
      <c r="P86" s="1919"/>
      <c r="Q86" s="452"/>
    </row>
    <row r="87" spans="1:17" s="108" customFormat="1" ht="14.4" thickBot="1">
      <c r="A87" s="527"/>
      <c r="B87" s="491"/>
      <c r="C87" s="530">
        <v>100</v>
      </c>
      <c r="D87" s="492">
        <f t="shared" ref="D87:M87" si="19">$C$87-($C$86-D86)*$K$25</f>
        <v>100</v>
      </c>
      <c r="E87" s="492">
        <f t="shared" si="19"/>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932"/>
      <c r="O87" s="932"/>
      <c r="P87" s="1919"/>
      <c r="Q87" s="452"/>
    </row>
    <row r="88" spans="1:17" s="108" customFormat="1" ht="15" thickTop="1">
      <c r="A88" s="527"/>
      <c r="B88" s="486" t="s">
        <v>1734</v>
      </c>
      <c r="C88" s="502"/>
      <c r="D88" s="502"/>
      <c r="E88" s="502"/>
      <c r="F88" s="1924"/>
      <c r="G88" s="502"/>
      <c r="H88" s="502"/>
      <c r="I88" s="502"/>
      <c r="J88" s="502"/>
      <c r="K88" s="502"/>
      <c r="L88" s="502"/>
      <c r="M88" s="529"/>
      <c r="N88" s="930"/>
      <c r="O88" s="930"/>
      <c r="P88" s="1919"/>
      <c r="Q88" s="452"/>
    </row>
    <row r="89" spans="1:17" s="108" customFormat="1" ht="14.4" thickBot="1">
      <c r="A89" s="527"/>
      <c r="B89" s="491"/>
      <c r="C89" s="530">
        <v>100</v>
      </c>
      <c r="D89" s="492">
        <f t="shared" ref="D89:M89" si="20">C89-$K26</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932"/>
      <c r="O89" s="932"/>
      <c r="P89" s="1919"/>
      <c r="Q89" s="452"/>
    </row>
    <row r="90" spans="1:17" s="421" customFormat="1" ht="14.4" thickTop="1">
      <c r="A90" s="501"/>
      <c r="B90" s="486">
        <f>B27</f>
        <v>111</v>
      </c>
      <c r="C90" s="502"/>
      <c r="D90" s="502"/>
      <c r="E90" s="502"/>
      <c r="F90" s="502"/>
      <c r="G90" s="502"/>
      <c r="H90" s="503"/>
      <c r="I90" s="503"/>
      <c r="J90" s="503"/>
      <c r="K90" s="503"/>
      <c r="L90" s="504"/>
      <c r="M90" s="505"/>
      <c r="N90" s="933"/>
      <c r="O90" s="933"/>
      <c r="P90" s="1920"/>
      <c r="Q90" s="507"/>
    </row>
    <row r="91" spans="1:17" s="421" customFormat="1" ht="14.4" thickBot="1">
      <c r="A91" s="501"/>
      <c r="B91" s="491"/>
      <c r="C91" s="508"/>
      <c r="D91" s="508"/>
      <c r="E91" s="508"/>
      <c r="F91" s="508"/>
      <c r="G91" s="508"/>
      <c r="H91" s="510"/>
      <c r="I91" s="510"/>
      <c r="J91" s="510"/>
      <c r="K91" s="510"/>
      <c r="L91" s="510"/>
      <c r="M91" s="511"/>
      <c r="N91" s="933"/>
      <c r="O91" s="933"/>
      <c r="P91" s="1920"/>
      <c r="Q91" s="507"/>
    </row>
    <row r="92" spans="1:17" ht="14.4" thickTop="1">
      <c r="A92" s="482"/>
      <c r="B92" s="486">
        <f>B28</f>
        <v>111</v>
      </c>
      <c r="C92" s="502"/>
      <c r="D92" s="502"/>
      <c r="E92" s="502"/>
      <c r="F92" s="502"/>
      <c r="G92" s="531"/>
      <c r="H92" s="531"/>
      <c r="I92" s="531"/>
      <c r="J92" s="531"/>
      <c r="K92" s="532"/>
      <c r="L92" s="533"/>
      <c r="M92" s="534"/>
      <c r="N92" s="931"/>
      <c r="O92" s="931"/>
      <c r="P92" s="1919"/>
      <c r="Q92" s="452"/>
    </row>
    <row r="93" spans="1:17" ht="14.4" thickBot="1">
      <c r="A93" s="482"/>
      <c r="B93" s="491"/>
      <c r="C93" s="508"/>
      <c r="D93" s="484"/>
      <c r="E93" s="484"/>
      <c r="F93" s="484"/>
      <c r="G93" s="484"/>
      <c r="H93" s="484"/>
      <c r="I93" s="484"/>
      <c r="J93" s="484"/>
      <c r="K93" s="484"/>
      <c r="L93" s="484"/>
      <c r="M93" s="485"/>
      <c r="N93" s="932"/>
      <c r="O93" s="932"/>
      <c r="P93" s="1919"/>
      <c r="Q93" s="452"/>
    </row>
    <row r="94" spans="1:17" ht="14.4" thickTop="1">
      <c r="A94" s="482"/>
      <c r="B94" s="486">
        <f>B29</f>
        <v>111</v>
      </c>
      <c r="C94" s="502"/>
      <c r="D94" s="502"/>
      <c r="E94" s="502"/>
      <c r="F94" s="502"/>
      <c r="G94" s="531"/>
      <c r="H94" s="531"/>
      <c r="I94" s="531"/>
      <c r="J94" s="531"/>
      <c r="K94" s="532"/>
      <c r="L94" s="533"/>
      <c r="M94" s="534"/>
      <c r="N94" s="931"/>
      <c r="O94" s="931"/>
      <c r="P94" s="1919"/>
      <c r="Q94" s="452"/>
    </row>
    <row r="95" spans="1:17" ht="14.4" thickBot="1">
      <c r="A95" s="482"/>
      <c r="B95" s="491"/>
      <c r="C95" s="508"/>
      <c r="D95" s="508"/>
      <c r="E95" s="508"/>
      <c r="F95" s="508"/>
      <c r="G95" s="484"/>
      <c r="H95" s="484"/>
      <c r="I95" s="484"/>
      <c r="J95" s="484"/>
      <c r="K95" s="484"/>
      <c r="L95" s="484"/>
      <c r="M95" s="485"/>
      <c r="N95" s="932"/>
      <c r="O95" s="932"/>
      <c r="P95" s="1919"/>
      <c r="Q95" s="452"/>
    </row>
    <row r="96" spans="1:17" ht="14.4" thickTop="1">
      <c r="A96" s="482"/>
      <c r="B96" s="486">
        <f>B30</f>
        <v>111</v>
      </c>
      <c r="C96" s="502"/>
      <c r="D96" s="502"/>
      <c r="E96" s="502"/>
      <c r="F96" s="502"/>
      <c r="G96" s="531"/>
      <c r="H96" s="531"/>
      <c r="I96" s="531"/>
      <c r="J96" s="531"/>
      <c r="K96" s="532"/>
      <c r="L96" s="533"/>
      <c r="M96" s="534"/>
      <c r="N96" s="931"/>
      <c r="O96" s="931"/>
      <c r="P96" s="1919"/>
      <c r="Q96" s="452"/>
    </row>
    <row r="97" spans="1:17" ht="14.4" thickBot="1">
      <c r="A97" s="482"/>
      <c r="B97" s="491"/>
      <c r="C97" s="518"/>
      <c r="D97" s="518"/>
      <c r="E97" s="518"/>
      <c r="F97" s="518"/>
      <c r="G97" s="484"/>
      <c r="H97" s="484"/>
      <c r="I97" s="484"/>
      <c r="J97" s="484"/>
      <c r="K97" s="484"/>
      <c r="L97" s="484"/>
      <c r="M97" s="485"/>
      <c r="N97" s="932"/>
      <c r="O97" s="932"/>
      <c r="P97" s="1919"/>
      <c r="Q97" s="452"/>
    </row>
    <row r="98" spans="1:17" ht="14.4" thickTop="1">
      <c r="A98" s="482"/>
      <c r="B98" s="494">
        <f>B31</f>
        <v>111</v>
      </c>
      <c r="C98" s="535"/>
      <c r="D98" s="535"/>
      <c r="E98" s="535"/>
      <c r="F98" s="535"/>
      <c r="G98" s="535"/>
      <c r="H98" s="535"/>
      <c r="I98" s="535"/>
      <c r="J98" s="535"/>
      <c r="K98" s="536"/>
      <c r="L98" s="537"/>
      <c r="M98" s="538"/>
      <c r="N98" s="931"/>
      <c r="O98" s="931"/>
      <c r="P98" s="1919"/>
      <c r="Q98" s="452"/>
    </row>
    <row r="99" spans="1:17" ht="14.4" thickBot="1">
      <c r="A99" s="1925"/>
      <c r="B99" s="517"/>
      <c r="C99" s="539"/>
      <c r="D99" s="539"/>
      <c r="E99" s="539"/>
      <c r="F99" s="539"/>
      <c r="G99" s="539"/>
      <c r="H99" s="539"/>
      <c r="I99" s="539"/>
      <c r="J99" s="539"/>
      <c r="K99" s="539"/>
      <c r="L99" s="539"/>
      <c r="M99" s="540"/>
      <c r="N99" s="932"/>
      <c r="O99" s="932"/>
      <c r="P99" s="1919"/>
      <c r="Q99" s="452"/>
    </row>
    <row r="100" spans="1:17" ht="14.4">
      <c r="A100" s="475" t="s">
        <v>1693</v>
      </c>
      <c r="B100" s="476" t="s">
        <v>1735</v>
      </c>
      <c r="C100" s="478"/>
      <c r="D100" s="478"/>
      <c r="E100" s="478"/>
      <c r="F100" s="478"/>
      <c r="G100" s="478"/>
      <c r="H100" s="478"/>
      <c r="I100" s="478"/>
      <c r="J100" s="478"/>
      <c r="K100" s="479"/>
      <c r="L100" s="480"/>
      <c r="M100" s="481"/>
      <c r="N100" s="931"/>
      <c r="O100" s="931"/>
      <c r="P100" s="1919"/>
      <c r="Q100" s="452"/>
    </row>
    <row r="101" spans="1:17" ht="14.4" thickBot="1">
      <c r="A101" s="482"/>
      <c r="B101" s="491"/>
      <c r="C101" s="492">
        <v>100</v>
      </c>
      <c r="D101" s="492">
        <f t="shared" ref="D101:M101" si="21">C101-$K32</f>
        <v>100</v>
      </c>
      <c r="E101" s="492">
        <f t="shared" si="21"/>
        <v>100</v>
      </c>
      <c r="F101" s="492">
        <f t="shared" si="21"/>
        <v>100</v>
      </c>
      <c r="G101" s="492">
        <f t="shared" si="21"/>
        <v>100</v>
      </c>
      <c r="H101" s="492">
        <f t="shared" si="21"/>
        <v>100</v>
      </c>
      <c r="I101" s="492">
        <f t="shared" si="21"/>
        <v>100</v>
      </c>
      <c r="J101" s="492">
        <f t="shared" si="21"/>
        <v>100</v>
      </c>
      <c r="K101" s="492">
        <f t="shared" si="21"/>
        <v>100</v>
      </c>
      <c r="L101" s="492">
        <f t="shared" si="21"/>
        <v>100</v>
      </c>
      <c r="M101" s="492">
        <f t="shared" si="21"/>
        <v>100</v>
      </c>
      <c r="N101" s="932"/>
      <c r="O101" s="932"/>
      <c r="P101" s="1919"/>
      <c r="Q101" s="452"/>
    </row>
    <row r="102" spans="1:17" ht="15" thickTop="1">
      <c r="A102" s="482"/>
      <c r="B102" s="486" t="s">
        <v>1736</v>
      </c>
      <c r="C102" s="526" t="str">
        <f>C103&amp;"(含)"&amp;"-"&amp;D103</f>
        <v>(含)-</v>
      </c>
      <c r="D102" s="526" t="str">
        <f t="shared" ref="D102:L102" si="22">D103&amp;"(含)"&amp;"-"&amp;E103</f>
        <v>(含)-</v>
      </c>
      <c r="E102" s="526" t="str">
        <f t="shared" si="22"/>
        <v>(含)-</v>
      </c>
      <c r="F102" s="526" t="str">
        <f t="shared" si="22"/>
        <v>(含)-</v>
      </c>
      <c r="G102" s="526" t="str">
        <f t="shared" si="22"/>
        <v>(含)-</v>
      </c>
      <c r="H102" s="526" t="str">
        <f t="shared" si="22"/>
        <v>(含)-</v>
      </c>
      <c r="I102" s="526" t="str">
        <f t="shared" si="22"/>
        <v>(含)-</v>
      </c>
      <c r="J102" s="526" t="str">
        <f t="shared" si="22"/>
        <v>(含)-</v>
      </c>
      <c r="K102" s="526" t="str">
        <f>K103&amp;"(含)"&amp;"-"&amp;L103</f>
        <v>(含)-</v>
      </c>
      <c r="L102" s="526" t="str">
        <f t="shared" si="22"/>
        <v>(含)-</v>
      </c>
      <c r="M102" s="526" t="str">
        <f>M103&amp;"(含)"&amp;"-"&amp;P103</f>
        <v>(含)-</v>
      </c>
      <c r="N102" s="930"/>
      <c r="O102" s="930"/>
      <c r="P102" s="1919"/>
      <c r="Q102" s="452"/>
    </row>
    <row r="103" spans="1:17" s="421" customFormat="1">
      <c r="A103" s="541"/>
      <c r="B103" s="542"/>
      <c r="C103" s="543"/>
      <c r="D103" s="543"/>
      <c r="E103" s="543"/>
      <c r="F103" s="543"/>
      <c r="G103" s="543"/>
      <c r="H103" s="543"/>
      <c r="I103" s="543"/>
      <c r="J103" s="544"/>
      <c r="K103" s="544"/>
      <c r="L103" s="545"/>
      <c r="M103" s="546"/>
      <c r="N103" s="933"/>
      <c r="O103" s="933"/>
      <c r="P103" s="1920"/>
      <c r="Q103" s="507"/>
    </row>
    <row r="104" spans="1:17" s="421" customFormat="1" ht="14.4" thickBot="1">
      <c r="A104" s="501"/>
      <c r="B104" s="491"/>
      <c r="C104" s="508"/>
      <c r="D104" s="484"/>
      <c r="E104" s="484"/>
      <c r="F104" s="484"/>
      <c r="G104" s="484"/>
      <c r="H104" s="484"/>
      <c r="I104" s="484"/>
      <c r="J104" s="484"/>
      <c r="K104" s="484"/>
      <c r="L104" s="484"/>
      <c r="M104" s="484"/>
      <c r="N104" s="932"/>
      <c r="O104" s="932"/>
      <c r="P104" s="1920"/>
      <c r="Q104" s="507"/>
    </row>
    <row r="105" spans="1:17" ht="15" thickTop="1">
      <c r="A105" s="547"/>
      <c r="B105" s="486" t="s">
        <v>1737</v>
      </c>
      <c r="C105" s="502"/>
      <c r="D105" s="502"/>
      <c r="E105" s="531"/>
      <c r="F105" s="531"/>
      <c r="G105" s="531"/>
      <c r="H105" s="531"/>
      <c r="I105" s="531"/>
      <c r="J105" s="531"/>
      <c r="K105" s="532"/>
      <c r="L105" s="533"/>
      <c r="M105" s="534"/>
      <c r="N105" s="931"/>
      <c r="O105" s="931"/>
      <c r="P105" s="1919"/>
      <c r="Q105" s="452"/>
    </row>
    <row r="106" spans="1:17" ht="14.4" thickBot="1">
      <c r="A106" s="482"/>
      <c r="B106" s="491"/>
      <c r="C106" s="492">
        <v>100</v>
      </c>
      <c r="D106" s="492">
        <f t="shared" ref="D106:M106" si="23">C106-$K34</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932"/>
      <c r="O106" s="932"/>
      <c r="P106" s="1919"/>
      <c r="Q106" s="452"/>
    </row>
    <row r="107" spans="1:17" ht="15" thickTop="1">
      <c r="A107" s="547"/>
      <c r="B107" s="486" t="s">
        <v>1738</v>
      </c>
      <c r="C107" s="531"/>
      <c r="D107" s="531"/>
      <c r="E107" s="531"/>
      <c r="F107" s="531"/>
      <c r="G107" s="531"/>
      <c r="H107" s="531"/>
      <c r="I107" s="531"/>
      <c r="J107" s="531"/>
      <c r="K107" s="532"/>
      <c r="L107" s="533"/>
      <c r="M107" s="534"/>
      <c r="N107" s="931"/>
      <c r="O107" s="931"/>
      <c r="P107" s="1919"/>
      <c r="Q107" s="452"/>
    </row>
    <row r="108" spans="1:17" ht="14.4" thickBot="1">
      <c r="A108" s="482"/>
      <c r="B108" s="491"/>
      <c r="C108" s="492">
        <v>100</v>
      </c>
      <c r="D108" s="492">
        <f t="shared" ref="D108:M108" si="24">C108-$K35</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932"/>
      <c r="O108" s="932"/>
      <c r="P108" s="1919"/>
      <c r="Q108" s="452"/>
    </row>
    <row r="109" spans="1:17" ht="15" thickTop="1">
      <c r="A109" s="547"/>
      <c r="B109" s="486" t="s">
        <v>1739</v>
      </c>
      <c r="C109" s="502"/>
      <c r="D109" s="502"/>
      <c r="E109" s="502"/>
      <c r="F109" s="531"/>
      <c r="G109" s="531"/>
      <c r="H109" s="531"/>
      <c r="I109" s="531"/>
      <c r="J109" s="531"/>
      <c r="K109" s="532"/>
      <c r="L109" s="533"/>
      <c r="M109" s="534"/>
      <c r="N109" s="931"/>
      <c r="O109" s="931"/>
      <c r="P109" s="1919"/>
      <c r="Q109" s="452"/>
    </row>
    <row r="110" spans="1:17" ht="14.4" thickBot="1">
      <c r="A110" s="482"/>
      <c r="B110" s="491"/>
      <c r="C110" s="492">
        <v>100</v>
      </c>
      <c r="D110" s="492">
        <f t="shared" ref="D110:M110" si="25">C110-$K36</f>
        <v>100</v>
      </c>
      <c r="E110" s="492">
        <f t="shared" si="25"/>
        <v>100</v>
      </c>
      <c r="F110" s="492">
        <f t="shared" si="25"/>
        <v>100</v>
      </c>
      <c r="G110" s="492">
        <f t="shared" si="25"/>
        <v>100</v>
      </c>
      <c r="H110" s="492">
        <f t="shared" si="25"/>
        <v>100</v>
      </c>
      <c r="I110" s="492">
        <f t="shared" si="25"/>
        <v>100</v>
      </c>
      <c r="J110" s="492">
        <f t="shared" si="25"/>
        <v>100</v>
      </c>
      <c r="K110" s="492">
        <f t="shared" si="25"/>
        <v>100</v>
      </c>
      <c r="L110" s="492">
        <f t="shared" si="25"/>
        <v>100</v>
      </c>
      <c r="M110" s="492">
        <f t="shared" si="25"/>
        <v>100</v>
      </c>
      <c r="N110" s="932"/>
      <c r="O110" s="932"/>
      <c r="P110" s="1919"/>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0"/>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0"/>
      <c r="Q113" s="507"/>
    </row>
    <row r="114" spans="1:17" ht="15" thickTop="1">
      <c r="A114" s="547"/>
      <c r="B114" s="486" t="s">
        <v>1740</v>
      </c>
      <c r="C114" s="502"/>
      <c r="D114" s="502"/>
      <c r="E114" s="531"/>
      <c r="F114" s="531"/>
      <c r="G114" s="531"/>
      <c r="H114" s="531"/>
      <c r="I114" s="531"/>
      <c r="J114" s="531"/>
      <c r="K114" s="532"/>
      <c r="L114" s="533"/>
      <c r="M114" s="534"/>
      <c r="N114" s="931"/>
      <c r="O114" s="931"/>
      <c r="P114" s="1919"/>
      <c r="Q114" s="452"/>
    </row>
    <row r="115" spans="1:17" ht="14.4" thickBot="1">
      <c r="A115" s="482"/>
      <c r="B115" s="491"/>
      <c r="C115" s="492">
        <v>100</v>
      </c>
      <c r="D115" s="492">
        <f t="shared" ref="D115:M115" si="26">C115-$K38</f>
        <v>100</v>
      </c>
      <c r="E115" s="492">
        <f t="shared" si="26"/>
        <v>100</v>
      </c>
      <c r="F115" s="492">
        <f t="shared" si="26"/>
        <v>100</v>
      </c>
      <c r="G115" s="492">
        <f t="shared" si="26"/>
        <v>100</v>
      </c>
      <c r="H115" s="492">
        <f t="shared" si="26"/>
        <v>100</v>
      </c>
      <c r="I115" s="492">
        <f t="shared" si="26"/>
        <v>100</v>
      </c>
      <c r="J115" s="492">
        <f t="shared" si="26"/>
        <v>100</v>
      </c>
      <c r="K115" s="492">
        <f t="shared" si="26"/>
        <v>100</v>
      </c>
      <c r="L115" s="492">
        <f t="shared" si="26"/>
        <v>100</v>
      </c>
      <c r="M115" s="492">
        <f t="shared" si="26"/>
        <v>100</v>
      </c>
      <c r="N115" s="932"/>
      <c r="O115" s="932"/>
      <c r="P115" s="1919"/>
      <c r="Q115" s="452"/>
    </row>
    <row r="116" spans="1:17" ht="15" thickTop="1">
      <c r="A116" s="547"/>
      <c r="B116" s="486" t="s">
        <v>1741</v>
      </c>
      <c r="C116" s="502"/>
      <c r="D116" s="502"/>
      <c r="E116" s="502"/>
      <c r="F116" s="502"/>
      <c r="G116" s="502"/>
      <c r="H116" s="531"/>
      <c r="I116" s="531"/>
      <c r="J116" s="531"/>
      <c r="K116" s="532"/>
      <c r="L116" s="533"/>
      <c r="M116" s="534"/>
      <c r="N116" s="931"/>
      <c r="O116" s="931"/>
      <c r="P116" s="1919"/>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9"/>
      <c r="Q117" s="452"/>
    </row>
    <row r="118" spans="1:17" ht="15" thickTop="1">
      <c r="A118" s="547"/>
      <c r="B118" s="486" t="s">
        <v>1742</v>
      </c>
      <c r="C118" s="531"/>
      <c r="D118" s="531"/>
      <c r="E118" s="531"/>
      <c r="F118" s="531"/>
      <c r="G118" s="531"/>
      <c r="H118" s="531"/>
      <c r="I118" s="531"/>
      <c r="J118" s="531"/>
      <c r="K118" s="532"/>
      <c r="L118" s="533"/>
      <c r="M118" s="534"/>
      <c r="N118" s="931"/>
      <c r="O118" s="931"/>
      <c r="P118" s="1919"/>
      <c r="Q118" s="452"/>
    </row>
    <row r="119" spans="1:17" ht="14.4" thickBot="1">
      <c r="A119" s="482"/>
      <c r="B119" s="491"/>
      <c r="C119" s="492">
        <v>100</v>
      </c>
      <c r="D119" s="492">
        <f t="shared" ref="D119:M119" si="27">C119-$K40</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2">
        <f t="shared" si="27"/>
        <v>100</v>
      </c>
      <c r="N119" s="932"/>
      <c r="O119" s="932"/>
      <c r="P119" s="1919"/>
      <c r="Q119" s="452"/>
    </row>
    <row r="120" spans="1:17" s="421" customFormat="1" ht="29.4" thickTop="1">
      <c r="A120" s="541"/>
      <c r="B120" s="486" t="s">
        <v>1704</v>
      </c>
      <c r="C120" s="502"/>
      <c r="D120" s="502"/>
      <c r="E120" s="502"/>
      <c r="F120" s="502"/>
      <c r="G120" s="502"/>
      <c r="H120" s="502"/>
      <c r="I120" s="502"/>
      <c r="J120" s="502"/>
      <c r="K120" s="502"/>
      <c r="L120" s="528"/>
      <c r="M120" s="529"/>
      <c r="N120" s="933"/>
      <c r="O120" s="933"/>
      <c r="P120" s="1920"/>
      <c r="Q120" s="507"/>
    </row>
    <row r="121" spans="1:17" s="421" customFormat="1" ht="14.4" thickBot="1">
      <c r="A121" s="501"/>
      <c r="B121" s="483"/>
      <c r="C121" s="508"/>
      <c r="D121" s="484"/>
      <c r="E121" s="484"/>
      <c r="F121" s="484"/>
      <c r="G121" s="484"/>
      <c r="H121" s="484"/>
      <c r="I121" s="484"/>
      <c r="J121" s="484"/>
      <c r="K121" s="484"/>
      <c r="L121" s="484"/>
      <c r="M121" s="484"/>
      <c r="N121" s="933"/>
      <c r="O121" s="933"/>
      <c r="P121" s="1920"/>
      <c r="Q121" s="507"/>
    </row>
    <row r="122" spans="1:17" ht="15" thickTop="1">
      <c r="A122" s="547"/>
      <c r="B122" s="486" t="s">
        <v>1743</v>
      </c>
      <c r="C122" s="502"/>
      <c r="D122" s="502"/>
      <c r="E122" s="502"/>
      <c r="F122" s="531"/>
      <c r="G122" s="531"/>
      <c r="H122" s="531"/>
      <c r="I122" s="531"/>
      <c r="J122" s="531"/>
      <c r="K122" s="532"/>
      <c r="L122" s="533"/>
      <c r="M122" s="534"/>
      <c r="N122" s="931"/>
      <c r="O122" s="931"/>
      <c r="P122" s="1919"/>
      <c r="Q122" s="452"/>
    </row>
    <row r="123" spans="1:17" ht="14.4" thickBot="1">
      <c r="A123" s="482"/>
      <c r="B123" s="491"/>
      <c r="C123" s="492">
        <v>100</v>
      </c>
      <c r="D123" s="492">
        <f t="shared" ref="D123:M123" si="28">C123-$K42</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2">
        <f t="shared" si="28"/>
        <v>100</v>
      </c>
      <c r="N123" s="932"/>
      <c r="O123" s="932"/>
      <c r="P123" s="1919"/>
      <c r="Q123" s="452"/>
    </row>
    <row r="124" spans="1:17" ht="29.4" thickTop="1">
      <c r="A124" s="547"/>
      <c r="B124" s="486" t="s">
        <v>1744</v>
      </c>
      <c r="C124" s="526" t="s">
        <v>1720</v>
      </c>
      <c r="D124" s="526" t="s">
        <v>1721</v>
      </c>
      <c r="E124" s="526" t="s">
        <v>1722</v>
      </c>
      <c r="F124" s="526" t="s">
        <v>1723</v>
      </c>
      <c r="G124" s="526" t="s">
        <v>1724</v>
      </c>
      <c r="H124" s="487"/>
      <c r="I124" s="487"/>
      <c r="J124" s="487"/>
      <c r="K124" s="488"/>
      <c r="L124" s="489"/>
      <c r="M124" s="490"/>
      <c r="N124" s="931"/>
      <c r="O124" s="931"/>
      <c r="P124" s="1920"/>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9"/>
      <c r="Q125" s="452"/>
    </row>
    <row r="126" spans="1:17" s="421" customFormat="1" ht="14.4" thickTop="1">
      <c r="A126" s="541"/>
      <c r="B126" s="486">
        <f>B44</f>
        <v>111</v>
      </c>
      <c r="C126" s="502"/>
      <c r="D126" s="502"/>
      <c r="E126" s="502"/>
      <c r="F126" s="502"/>
      <c r="G126" s="502"/>
      <c r="H126" s="503"/>
      <c r="I126" s="503"/>
      <c r="J126" s="503"/>
      <c r="K126" s="503"/>
      <c r="L126" s="504"/>
      <c r="M126" s="505"/>
      <c r="N126" s="933"/>
      <c r="O126" s="933"/>
      <c r="P126" s="1920"/>
      <c r="Q126" s="507"/>
    </row>
    <row r="127" spans="1:17" s="421" customFormat="1" ht="14.4" thickBot="1">
      <c r="A127" s="501"/>
      <c r="B127" s="491"/>
      <c r="C127" s="508"/>
      <c r="D127" s="484"/>
      <c r="E127" s="484"/>
      <c r="F127" s="484"/>
      <c r="G127" s="508"/>
      <c r="H127" s="510"/>
      <c r="I127" s="510"/>
      <c r="J127" s="510"/>
      <c r="K127" s="510"/>
      <c r="L127" s="510"/>
      <c r="M127" s="511"/>
      <c r="N127" s="933"/>
      <c r="O127" s="933"/>
      <c r="P127" s="1920"/>
      <c r="Q127" s="507"/>
    </row>
    <row r="128" spans="1:17" ht="14.4" thickTop="1">
      <c r="A128" s="547"/>
      <c r="B128" s="486">
        <f>B45</f>
        <v>111</v>
      </c>
      <c r="C128" s="502"/>
      <c r="D128" s="502"/>
      <c r="E128" s="502"/>
      <c r="F128" s="502"/>
      <c r="G128" s="531"/>
      <c r="H128" s="531"/>
      <c r="I128" s="531"/>
      <c r="J128" s="531"/>
      <c r="K128" s="532"/>
      <c r="L128" s="533"/>
      <c r="M128" s="534"/>
      <c r="N128" s="931"/>
      <c r="O128" s="931"/>
      <c r="P128" s="1919"/>
      <c r="Q128" s="452"/>
    </row>
    <row r="129" spans="1:17" ht="14.4" thickBot="1">
      <c r="A129" s="482"/>
      <c r="B129" s="491"/>
      <c r="C129" s="508"/>
      <c r="D129" s="508"/>
      <c r="E129" s="508"/>
      <c r="F129" s="508"/>
      <c r="G129" s="484"/>
      <c r="H129" s="484"/>
      <c r="I129" s="484"/>
      <c r="J129" s="484"/>
      <c r="K129" s="484"/>
      <c r="L129" s="484"/>
      <c r="M129" s="485"/>
      <c r="N129" s="932"/>
      <c r="O129" s="932"/>
      <c r="P129" s="1919"/>
      <c r="Q129" s="452"/>
    </row>
    <row r="130" spans="1:17" ht="14.4" thickTop="1">
      <c r="A130" s="547"/>
      <c r="B130" s="494">
        <f>B46</f>
        <v>111</v>
      </c>
      <c r="C130" s="502"/>
      <c r="D130" s="502"/>
      <c r="E130" s="502"/>
      <c r="F130" s="502"/>
      <c r="G130" s="535"/>
      <c r="H130" s="535"/>
      <c r="I130" s="535"/>
      <c r="J130" s="535"/>
      <c r="K130" s="471"/>
      <c r="L130" s="472"/>
      <c r="M130" s="538"/>
      <c r="N130" s="931"/>
      <c r="O130" s="931"/>
      <c r="P130" s="1919"/>
      <c r="Q130" s="452"/>
    </row>
    <row r="131" spans="1:17" ht="14.4" thickBot="1">
      <c r="A131" s="1925"/>
      <c r="B131" s="517"/>
      <c r="C131" s="518"/>
      <c r="D131" s="518"/>
      <c r="E131" s="518"/>
      <c r="F131" s="518"/>
      <c r="G131" s="539"/>
      <c r="H131" s="539"/>
      <c r="I131" s="539"/>
      <c r="J131" s="539"/>
      <c r="K131" s="539"/>
      <c r="L131" s="539"/>
      <c r="M131" s="540"/>
      <c r="N131" s="932"/>
      <c r="O131" s="932"/>
      <c r="P131" s="1919"/>
      <c r="Q131" s="452"/>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6" t="s">
        <v>1748</v>
      </c>
      <c r="D138" s="136" t="s">
        <v>1749</v>
      </c>
      <c r="E138" s="1934" t="s">
        <v>1750</v>
      </c>
      <c r="F138" s="1935" t="s">
        <v>1751</v>
      </c>
      <c r="G138" s="136" t="s">
        <v>1749</v>
      </c>
      <c r="H138" s="137" t="s">
        <v>1750</v>
      </c>
      <c r="I138" s="1936"/>
      <c r="J138" s="136" t="s">
        <v>1752</v>
      </c>
      <c r="K138" s="137"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0">
        <f>ROUNDUP((J139-1)/2,0)</f>
        <v>10</v>
      </c>
      <c r="K140" s="876">
        <v>100</v>
      </c>
    </row>
    <row r="141" spans="1:17" ht="15">
      <c r="B141" s="871">
        <v>4</v>
      </c>
      <c r="C141" s="872">
        <v>102</v>
      </c>
      <c r="D141" s="872"/>
      <c r="E141" s="873"/>
      <c r="F141" s="874">
        <v>101.5</v>
      </c>
      <c r="G141" s="872"/>
      <c r="H141" s="875"/>
      <c r="I141" s="1939" t="s">
        <v>1757</v>
      </c>
      <c r="J141" s="270">
        <v>1</v>
      </c>
      <c r="K141" s="877">
        <f>ROUND(100+(J141-J140)*K139*100,1)</f>
        <v>96.4</v>
      </c>
    </row>
    <row r="142" spans="1:17" ht="15">
      <c r="B142" s="871">
        <v>3</v>
      </c>
      <c r="C142" s="872">
        <v>103</v>
      </c>
      <c r="D142" s="872"/>
      <c r="E142" s="873"/>
      <c r="F142" s="874">
        <v>101</v>
      </c>
      <c r="G142" s="872"/>
      <c r="H142" s="875"/>
      <c r="I142" s="1939" t="s">
        <v>1758</v>
      </c>
      <c r="J142" s="270">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6.2"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ht="14.4">
      <c r="B147" s="1926" t="s">
        <v>1763</v>
      </c>
    </row>
    <row r="148" spans="2:11" ht="14.4">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109375" style="356" customWidth="1"/>
    <col min="5" max="5" width="14.33203125" style="356" customWidth="1"/>
    <col min="6" max="6" width="12.109375" style="356" customWidth="1"/>
    <col min="7" max="7" width="14.44140625" style="356" customWidth="1"/>
    <col min="8" max="8" width="12.109375" style="356" customWidth="1"/>
    <col min="9" max="9" width="14.44140625" style="356" customWidth="1"/>
    <col min="10" max="10" width="12.109375" style="356" customWidth="1"/>
    <col min="11" max="11" width="12.109375" style="443" customWidth="1"/>
    <col min="12" max="12" width="12.109375" style="444" customWidth="1"/>
    <col min="13" max="15" width="12.109375" style="356" customWidth="1"/>
    <col min="16" max="16" width="4.77734375" style="1913" customWidth="1"/>
    <col min="17" max="17" width="19.44140625" style="356" customWidth="1"/>
    <col min="18" max="22" width="6.109375" style="356" customWidth="1"/>
    <col min="23" max="23" width="5.77734375" style="356" customWidth="1"/>
    <col min="24" max="24" width="4.1093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1659</v>
      </c>
      <c r="B1" s="1875" t="s">
        <v>1765</v>
      </c>
      <c r="C1" s="1235" t="s">
        <v>1661</v>
      </c>
      <c r="D1" s="1222"/>
      <c r="E1" s="3423"/>
      <c r="F1" s="1876"/>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1461</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1" customFormat="1" ht="28.5" customHeight="1" thickBot="1">
      <c r="A3" s="202" t="s">
        <v>1463</v>
      </c>
      <c r="B3" s="557">
        <f>IF(C2="——",C49,ROUND(B2*10000/D3,0))</f>
        <v>0</v>
      </c>
      <c r="C3" s="353" t="s">
        <v>1767</v>
      </c>
      <c r="D3" s="352">
        <f>IF(D1="",'数据-汇总表'!E3,SUMIF('数据-汇总表'!$C19:$C33,D1,'数据-汇总表'!$E19:$E33))</f>
        <v>41238</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4.4">
      <c r="A4" s="354" t="s">
        <v>1768</v>
      </c>
      <c r="B4" s="355"/>
      <c r="C4" s="3931" t="s">
        <v>1769</v>
      </c>
      <c r="D4" s="3932"/>
      <c r="E4" s="3933" t="s">
        <v>1770</v>
      </c>
      <c r="F4" s="3934"/>
      <c r="G4" s="3931" t="s">
        <v>1771</v>
      </c>
      <c r="H4" s="3932"/>
      <c r="I4" s="3931" t="s">
        <v>1772</v>
      </c>
      <c r="J4" s="3932"/>
      <c r="K4" s="558" t="s">
        <v>1773</v>
      </c>
      <c r="L4" s="2712"/>
      <c r="M4" s="2713"/>
      <c r="N4" s="2713"/>
      <c r="O4" s="2713"/>
      <c r="P4" s="3935" t="s">
        <v>1774</v>
      </c>
      <c r="Q4" s="3936"/>
      <c r="R4" s="3918" t="s">
        <v>1770</v>
      </c>
      <c r="S4" s="3919"/>
      <c r="T4" s="3918" t="s">
        <v>1771</v>
      </c>
      <c r="U4" s="3919"/>
      <c r="V4" s="3943" t="s">
        <v>1772</v>
      </c>
      <c r="W4" s="3943"/>
      <c r="X4" s="1352"/>
      <c r="Y4" s="3918" t="s">
        <v>1774</v>
      </c>
      <c r="Z4" s="3919"/>
      <c r="AA4" s="3913" t="s">
        <v>1770</v>
      </c>
      <c r="AB4" s="3943" t="s">
        <v>1771</v>
      </c>
      <c r="AC4" s="3913" t="s">
        <v>1772</v>
      </c>
    </row>
    <row r="5" spans="1:29">
      <c r="A5" s="357"/>
      <c r="B5" s="358"/>
      <c r="C5" s="3924" t="s">
        <v>1672</v>
      </c>
      <c r="D5" s="3925"/>
      <c r="E5" s="3922" t="s">
        <v>1673</v>
      </c>
      <c r="F5" s="3923"/>
      <c r="G5" s="3924" t="s">
        <v>1674</v>
      </c>
      <c r="H5" s="3925"/>
      <c r="I5" s="3924" t="s">
        <v>1675</v>
      </c>
      <c r="J5" s="3925"/>
      <c r="K5" s="558"/>
      <c r="L5" s="2712"/>
      <c r="M5" s="2713"/>
      <c r="N5" s="2713"/>
      <c r="O5" s="2713"/>
      <c r="P5" s="3937"/>
      <c r="Q5" s="3938"/>
      <c r="R5" s="3920"/>
      <c r="S5" s="3921"/>
      <c r="T5" s="3920"/>
      <c r="U5" s="3921"/>
      <c r="V5" s="3943"/>
      <c r="W5" s="3943"/>
      <c r="X5" s="1352"/>
      <c r="Y5" s="3920"/>
      <c r="Z5" s="3921"/>
      <c r="AA5" s="3914"/>
      <c r="AB5" s="3943"/>
      <c r="AC5" s="3914"/>
    </row>
    <row r="6" spans="1:29" ht="15" thickBot="1">
      <c r="A6" s="359"/>
      <c r="B6" s="360"/>
      <c r="C6" s="3926" t="s">
        <v>1676</v>
      </c>
      <c r="D6" s="3927"/>
      <c r="E6" s="3928" t="s">
        <v>1676</v>
      </c>
      <c r="F6" s="3929"/>
      <c r="G6" s="3926" t="s">
        <v>1676</v>
      </c>
      <c r="H6" s="3927"/>
      <c r="I6" s="3926" t="s">
        <v>1676</v>
      </c>
      <c r="J6" s="3927"/>
      <c r="K6" s="558" t="s">
        <v>1677</v>
      </c>
      <c r="L6" s="2712"/>
      <c r="M6" s="2713"/>
      <c r="N6" s="2713"/>
      <c r="O6" s="2713"/>
      <c r="P6" s="3939"/>
      <c r="Q6" s="3940"/>
      <c r="R6" s="3920"/>
      <c r="S6" s="3921"/>
      <c r="T6" s="3941"/>
      <c r="U6" s="3942"/>
      <c r="V6" s="3943"/>
      <c r="W6" s="3943"/>
      <c r="X6" s="1352"/>
      <c r="Y6" s="3941"/>
      <c r="Z6" s="3942"/>
      <c r="AA6" s="3915"/>
      <c r="AB6" s="3943"/>
      <c r="AC6" s="3915"/>
    </row>
    <row r="7" spans="1:29" s="108" customFormat="1" ht="15" thickBot="1">
      <c r="A7" s="361" t="s">
        <v>1678</v>
      </c>
      <c r="B7" s="362"/>
      <c r="C7" s="363">
        <f>'数据-取费表'!B2</f>
        <v>45511</v>
      </c>
      <c r="D7" s="364">
        <v>100</v>
      </c>
      <c r="E7" s="365"/>
      <c r="F7" s="366">
        <f>SUMIF(58:58,YEAR(E7)&amp;"-"&amp;MONTH(E7),59:59)</f>
        <v>0</v>
      </c>
      <c r="G7" s="365"/>
      <c r="H7" s="364">
        <f>SUMIF(58:58,YEAR(G7)&amp;"-"&amp;MONTH(G7),59:59)</f>
        <v>0</v>
      </c>
      <c r="I7" s="365"/>
      <c r="J7" s="364">
        <f>SUMIF(58:58,YEAR(I7)&amp;"-"&amp;MONTH(I7),59:59)</f>
        <v>0</v>
      </c>
      <c r="K7" s="559"/>
      <c r="L7" s="2714"/>
      <c r="M7" s="2715"/>
      <c r="N7" s="2715"/>
      <c r="O7" s="2715"/>
      <c r="P7" s="3916" t="s">
        <v>1679</v>
      </c>
      <c r="Q7" s="3944"/>
      <c r="R7" s="699" t="s">
        <v>14</v>
      </c>
      <c r="S7" s="700">
        <f t="shared" ref="S7:S15" si="0">F7</f>
        <v>0</v>
      </c>
      <c r="T7" s="699" t="s">
        <v>14</v>
      </c>
      <c r="U7" s="700">
        <f t="shared" ref="U7:U15" si="1">H7</f>
        <v>0</v>
      </c>
      <c r="V7" s="699" t="s">
        <v>14</v>
      </c>
      <c r="W7" s="700">
        <f t="shared" ref="W7:W15" si="2">J7</f>
        <v>0</v>
      </c>
      <c r="X7" s="701"/>
      <c r="Y7" s="3916" t="s">
        <v>1679</v>
      </c>
      <c r="Z7" s="3917"/>
      <c r="AA7" s="702" t="e">
        <f>D7/F7</f>
        <v>#DIV/0!</v>
      </c>
      <c r="AB7" s="702" t="e">
        <f>D7/H7</f>
        <v>#DIV/0!</v>
      </c>
      <c r="AC7" s="702" t="e">
        <f>D7/J7</f>
        <v>#DIV/0!</v>
      </c>
    </row>
    <row r="8" spans="1:29" s="108" customFormat="1" ht="1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916" t="s">
        <v>1682</v>
      </c>
      <c r="Q8" s="3917"/>
      <c r="R8" s="699" t="s">
        <v>14</v>
      </c>
      <c r="S8" s="700">
        <f t="shared" si="0"/>
        <v>100</v>
      </c>
      <c r="T8" s="699" t="s">
        <v>14</v>
      </c>
      <c r="U8" s="700">
        <f t="shared" si="1"/>
        <v>100</v>
      </c>
      <c r="V8" s="699" t="s">
        <v>14</v>
      </c>
      <c r="W8" s="700">
        <f t="shared" si="2"/>
        <v>100</v>
      </c>
      <c r="X8" s="701"/>
      <c r="Y8" s="3916" t="s">
        <v>1682</v>
      </c>
      <c r="Z8" s="3917"/>
      <c r="AA8" s="702">
        <f t="shared" ref="AA8:AA46" si="3">D8/F8</f>
        <v>1</v>
      </c>
      <c r="AB8" s="702">
        <f t="shared" ref="AB8:AB46" si="4">D8/H8</f>
        <v>1</v>
      </c>
      <c r="AC8" s="702">
        <f t="shared" ref="AC8:AC46" si="5">D8/J8</f>
        <v>1</v>
      </c>
    </row>
    <row r="9" spans="1:29" s="108" customFormat="1" ht="14.4">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930" t="s">
        <v>1685</v>
      </c>
      <c r="Q9" s="1340" t="str">
        <f t="shared" ref="Q9:Q15" si="6">B9</f>
        <v>用途</v>
      </c>
      <c r="R9" s="699" t="s">
        <v>14</v>
      </c>
      <c r="S9" s="700">
        <f t="shared" si="0"/>
        <v>100</v>
      </c>
      <c r="T9" s="699" t="s">
        <v>14</v>
      </c>
      <c r="U9" s="700">
        <f t="shared" si="1"/>
        <v>100</v>
      </c>
      <c r="V9" s="699" t="s">
        <v>14</v>
      </c>
      <c r="W9" s="700">
        <f t="shared" si="2"/>
        <v>100</v>
      </c>
      <c r="X9" s="701"/>
      <c r="Y9" s="3840" t="s">
        <v>1686</v>
      </c>
      <c r="Z9" s="52" t="str">
        <f t="shared" ref="Z9:Z15" si="7">Q9</f>
        <v>用途</v>
      </c>
      <c r="AA9" s="702">
        <f t="shared" si="3"/>
        <v>1</v>
      </c>
      <c r="AB9" s="702">
        <f t="shared" si="4"/>
        <v>1</v>
      </c>
      <c r="AC9" s="702">
        <f t="shared" si="5"/>
        <v>1</v>
      </c>
    </row>
    <row r="10" spans="1:29" s="377" customFormat="1" ht="28.8">
      <c r="A10" s="373"/>
      <c r="B10" s="374" t="s">
        <v>1687</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930"/>
      <c r="Q10" s="1340" t="str">
        <f t="shared" si="6"/>
        <v>土地使用年限（年）</v>
      </c>
      <c r="R10" s="699" t="s">
        <v>14</v>
      </c>
      <c r="S10" s="700">
        <f t="shared" si="0"/>
        <v>100</v>
      </c>
      <c r="T10" s="699" t="s">
        <v>14</v>
      </c>
      <c r="U10" s="700">
        <f t="shared" si="1"/>
        <v>100</v>
      </c>
      <c r="V10" s="699" t="s">
        <v>14</v>
      </c>
      <c r="W10" s="700">
        <f t="shared" si="2"/>
        <v>100</v>
      </c>
      <c r="X10" s="701"/>
      <c r="Y10" s="3840"/>
      <c r="Z10" s="52" t="str">
        <f t="shared" si="7"/>
        <v>土地使用年限（年）</v>
      </c>
      <c r="AA10" s="702">
        <f t="shared" si="3"/>
        <v>1</v>
      </c>
      <c r="AB10" s="702">
        <f t="shared" si="4"/>
        <v>1</v>
      </c>
      <c r="AC10" s="702">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930"/>
      <c r="Q11" s="1340" t="str">
        <f t="shared" si="6"/>
        <v>容积率</v>
      </c>
      <c r="R11" s="699" t="s">
        <v>14</v>
      </c>
      <c r="S11" s="700" t="e">
        <f t="shared" si="0"/>
        <v>#N/A</v>
      </c>
      <c r="T11" s="699" t="s">
        <v>14</v>
      </c>
      <c r="U11" s="700" t="e">
        <f t="shared" si="1"/>
        <v>#N/A</v>
      </c>
      <c r="V11" s="699" t="s">
        <v>14</v>
      </c>
      <c r="W11" s="700" t="e">
        <f t="shared" si="2"/>
        <v>#N/A</v>
      </c>
      <c r="X11" s="701"/>
      <c r="Y11" s="3840"/>
      <c r="Z11" s="52" t="str">
        <f t="shared" si="7"/>
        <v>容积率</v>
      </c>
      <c r="AA11" s="702" t="e">
        <f t="shared" si="3"/>
        <v>#N/A</v>
      </c>
      <c r="AB11" s="702" t="e">
        <f t="shared" si="4"/>
        <v>#N/A</v>
      </c>
      <c r="AC11" s="702"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930"/>
      <c r="Q12" s="1340">
        <f t="shared" si="6"/>
        <v>111</v>
      </c>
      <c r="R12" s="699" t="s">
        <v>14</v>
      </c>
      <c r="S12" s="700">
        <f t="shared" si="0"/>
        <v>100</v>
      </c>
      <c r="T12" s="699" t="s">
        <v>14</v>
      </c>
      <c r="U12" s="700">
        <f t="shared" si="1"/>
        <v>100</v>
      </c>
      <c r="V12" s="699" t="s">
        <v>14</v>
      </c>
      <c r="W12" s="700">
        <f t="shared" si="2"/>
        <v>100</v>
      </c>
      <c r="X12" s="701"/>
      <c r="Y12" s="3840"/>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930"/>
      <c r="Q13" s="1340">
        <f t="shared" si="6"/>
        <v>111</v>
      </c>
      <c r="R13" s="699" t="s">
        <v>14</v>
      </c>
      <c r="S13" s="700">
        <f t="shared" si="0"/>
        <v>100</v>
      </c>
      <c r="T13" s="699" t="s">
        <v>14</v>
      </c>
      <c r="U13" s="700">
        <f t="shared" si="1"/>
        <v>100</v>
      </c>
      <c r="V13" s="699" t="s">
        <v>14</v>
      </c>
      <c r="W13" s="700">
        <f t="shared" si="2"/>
        <v>100</v>
      </c>
      <c r="X13" s="701"/>
      <c r="Y13" s="3840"/>
      <c r="Z13" s="52">
        <f t="shared" si="7"/>
        <v>111</v>
      </c>
      <c r="AA13" s="702">
        <f t="shared" si="3"/>
        <v>1</v>
      </c>
      <c r="AB13" s="702">
        <f t="shared" si="4"/>
        <v>1</v>
      </c>
      <c r="AC13" s="702">
        <f t="shared" si="5"/>
        <v>1</v>
      </c>
    </row>
    <row r="14" spans="1:29" ht="15.6"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930"/>
      <c r="Q14" s="1340">
        <f t="shared" si="6"/>
        <v>111</v>
      </c>
      <c r="R14" s="699" t="s">
        <v>14</v>
      </c>
      <c r="S14" s="700">
        <f t="shared" si="0"/>
        <v>100</v>
      </c>
      <c r="T14" s="699" t="s">
        <v>14</v>
      </c>
      <c r="U14" s="700">
        <f t="shared" si="1"/>
        <v>100</v>
      </c>
      <c r="V14" s="699" t="s">
        <v>14</v>
      </c>
      <c r="W14" s="700">
        <f t="shared" si="2"/>
        <v>100</v>
      </c>
      <c r="X14" s="701"/>
      <c r="Y14" s="3840"/>
      <c r="Z14" s="52">
        <f t="shared" si="7"/>
        <v>111</v>
      </c>
      <c r="AA14" s="702">
        <f t="shared" si="3"/>
        <v>1</v>
      </c>
      <c r="AB14" s="702">
        <f t="shared" si="4"/>
        <v>1</v>
      </c>
      <c r="AC14" s="702">
        <f t="shared" si="5"/>
        <v>1</v>
      </c>
    </row>
    <row r="15" spans="1:29" ht="69">
      <c r="A15" s="390" t="s">
        <v>1689</v>
      </c>
      <c r="B15" s="61" t="s">
        <v>1776</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957" t="s">
        <v>1690</v>
      </c>
      <c r="Q15" s="1349" t="str">
        <f t="shared" si="6"/>
        <v>商业繁华度</v>
      </c>
      <c r="R15" s="703" t="s">
        <v>14</v>
      </c>
      <c r="S15" s="704">
        <f t="shared" si="0"/>
        <v>100</v>
      </c>
      <c r="T15" s="703" t="s">
        <v>14</v>
      </c>
      <c r="U15" s="704">
        <f t="shared" si="1"/>
        <v>100</v>
      </c>
      <c r="V15" s="703" t="s">
        <v>14</v>
      </c>
      <c r="W15" s="704">
        <f t="shared" si="2"/>
        <v>100</v>
      </c>
      <c r="X15" s="1352"/>
      <c r="Y15" s="3950" t="s">
        <v>1690</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958"/>
      <c r="Q16" s="1349"/>
      <c r="R16" s="703"/>
      <c r="S16" s="704"/>
      <c r="T16" s="703"/>
      <c r="U16" s="704"/>
      <c r="V16" s="703"/>
      <c r="W16" s="704"/>
      <c r="X16" s="1352"/>
      <c r="Y16" s="3951"/>
      <c r="Z16" s="1353"/>
      <c r="AA16" s="1350">
        <v>1</v>
      </c>
      <c r="AB16" s="1350">
        <v>1</v>
      </c>
      <c r="AC16" s="1350">
        <v>1</v>
      </c>
    </row>
    <row r="17" spans="1:29" ht="82.8">
      <c r="A17" s="378"/>
      <c r="B17" s="401" t="s">
        <v>1258</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958"/>
      <c r="Q17" s="1349" t="str">
        <f>B17</f>
        <v>交通便捷度</v>
      </c>
      <c r="R17" s="703" t="s">
        <v>14</v>
      </c>
      <c r="S17" s="704">
        <f>F17</f>
        <v>100</v>
      </c>
      <c r="T17" s="703" t="s">
        <v>14</v>
      </c>
      <c r="U17" s="704">
        <f>H17</f>
        <v>100</v>
      </c>
      <c r="V17" s="703" t="s">
        <v>14</v>
      </c>
      <c r="W17" s="704">
        <f>J17</f>
        <v>100</v>
      </c>
      <c r="X17" s="1352"/>
      <c r="Y17" s="3951"/>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958"/>
      <c r="Q18" s="1349"/>
      <c r="R18" s="703"/>
      <c r="S18" s="704"/>
      <c r="T18" s="703"/>
      <c r="U18" s="704"/>
      <c r="V18" s="703"/>
      <c r="W18" s="704"/>
      <c r="X18" s="1352"/>
      <c r="Y18" s="3951"/>
      <c r="Z18" s="1353"/>
      <c r="AA18" s="1350">
        <v>1</v>
      </c>
      <c r="AB18" s="1350">
        <v>1</v>
      </c>
      <c r="AC18" s="1350">
        <v>1</v>
      </c>
    </row>
    <row r="19" spans="1:29" ht="41.4">
      <c r="A19" s="378"/>
      <c r="B19" s="401" t="s">
        <v>1777</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958"/>
      <c r="Q19" s="1349" t="str">
        <f>B19</f>
        <v>公共配套设施</v>
      </c>
      <c r="R19" s="703" t="s">
        <v>14</v>
      </c>
      <c r="S19" s="704">
        <f>F19</f>
        <v>100</v>
      </c>
      <c r="T19" s="703" t="s">
        <v>14</v>
      </c>
      <c r="U19" s="704">
        <f>H19</f>
        <v>100</v>
      </c>
      <c r="V19" s="703" t="s">
        <v>14</v>
      </c>
      <c r="W19" s="704">
        <f>J19</f>
        <v>100</v>
      </c>
      <c r="X19" s="1352"/>
      <c r="Y19" s="3951"/>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958"/>
      <c r="Q20" s="1349"/>
      <c r="R20" s="703"/>
      <c r="S20" s="704"/>
      <c r="T20" s="703"/>
      <c r="U20" s="704"/>
      <c r="V20" s="703"/>
      <c r="W20" s="704"/>
      <c r="X20" s="1352"/>
      <c r="Y20" s="3951"/>
      <c r="Z20" s="1353"/>
      <c r="AA20" s="1350">
        <v>1</v>
      </c>
      <c r="AB20" s="1350">
        <v>1</v>
      </c>
      <c r="AC20" s="1350">
        <v>1</v>
      </c>
    </row>
    <row r="21" spans="1:29" ht="27.6">
      <c r="A21" s="378"/>
      <c r="B21" s="1128" t="s">
        <v>1778</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958"/>
      <c r="Q21" s="1349" t="str">
        <f>B21</f>
        <v>基础设施水平</v>
      </c>
      <c r="R21" s="703" t="s">
        <v>14</v>
      </c>
      <c r="S21" s="704">
        <f>F21</f>
        <v>100</v>
      </c>
      <c r="T21" s="703" t="s">
        <v>14</v>
      </c>
      <c r="U21" s="704">
        <f>H21</f>
        <v>100</v>
      </c>
      <c r="V21" s="703" t="s">
        <v>14</v>
      </c>
      <c r="W21" s="704">
        <f>J21</f>
        <v>100</v>
      </c>
      <c r="X21" s="1352"/>
      <c r="Y21" s="3951"/>
      <c r="Z21" s="1353" t="str">
        <f>Q21</f>
        <v>基础设施水平</v>
      </c>
      <c r="AA21" s="1350">
        <f>D21/F21</f>
        <v>1</v>
      </c>
      <c r="AB21" s="1350">
        <f>D21/H21</f>
        <v>1</v>
      </c>
      <c r="AC21" s="1350">
        <f>D21/J21</f>
        <v>1</v>
      </c>
    </row>
    <row r="22" spans="1:29" ht="15">
      <c r="A22" s="378"/>
      <c r="B22" s="1128"/>
      <c r="C22" s="1898"/>
      <c r="D22" s="398"/>
      <c r="E22" s="397"/>
      <c r="F22" s="399"/>
      <c r="G22" s="397"/>
      <c r="H22" s="398"/>
      <c r="I22" s="397"/>
      <c r="J22" s="398"/>
      <c r="K22" s="1127"/>
      <c r="L22" s="2719"/>
      <c r="M22" s="2713"/>
      <c r="N22" s="2713"/>
      <c r="O22" s="2713"/>
      <c r="P22" s="3958"/>
      <c r="Q22" s="1349"/>
      <c r="R22" s="703"/>
      <c r="S22" s="704"/>
      <c r="T22" s="703"/>
      <c r="U22" s="704"/>
      <c r="V22" s="703"/>
      <c r="W22" s="704"/>
      <c r="X22" s="1352"/>
      <c r="Y22" s="3951"/>
      <c r="Z22" s="1353"/>
      <c r="AA22" s="1350">
        <v>1</v>
      </c>
      <c r="AB22" s="1350">
        <v>1</v>
      </c>
      <c r="AC22" s="1350">
        <v>1</v>
      </c>
    </row>
    <row r="23" spans="1:29" ht="55.2">
      <c r="A23" s="378"/>
      <c r="B23" s="401" t="s">
        <v>1260</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958"/>
      <c r="Q23" s="1349" t="str">
        <f>B23</f>
        <v>自然及人文环境</v>
      </c>
      <c r="R23" s="703" t="s">
        <v>14</v>
      </c>
      <c r="S23" s="704">
        <f>F23</f>
        <v>100</v>
      </c>
      <c r="T23" s="703" t="s">
        <v>14</v>
      </c>
      <c r="U23" s="704">
        <f>H23</f>
        <v>100</v>
      </c>
      <c r="V23" s="703" t="s">
        <v>14</v>
      </c>
      <c r="W23" s="704">
        <f>J23</f>
        <v>100</v>
      </c>
      <c r="X23" s="1352"/>
      <c r="Y23" s="3951"/>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958"/>
      <c r="Q24" s="1349"/>
      <c r="R24" s="703"/>
      <c r="S24" s="704"/>
      <c r="T24" s="703"/>
      <c r="U24" s="704"/>
      <c r="V24" s="703"/>
      <c r="W24" s="704"/>
      <c r="X24" s="1352"/>
      <c r="Y24" s="3951"/>
      <c r="Z24" s="1353"/>
      <c r="AA24" s="1350">
        <v>1</v>
      </c>
      <c r="AB24" s="1350">
        <v>1</v>
      </c>
      <c r="AC24" s="1350">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958"/>
      <c r="Q25" s="1349" t="str">
        <f t="shared" ref="Q25:Q46" si="8">B25</f>
        <v>临街状况</v>
      </c>
      <c r="R25" s="703" t="s">
        <v>14</v>
      </c>
      <c r="S25" s="704">
        <f>F25</f>
        <v>100</v>
      </c>
      <c r="T25" s="703" t="s">
        <v>14</v>
      </c>
      <c r="U25" s="704">
        <f>H25</f>
        <v>100</v>
      </c>
      <c r="V25" s="703" t="s">
        <v>14</v>
      </c>
      <c r="W25" s="704">
        <f>J25</f>
        <v>100</v>
      </c>
      <c r="X25" s="1352"/>
      <c r="Y25" s="3951"/>
      <c r="Z25" s="1353" t="str">
        <f>Q25</f>
        <v>临街状况</v>
      </c>
      <c r="AA25" s="1350">
        <f t="shared" si="3"/>
        <v>1</v>
      </c>
      <c r="AB25" s="1350">
        <f t="shared" si="4"/>
        <v>1</v>
      </c>
      <c r="AC25" s="1350">
        <f t="shared" si="5"/>
        <v>1</v>
      </c>
    </row>
    <row r="26" spans="1:29" ht="15">
      <c r="A26" s="378"/>
      <c r="B26" s="1130" t="s">
        <v>1780</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958"/>
      <c r="Q26" s="1349" t="str">
        <f t="shared" si="8"/>
        <v>平面位置/可视性</v>
      </c>
      <c r="R26" s="703" t="s">
        <v>14</v>
      </c>
      <c r="S26" s="704">
        <f>F26</f>
        <v>100</v>
      </c>
      <c r="T26" s="703" t="s">
        <v>14</v>
      </c>
      <c r="U26" s="704">
        <f>H26</f>
        <v>100</v>
      </c>
      <c r="V26" s="703" t="s">
        <v>14</v>
      </c>
      <c r="W26" s="704">
        <f>J26</f>
        <v>100</v>
      </c>
      <c r="X26" s="1352"/>
      <c r="Y26" s="3951"/>
      <c r="Z26" s="1353" t="str">
        <f>Q26</f>
        <v>平面位置/可视性</v>
      </c>
      <c r="AA26" s="1350">
        <f t="shared" si="3"/>
        <v>1</v>
      </c>
      <c r="AB26" s="1350">
        <f t="shared" si="4"/>
        <v>1</v>
      </c>
      <c r="AC26" s="1350">
        <f t="shared" si="5"/>
        <v>1</v>
      </c>
    </row>
    <row r="27" spans="1:29" s="108" customFormat="1" ht="15">
      <c r="A27" s="381"/>
      <c r="B27" s="401" t="s">
        <v>1781</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958"/>
      <c r="Q27" s="1340" t="str">
        <f t="shared" si="8"/>
        <v>人流量</v>
      </c>
      <c r="R27" s="699" t="s">
        <v>14</v>
      </c>
      <c r="S27" s="700">
        <f>F27</f>
        <v>100</v>
      </c>
      <c r="T27" s="699" t="s">
        <v>14</v>
      </c>
      <c r="U27" s="700">
        <f>H27</f>
        <v>100</v>
      </c>
      <c r="V27" s="699" t="s">
        <v>14</v>
      </c>
      <c r="W27" s="700">
        <f>J27</f>
        <v>100</v>
      </c>
      <c r="X27" s="701"/>
      <c r="Y27" s="3951"/>
      <c r="Z27" s="52" t="str">
        <f>Q27</f>
        <v>人流量</v>
      </c>
      <c r="AA27" s="1350">
        <f>D27/F27</f>
        <v>1</v>
      </c>
      <c r="AB27" s="1350">
        <f>D27/H27</f>
        <v>1</v>
      </c>
      <c r="AC27" s="1350">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958"/>
      <c r="Q28" s="1349" t="str">
        <f t="shared" si="8"/>
        <v>楼层</v>
      </c>
      <c r="R28" s="703" t="s">
        <v>14</v>
      </c>
      <c r="S28" s="704">
        <f t="shared" ref="S28:S46" si="9">F28</f>
        <v>100</v>
      </c>
      <c r="T28" s="703" t="s">
        <v>14</v>
      </c>
      <c r="U28" s="704">
        <f t="shared" ref="U28:U46" si="10">H28</f>
        <v>100</v>
      </c>
      <c r="V28" s="703" t="s">
        <v>14</v>
      </c>
      <c r="W28" s="704">
        <f t="shared" ref="W28:W46" si="11">J28</f>
        <v>100</v>
      </c>
      <c r="X28" s="1352"/>
      <c r="Y28" s="3951"/>
      <c r="Z28" s="1353" t="str">
        <f t="shared" ref="Z28:Z46" si="12">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958"/>
      <c r="Q29" s="1349">
        <f t="shared" si="8"/>
        <v>111</v>
      </c>
      <c r="R29" s="703" t="s">
        <v>14</v>
      </c>
      <c r="S29" s="704">
        <f t="shared" si="9"/>
        <v>100</v>
      </c>
      <c r="T29" s="703" t="s">
        <v>14</v>
      </c>
      <c r="U29" s="704">
        <f t="shared" si="10"/>
        <v>100</v>
      </c>
      <c r="V29" s="703" t="s">
        <v>14</v>
      </c>
      <c r="W29" s="704">
        <f t="shared" si="11"/>
        <v>100</v>
      </c>
      <c r="X29" s="1352"/>
      <c r="Y29" s="3951"/>
      <c r="Z29" s="1353">
        <f t="shared" si="12"/>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958"/>
      <c r="Q30" s="1349">
        <f t="shared" si="8"/>
        <v>111</v>
      </c>
      <c r="R30" s="703" t="s">
        <v>14</v>
      </c>
      <c r="S30" s="704">
        <f t="shared" si="9"/>
        <v>100</v>
      </c>
      <c r="T30" s="703" t="s">
        <v>14</v>
      </c>
      <c r="U30" s="704">
        <f t="shared" si="10"/>
        <v>100</v>
      </c>
      <c r="V30" s="703" t="s">
        <v>14</v>
      </c>
      <c r="W30" s="704">
        <f t="shared" si="11"/>
        <v>100</v>
      </c>
      <c r="X30" s="1352"/>
      <c r="Y30" s="3951"/>
      <c r="Z30" s="1353">
        <f t="shared" si="12"/>
        <v>111</v>
      </c>
      <c r="AA30" s="1350">
        <f t="shared" si="3"/>
        <v>1</v>
      </c>
      <c r="AB30" s="1350">
        <f t="shared" si="4"/>
        <v>1</v>
      </c>
      <c r="AC30" s="1350">
        <f t="shared" si="5"/>
        <v>1</v>
      </c>
    </row>
    <row r="31" spans="1:29" ht="15.6"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958"/>
      <c r="Q31" s="1349">
        <f t="shared" si="8"/>
        <v>111</v>
      </c>
      <c r="R31" s="703" t="s">
        <v>14</v>
      </c>
      <c r="S31" s="704">
        <f t="shared" si="9"/>
        <v>100</v>
      </c>
      <c r="T31" s="703" t="s">
        <v>14</v>
      </c>
      <c r="U31" s="704">
        <f t="shared" si="10"/>
        <v>100</v>
      </c>
      <c r="V31" s="703" t="s">
        <v>14</v>
      </c>
      <c r="W31" s="704">
        <f t="shared" si="11"/>
        <v>100</v>
      </c>
      <c r="X31" s="1352"/>
      <c r="Y31" s="3951"/>
      <c r="Z31" s="1353">
        <f t="shared" si="12"/>
        <v>111</v>
      </c>
      <c r="AA31" s="1350">
        <f t="shared" si="3"/>
        <v>1</v>
      </c>
      <c r="AB31" s="1350">
        <f t="shared" si="4"/>
        <v>1</v>
      </c>
      <c r="AC31" s="1350">
        <f t="shared" si="5"/>
        <v>1</v>
      </c>
    </row>
    <row r="32" spans="1:29" ht="15">
      <c r="A32" s="390" t="s">
        <v>1693</v>
      </c>
      <c r="B32" s="63" t="s">
        <v>1783</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952" t="s">
        <v>1695</v>
      </c>
      <c r="Q32" s="1349" t="str">
        <f t="shared" si="8"/>
        <v>商业类型</v>
      </c>
      <c r="R32" s="703" t="s">
        <v>14</v>
      </c>
      <c r="S32" s="704">
        <f t="shared" si="9"/>
        <v>100</v>
      </c>
      <c r="T32" s="703" t="s">
        <v>14</v>
      </c>
      <c r="U32" s="704">
        <f t="shared" si="10"/>
        <v>100</v>
      </c>
      <c r="V32" s="703" t="s">
        <v>14</v>
      </c>
      <c r="W32" s="704">
        <f t="shared" si="11"/>
        <v>100</v>
      </c>
      <c r="X32" s="1352"/>
      <c r="Y32" s="3955" t="s">
        <v>1695</v>
      </c>
      <c r="Z32" s="1353" t="str">
        <f t="shared" si="12"/>
        <v>商业类型</v>
      </c>
      <c r="AA32" s="1350">
        <f t="shared" si="3"/>
        <v>1</v>
      </c>
      <c r="AB32" s="1350">
        <f t="shared" si="4"/>
        <v>1</v>
      </c>
      <c r="AC32" s="1350">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953"/>
      <c r="Q33" s="705" t="str">
        <f t="shared" si="8"/>
        <v>项目建筑规模</v>
      </c>
      <c r="R33" s="706" t="s">
        <v>14</v>
      </c>
      <c r="S33" s="707" t="e">
        <f t="shared" si="9"/>
        <v>#N/A</v>
      </c>
      <c r="T33" s="706" t="s">
        <v>14</v>
      </c>
      <c r="U33" s="707" t="e">
        <f t="shared" si="10"/>
        <v>#N/A</v>
      </c>
      <c r="V33" s="706" t="s">
        <v>14</v>
      </c>
      <c r="W33" s="707" t="e">
        <f t="shared" si="11"/>
        <v>#N/A</v>
      </c>
      <c r="X33" s="708"/>
      <c r="Y33" s="3955"/>
      <c r="Z33" s="709" t="str">
        <f t="shared" si="12"/>
        <v>项目建筑规模</v>
      </c>
      <c r="AA33" s="1350" t="e">
        <f t="shared" si="3"/>
        <v>#N/A</v>
      </c>
      <c r="AB33" s="1350" t="e">
        <f t="shared" si="4"/>
        <v>#N/A</v>
      </c>
      <c r="AC33" s="1350" t="e">
        <f t="shared" si="5"/>
        <v>#N/A</v>
      </c>
    </row>
    <row r="34" spans="1:29" ht="15">
      <c r="A34" s="422"/>
      <c r="B34" s="374" t="s">
        <v>1697</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953"/>
      <c r="Q34" s="1349" t="str">
        <f t="shared" si="8"/>
        <v>建筑结构</v>
      </c>
      <c r="R34" s="703" t="s">
        <v>14</v>
      </c>
      <c r="S34" s="704">
        <f t="shared" si="9"/>
        <v>100</v>
      </c>
      <c r="T34" s="703" t="s">
        <v>14</v>
      </c>
      <c r="U34" s="704">
        <f t="shared" si="10"/>
        <v>100</v>
      </c>
      <c r="V34" s="703" t="s">
        <v>14</v>
      </c>
      <c r="W34" s="704">
        <f t="shared" si="11"/>
        <v>100</v>
      </c>
      <c r="X34" s="1352"/>
      <c r="Y34" s="3955"/>
      <c r="Z34" s="1353" t="str">
        <f t="shared" si="12"/>
        <v>建筑结构</v>
      </c>
      <c r="AA34" s="1350">
        <f t="shared" si="3"/>
        <v>1</v>
      </c>
      <c r="AB34" s="1350">
        <f t="shared" si="4"/>
        <v>1</v>
      </c>
      <c r="AC34" s="1350">
        <f t="shared" si="5"/>
        <v>1</v>
      </c>
    </row>
    <row r="35" spans="1:29" ht="15">
      <c r="A35" s="422"/>
      <c r="B35" s="374" t="s">
        <v>1784</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953"/>
      <c r="Q35" s="1349" t="str">
        <f t="shared" si="8"/>
        <v>公共部分装修</v>
      </c>
      <c r="R35" s="703" t="s">
        <v>14</v>
      </c>
      <c r="S35" s="704">
        <f t="shared" si="9"/>
        <v>100</v>
      </c>
      <c r="T35" s="703" t="s">
        <v>14</v>
      </c>
      <c r="U35" s="704">
        <f t="shared" si="10"/>
        <v>100</v>
      </c>
      <c r="V35" s="703" t="s">
        <v>14</v>
      </c>
      <c r="W35" s="704">
        <f t="shared" si="11"/>
        <v>100</v>
      </c>
      <c r="X35" s="1352"/>
      <c r="Y35" s="3955"/>
      <c r="Z35" s="1353" t="str">
        <f t="shared" si="12"/>
        <v>公共部分装修</v>
      </c>
      <c r="AA35" s="1350">
        <f t="shared" si="3"/>
        <v>1</v>
      </c>
      <c r="AB35" s="1350">
        <f t="shared" si="4"/>
        <v>1</v>
      </c>
      <c r="AC35" s="1350">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953"/>
      <c r="Q36" s="1349" t="str">
        <f t="shared" si="8"/>
        <v>成新度</v>
      </c>
      <c r="R36" s="703" t="s">
        <v>14</v>
      </c>
      <c r="S36" s="704" t="e">
        <f t="shared" si="9"/>
        <v>#N/A</v>
      </c>
      <c r="T36" s="703" t="s">
        <v>14</v>
      </c>
      <c r="U36" s="704" t="e">
        <f t="shared" si="10"/>
        <v>#N/A</v>
      </c>
      <c r="V36" s="703" t="s">
        <v>14</v>
      </c>
      <c r="W36" s="704" t="e">
        <f t="shared" si="11"/>
        <v>#N/A</v>
      </c>
      <c r="X36" s="1352"/>
      <c r="Y36" s="3955"/>
      <c r="Z36" s="1353" t="str">
        <f t="shared" si="12"/>
        <v>成新度</v>
      </c>
      <c r="AA36" s="1350" t="e">
        <f t="shared" si="3"/>
        <v>#N/A</v>
      </c>
      <c r="AB36" s="1350" t="e">
        <f t="shared" si="4"/>
        <v>#N/A</v>
      </c>
      <c r="AC36" s="1350" t="e">
        <f t="shared" si="5"/>
        <v>#N/A</v>
      </c>
    </row>
    <row r="37" spans="1:29" s="108" customFormat="1" ht="15">
      <c r="A37" s="423"/>
      <c r="B37" s="374" t="s">
        <v>1786</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953"/>
      <c r="Q37" s="1340" t="str">
        <f t="shared" si="8"/>
        <v>市政基础设施</v>
      </c>
      <c r="R37" s="699" t="s">
        <v>14</v>
      </c>
      <c r="S37" s="700">
        <f t="shared" si="9"/>
        <v>100</v>
      </c>
      <c r="T37" s="699" t="s">
        <v>14</v>
      </c>
      <c r="U37" s="700">
        <f t="shared" si="10"/>
        <v>100</v>
      </c>
      <c r="V37" s="699" t="s">
        <v>14</v>
      </c>
      <c r="W37" s="700">
        <f t="shared" si="11"/>
        <v>100</v>
      </c>
      <c r="X37" s="701"/>
      <c r="Y37" s="3955"/>
      <c r="Z37" s="52" t="str">
        <f t="shared" si="12"/>
        <v>市政基础设施</v>
      </c>
      <c r="AA37" s="702">
        <f t="shared" si="3"/>
        <v>1</v>
      </c>
      <c r="AB37" s="702">
        <f t="shared" si="4"/>
        <v>1</v>
      </c>
      <c r="AC37" s="702">
        <f t="shared" si="5"/>
        <v>1</v>
      </c>
    </row>
    <row r="38" spans="1:29" ht="15">
      <c r="A38" s="422"/>
      <c r="B38" s="374" t="s">
        <v>1787</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953" t="s">
        <v>1695</v>
      </c>
      <c r="Q38" s="1349" t="str">
        <f t="shared" si="8"/>
        <v>业态</v>
      </c>
      <c r="R38" s="703" t="s">
        <v>14</v>
      </c>
      <c r="S38" s="704">
        <f t="shared" si="9"/>
        <v>100</v>
      </c>
      <c r="T38" s="703" t="s">
        <v>14</v>
      </c>
      <c r="U38" s="704">
        <f t="shared" si="10"/>
        <v>100</v>
      </c>
      <c r="V38" s="703" t="s">
        <v>14</v>
      </c>
      <c r="W38" s="704">
        <f t="shared" si="11"/>
        <v>100</v>
      </c>
      <c r="X38" s="1352"/>
      <c r="Y38" s="3955" t="s">
        <v>1695</v>
      </c>
      <c r="Z38" s="1353" t="str">
        <f t="shared" si="12"/>
        <v>业态</v>
      </c>
      <c r="AA38" s="1350">
        <f t="shared" si="3"/>
        <v>1</v>
      </c>
      <c r="AB38" s="1350">
        <f t="shared" si="4"/>
        <v>1</v>
      </c>
      <c r="AC38" s="1350">
        <f t="shared" si="5"/>
        <v>1</v>
      </c>
    </row>
    <row r="39" spans="1:29" ht="15">
      <c r="A39" s="422"/>
      <c r="B39" s="374" t="s">
        <v>1788</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953"/>
      <c r="Q39" s="1349" t="str">
        <f t="shared" si="8"/>
        <v>层高</v>
      </c>
      <c r="R39" s="703" t="s">
        <v>14</v>
      </c>
      <c r="S39" s="704">
        <f t="shared" si="9"/>
        <v>100</v>
      </c>
      <c r="T39" s="703" t="s">
        <v>14</v>
      </c>
      <c r="U39" s="704">
        <f t="shared" si="10"/>
        <v>100</v>
      </c>
      <c r="V39" s="703" t="s">
        <v>14</v>
      </c>
      <c r="W39" s="704">
        <f t="shared" si="11"/>
        <v>100</v>
      </c>
      <c r="X39" s="1352"/>
      <c r="Y39" s="3955"/>
      <c r="Z39" s="1353" t="str">
        <f t="shared" si="12"/>
        <v>层高</v>
      </c>
      <c r="AA39" s="1350">
        <f t="shared" si="3"/>
        <v>1</v>
      </c>
      <c r="AB39" s="1350">
        <f t="shared" si="4"/>
        <v>1</v>
      </c>
      <c r="AC39" s="1350">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953"/>
      <c r="Q40" s="1349" t="str">
        <f t="shared" si="8"/>
        <v>单套建筑面积</v>
      </c>
      <c r="R40" s="703" t="s">
        <v>14</v>
      </c>
      <c r="S40" s="704">
        <f t="shared" si="9"/>
        <v>100</v>
      </c>
      <c r="T40" s="703" t="s">
        <v>14</v>
      </c>
      <c r="U40" s="704">
        <f t="shared" si="10"/>
        <v>100</v>
      </c>
      <c r="V40" s="703" t="s">
        <v>14</v>
      </c>
      <c r="W40" s="704">
        <f t="shared" si="11"/>
        <v>100</v>
      </c>
      <c r="X40" s="1352"/>
      <c r="Y40" s="3955"/>
      <c r="Z40" s="1353" t="str">
        <f t="shared" si="12"/>
        <v>单套建筑面积</v>
      </c>
      <c r="AA40" s="1350">
        <f t="shared" si="3"/>
        <v>1</v>
      </c>
      <c r="AB40" s="1350">
        <f t="shared" si="4"/>
        <v>1</v>
      </c>
      <c r="AC40" s="1350">
        <f t="shared" si="5"/>
        <v>1</v>
      </c>
    </row>
    <row r="41" spans="1:29" s="421" customFormat="1" ht="15">
      <c r="A41" s="418"/>
      <c r="B41" s="1351"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953"/>
      <c r="Q41" s="705" t="str">
        <f t="shared" si="8"/>
        <v>进深比</v>
      </c>
      <c r="R41" s="706" t="s">
        <v>14</v>
      </c>
      <c r="S41" s="707">
        <f t="shared" si="9"/>
        <v>100</v>
      </c>
      <c r="T41" s="706" t="s">
        <v>14</v>
      </c>
      <c r="U41" s="707">
        <f t="shared" si="10"/>
        <v>100</v>
      </c>
      <c r="V41" s="706" t="s">
        <v>14</v>
      </c>
      <c r="W41" s="707">
        <f t="shared" si="11"/>
        <v>100</v>
      </c>
      <c r="X41" s="708"/>
      <c r="Y41" s="3955"/>
      <c r="Z41" s="709" t="str">
        <f t="shared" si="12"/>
        <v>进深比</v>
      </c>
      <c r="AA41" s="1350">
        <f t="shared" si="3"/>
        <v>1</v>
      </c>
      <c r="AB41" s="1350">
        <f t="shared" si="4"/>
        <v>1</v>
      </c>
      <c r="AC41" s="1350">
        <f t="shared" si="5"/>
        <v>1</v>
      </c>
    </row>
    <row r="42" spans="1:29" ht="15">
      <c r="A42" s="422"/>
      <c r="B42" s="374" t="s">
        <v>1791</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953"/>
      <c r="Q42" s="1349" t="str">
        <f t="shared" si="8"/>
        <v>内部装修</v>
      </c>
      <c r="R42" s="703" t="s">
        <v>14</v>
      </c>
      <c r="S42" s="704">
        <f t="shared" si="9"/>
        <v>100</v>
      </c>
      <c r="T42" s="703" t="s">
        <v>14</v>
      </c>
      <c r="U42" s="704">
        <f t="shared" si="10"/>
        <v>100</v>
      </c>
      <c r="V42" s="703" t="s">
        <v>14</v>
      </c>
      <c r="W42" s="704">
        <f t="shared" si="11"/>
        <v>100</v>
      </c>
      <c r="X42" s="1352"/>
      <c r="Y42" s="3955"/>
      <c r="Z42" s="1353" t="str">
        <f t="shared" si="12"/>
        <v>内部装修</v>
      </c>
      <c r="AA42" s="1350">
        <f t="shared" si="3"/>
        <v>1</v>
      </c>
      <c r="AB42" s="1350">
        <f t="shared" si="4"/>
        <v>1</v>
      </c>
      <c r="AC42" s="1350">
        <f t="shared" si="5"/>
        <v>1</v>
      </c>
    </row>
    <row r="43" spans="1:29" ht="28.8">
      <c r="A43" s="422"/>
      <c r="B43" s="374" t="s">
        <v>1706</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953"/>
      <c r="Q43" s="1349" t="str">
        <f t="shared" si="8"/>
        <v>内部装修维护情况</v>
      </c>
      <c r="R43" s="703" t="s">
        <v>14</v>
      </c>
      <c r="S43" s="704">
        <f t="shared" si="9"/>
        <v>100</v>
      </c>
      <c r="T43" s="703" t="s">
        <v>14</v>
      </c>
      <c r="U43" s="704">
        <f t="shared" si="10"/>
        <v>100</v>
      </c>
      <c r="V43" s="703" t="s">
        <v>14</v>
      </c>
      <c r="W43" s="704">
        <f t="shared" si="11"/>
        <v>100</v>
      </c>
      <c r="X43" s="1352"/>
      <c r="Y43" s="3955"/>
      <c r="Z43" s="1353" t="str">
        <f t="shared" si="12"/>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953"/>
      <c r="Q44" s="1340">
        <f t="shared" si="8"/>
        <v>111</v>
      </c>
      <c r="R44" s="699" t="s">
        <v>14</v>
      </c>
      <c r="S44" s="700">
        <f t="shared" si="9"/>
        <v>100</v>
      </c>
      <c r="T44" s="699" t="s">
        <v>14</v>
      </c>
      <c r="U44" s="700">
        <f t="shared" si="10"/>
        <v>100</v>
      </c>
      <c r="V44" s="699" t="s">
        <v>14</v>
      </c>
      <c r="W44" s="700">
        <f t="shared" si="11"/>
        <v>100</v>
      </c>
      <c r="X44" s="701"/>
      <c r="Y44" s="3955"/>
      <c r="Z44" s="52">
        <f t="shared" si="12"/>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953"/>
      <c r="Q45" s="1349">
        <f t="shared" si="8"/>
        <v>111</v>
      </c>
      <c r="R45" s="703" t="s">
        <v>14</v>
      </c>
      <c r="S45" s="704">
        <f t="shared" si="9"/>
        <v>100</v>
      </c>
      <c r="T45" s="703" t="s">
        <v>14</v>
      </c>
      <c r="U45" s="704">
        <f t="shared" si="10"/>
        <v>100</v>
      </c>
      <c r="V45" s="703" t="s">
        <v>14</v>
      </c>
      <c r="W45" s="704">
        <f t="shared" si="11"/>
        <v>100</v>
      </c>
      <c r="X45" s="1352"/>
      <c r="Y45" s="3955"/>
      <c r="Z45" s="1353">
        <f t="shared" si="12"/>
        <v>111</v>
      </c>
      <c r="AA45" s="1350">
        <f t="shared" si="3"/>
        <v>1</v>
      </c>
      <c r="AB45" s="1350">
        <f t="shared" si="4"/>
        <v>1</v>
      </c>
      <c r="AC45" s="1350">
        <f t="shared" si="5"/>
        <v>1</v>
      </c>
    </row>
    <row r="46" spans="1:29" ht="15.6"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954"/>
      <c r="Q46" s="1349">
        <f t="shared" si="8"/>
        <v>111</v>
      </c>
      <c r="R46" s="703" t="s">
        <v>14</v>
      </c>
      <c r="S46" s="704">
        <f t="shared" si="9"/>
        <v>100</v>
      </c>
      <c r="T46" s="703" t="s">
        <v>14</v>
      </c>
      <c r="U46" s="704">
        <f t="shared" si="10"/>
        <v>100</v>
      </c>
      <c r="V46" s="703" t="s">
        <v>14</v>
      </c>
      <c r="W46" s="704">
        <f t="shared" si="11"/>
        <v>100</v>
      </c>
      <c r="X46" s="1352"/>
      <c r="Y46" s="3956"/>
      <c r="Z46" s="1353">
        <f t="shared" si="12"/>
        <v>111</v>
      </c>
      <c r="AA46" s="1350">
        <f t="shared" si="3"/>
        <v>1</v>
      </c>
      <c r="AB46" s="1350">
        <f t="shared" si="4"/>
        <v>1</v>
      </c>
      <c r="AC46" s="1350">
        <f t="shared" si="5"/>
        <v>1</v>
      </c>
    </row>
    <row r="47" spans="1:29" ht="14.4">
      <c r="A47" s="429" t="s">
        <v>1707</v>
      </c>
      <c r="B47" s="430"/>
      <c r="C47" s="1151" t="s">
        <v>0</v>
      </c>
      <c r="D47" s="1152"/>
      <c r="E47" s="1153"/>
      <c r="F47" s="1154"/>
      <c r="G47" s="1155"/>
      <c r="H47" s="1156"/>
      <c r="I47" s="1153"/>
      <c r="J47" s="1156"/>
      <c r="K47" s="712"/>
      <c r="L47" s="2721"/>
      <c r="M47" s="2722"/>
      <c r="N47" s="2713"/>
      <c r="O47" s="2722"/>
      <c r="P47" s="3948" t="str">
        <f>A47</f>
        <v>成交单价（元/平方米）</v>
      </c>
      <c r="Q47" s="3948"/>
      <c r="R47" s="3943">
        <f>E47</f>
        <v>0</v>
      </c>
      <c r="S47" s="3943"/>
      <c r="T47" s="3943">
        <f>G47</f>
        <v>0</v>
      </c>
      <c r="U47" s="3943"/>
      <c r="V47" s="3943">
        <f>I47</f>
        <v>0</v>
      </c>
      <c r="W47" s="3943"/>
      <c r="X47" s="688"/>
      <c r="Y47" s="710"/>
      <c r="Z47" s="688"/>
      <c r="AA47" s="688"/>
      <c r="AB47" s="688"/>
      <c r="AC47" s="688"/>
    </row>
    <row r="48" spans="1:29" ht="15" thickBot="1">
      <c r="A48" s="436" t="s">
        <v>1792</v>
      </c>
      <c r="B48" s="437"/>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948" t="str">
        <f>A48</f>
        <v>比较价值（元/平方米）</v>
      </c>
      <c r="Q48" s="3948"/>
      <c r="R48" s="3949" t="e">
        <f>IF(F1="售价",ROUND(PRODUCT(R47,AA7:AA46),0),ROUND(PRODUCT(R47,AA7:AA46),1))</f>
        <v>#DIV/0!</v>
      </c>
      <c r="S48" s="3949"/>
      <c r="T48" s="3949" t="e">
        <f>IF(F1="售价",ROUND(PRODUCT(T47,AB7:AB46),0),ROUND(PRODUCT(T47,AB7:AB46),1))</f>
        <v>#DIV/0!</v>
      </c>
      <c r="U48" s="3949"/>
      <c r="V48" s="3949" t="e">
        <f>IF(F1="售价",ROUND(PRODUCT(V47,AC7:AC46),0),ROUND(PRODUCT(V47,AC7:AC46),1))</f>
        <v>#DIV/0!</v>
      </c>
      <c r="W48" s="3949"/>
      <c r="X48" s="688"/>
      <c r="Y48" s="688"/>
      <c r="Z48" s="688"/>
      <c r="AA48" s="688"/>
      <c r="AB48" s="688"/>
      <c r="AC48" s="688"/>
    </row>
    <row r="49" spans="1:29" ht="15" thickBot="1">
      <c r="A49" s="440" t="s">
        <v>1793</v>
      </c>
      <c r="B49" s="441"/>
      <c r="C49" s="1160" t="e">
        <f>R49</f>
        <v>#DIV/0!</v>
      </c>
      <c r="D49" s="1160"/>
      <c r="E49" s="1160"/>
      <c r="F49" s="1160"/>
      <c r="G49" s="1160"/>
      <c r="H49" s="1160"/>
      <c r="I49" s="1160"/>
      <c r="J49" s="1160"/>
      <c r="K49" s="713"/>
      <c r="L49" s="2721"/>
      <c r="M49" s="2722"/>
      <c r="N49" s="2713"/>
      <c r="O49" s="2722"/>
      <c r="P49" s="3945" t="str">
        <f>A49</f>
        <v>估价对象XX用房的比较价值（楼面单价，元/平方米）</v>
      </c>
      <c r="Q49" s="3946"/>
      <c r="R49" s="3947" t="e">
        <f>IF(F1="售价",ROUND(IF(D48="简单平均",AVERAGE(R48:V48),R48*F48+T48*H48+V48*J48),0),ROUND(IF(D48="简单平均",AVERAGE(R48:V48),R48*F48+T48*H48+V48*J48),1))</f>
        <v>#DIV/0!</v>
      </c>
      <c r="S49" s="3947"/>
      <c r="T49" s="3947"/>
      <c r="U49" s="3947"/>
      <c r="V49" s="3947"/>
      <c r="W49" s="394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6" customFormat="1" ht="14.4">
      <c r="A58" s="453" t="s">
        <v>1678</v>
      </c>
      <c r="B58" s="454"/>
      <c r="C58" s="1181" t="str">
        <f>YEAR(C7)&amp;"-"&amp;MONTH(C7)</f>
        <v>2024-8</v>
      </c>
      <c r="D58" s="1182">
        <f>EDATE(C58,-1)</f>
        <v>45474</v>
      </c>
      <c r="E58" s="1182">
        <f t="shared" ref="E58:N58" si="13">EDATE(D58,-1)</f>
        <v>45444</v>
      </c>
      <c r="F58" s="1182">
        <f t="shared" si="13"/>
        <v>45413</v>
      </c>
      <c r="G58" s="1182">
        <f t="shared" si="13"/>
        <v>45383</v>
      </c>
      <c r="H58" s="1182">
        <f t="shared" si="13"/>
        <v>45352</v>
      </c>
      <c r="I58" s="1182">
        <f t="shared" si="13"/>
        <v>45323</v>
      </c>
      <c r="J58" s="1182">
        <f t="shared" si="13"/>
        <v>45292</v>
      </c>
      <c r="K58" s="1182">
        <f t="shared" si="13"/>
        <v>45261</v>
      </c>
      <c r="L58" s="1182">
        <f t="shared" si="13"/>
        <v>45231</v>
      </c>
      <c r="M58" s="1182">
        <f t="shared" si="13"/>
        <v>45200</v>
      </c>
      <c r="N58" s="1182">
        <f t="shared" si="13"/>
        <v>45170</v>
      </c>
      <c r="O58" s="1182">
        <f>EDATE(N58,-1)</f>
        <v>45139</v>
      </c>
      <c r="P58" s="2737"/>
      <c r="Q58" s="2738"/>
      <c r="R58" s="2738"/>
      <c r="S58" s="2738"/>
      <c r="T58" s="2738"/>
      <c r="U58" s="2738"/>
      <c r="V58" s="2738"/>
      <c r="W58" s="2738"/>
      <c r="X58" s="2738"/>
      <c r="Y58" s="2738"/>
      <c r="Z58" s="2738"/>
      <c r="AA58" s="2738"/>
      <c r="AB58" s="2738"/>
      <c r="AC58" s="2738"/>
    </row>
    <row r="59" spans="1:29" s="108" customFormat="1">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 thickBot="1">
      <c r="A60" s="463" t="s">
        <v>1715</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4.4">
      <c r="A61" s="469" t="s">
        <v>1680</v>
      </c>
      <c r="B61" s="458"/>
      <c r="C61" s="470" t="s">
        <v>1775</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4.4"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ht="14.4">
      <c r="A63" s="475" t="s">
        <v>1718</v>
      </c>
      <c r="B63" s="476" t="s">
        <v>1684</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4.4"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9.4" thickTop="1">
      <c r="A65" s="482"/>
      <c r="B65" s="486" t="s">
        <v>1687</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4.4"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 thickTop="1">
      <c r="A67" s="482"/>
      <c r="B67" s="494" t="s">
        <v>1688</v>
      </c>
      <c r="C67" s="495" t="str">
        <f>C68&amp;"（含）"&amp;"-"&amp;D68</f>
        <v>（含）-</v>
      </c>
      <c r="D67" s="495" t="str">
        <f t="shared" ref="D67:L67" si="14">D68&amp;"（含）"&amp;"-"&amp;E68</f>
        <v>（含）-</v>
      </c>
      <c r="E67" s="495" t="str">
        <f t="shared" si="14"/>
        <v>（含）-</v>
      </c>
      <c r="F67" s="495" t="str">
        <f t="shared" si="14"/>
        <v>（含）-</v>
      </c>
      <c r="G67" s="495" t="str">
        <f t="shared" si="14"/>
        <v>（含）-</v>
      </c>
      <c r="H67" s="495" t="str">
        <f t="shared" si="14"/>
        <v>（含）-</v>
      </c>
      <c r="I67" s="495" t="str">
        <f t="shared" si="14"/>
        <v>（含）-</v>
      </c>
      <c r="J67" s="495" t="str">
        <f t="shared" si="14"/>
        <v>（含）-</v>
      </c>
      <c r="K67" s="495" t="str">
        <f t="shared" si="14"/>
        <v>（含）-</v>
      </c>
      <c r="L67" s="495" t="str">
        <f t="shared" si="14"/>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4.4" thickBot="1">
      <c r="A69" s="482"/>
      <c r="B69" s="483"/>
      <c r="C69" s="492">
        <v>100</v>
      </c>
      <c r="D69" s="492">
        <f t="shared" ref="D69:M69" si="15">C69-$K11</f>
        <v>100</v>
      </c>
      <c r="E69" s="492">
        <f t="shared" si="15"/>
        <v>100</v>
      </c>
      <c r="F69" s="492">
        <f t="shared" si="15"/>
        <v>100</v>
      </c>
      <c r="G69" s="492">
        <f t="shared" si="15"/>
        <v>100</v>
      </c>
      <c r="H69" s="492">
        <f t="shared" si="15"/>
        <v>100</v>
      </c>
      <c r="I69" s="492">
        <f t="shared" si="15"/>
        <v>100</v>
      </c>
      <c r="J69" s="492">
        <f t="shared" si="15"/>
        <v>100</v>
      </c>
      <c r="K69" s="492">
        <f t="shared" si="15"/>
        <v>100</v>
      </c>
      <c r="L69" s="492">
        <f t="shared" si="15"/>
        <v>100</v>
      </c>
      <c r="M69" s="493">
        <f t="shared" si="15"/>
        <v>100</v>
      </c>
      <c r="N69" s="2751"/>
      <c r="O69" s="2751"/>
      <c r="P69" s="2741"/>
      <c r="Q69" s="2736"/>
      <c r="R69" s="2722"/>
      <c r="S69" s="2722"/>
      <c r="T69" s="2722"/>
      <c r="U69" s="2722"/>
      <c r="V69" s="2722"/>
      <c r="W69" s="2722"/>
      <c r="X69" s="2722"/>
      <c r="Y69" s="2722"/>
      <c r="Z69" s="2722"/>
      <c r="AA69" s="2722"/>
      <c r="AB69" s="2722"/>
      <c r="AC69" s="2722"/>
    </row>
    <row r="70" spans="1:29" s="421" customFormat="1" ht="14.4"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4.4"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4.4"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4.4"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4.4"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4.4"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ht="14.4">
      <c r="A76" s="475" t="s">
        <v>1689</v>
      </c>
      <c r="B76" s="476" t="s">
        <v>1719</v>
      </c>
      <c r="C76" s="521" t="s">
        <v>1720</v>
      </c>
      <c r="D76" s="521" t="s">
        <v>1721</v>
      </c>
      <c r="E76" s="521" t="s">
        <v>1722</v>
      </c>
      <c r="F76" s="521" t="s">
        <v>1723</v>
      </c>
      <c r="G76" s="521" t="s">
        <v>1724</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 thickTop="1">
      <c r="A78" s="482"/>
      <c r="B78" s="486" t="s">
        <v>1725</v>
      </c>
      <c r="C78" s="526" t="s">
        <v>1720</v>
      </c>
      <c r="D78" s="526" t="s">
        <v>1721</v>
      </c>
      <c r="E78" s="526" t="s">
        <v>1722</v>
      </c>
      <c r="F78" s="526" t="s">
        <v>1723</v>
      </c>
      <c r="G78" s="526" t="s">
        <v>1724</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 thickTop="1">
      <c r="A80" s="482"/>
      <c r="B80" s="486" t="s">
        <v>1726</v>
      </c>
      <c r="C80" s="526" t="s">
        <v>1720</v>
      </c>
      <c r="D80" s="526" t="s">
        <v>1721</v>
      </c>
      <c r="E80" s="526" t="s">
        <v>1722</v>
      </c>
      <c r="F80" s="526" t="s">
        <v>1723</v>
      </c>
      <c r="G80" s="526" t="s">
        <v>1724</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 thickTop="1">
      <c r="A82" s="482"/>
      <c r="B82" s="494" t="s">
        <v>1778</v>
      </c>
      <c r="C82" s="607" t="s">
        <v>1798</v>
      </c>
      <c r="D82" s="607" t="s">
        <v>1799</v>
      </c>
      <c r="E82" s="607" t="s">
        <v>1800</v>
      </c>
      <c r="F82" s="607" t="s">
        <v>1801</v>
      </c>
      <c r="G82" s="607" t="s">
        <v>1802</v>
      </c>
      <c r="H82" s="487"/>
      <c r="I82" s="487"/>
      <c r="J82" s="487"/>
      <c r="K82" s="487"/>
      <c r="L82" s="487"/>
      <c r="M82" s="1126"/>
      <c r="N82" s="2751"/>
      <c r="O82" s="2751"/>
      <c r="P82" s="2741"/>
      <c r="Q82" s="2736"/>
      <c r="R82" s="2722"/>
      <c r="S82" s="2722"/>
      <c r="T82" s="2722"/>
      <c r="U82" s="2722"/>
      <c r="V82" s="2722"/>
      <c r="W82" s="2722"/>
      <c r="X82" s="2722"/>
      <c r="Y82" s="2722"/>
      <c r="Z82" s="2722"/>
      <c r="AA82" s="2722"/>
      <c r="AB82" s="2722"/>
      <c r="AC82" s="2722"/>
    </row>
    <row r="83" spans="1:29" ht="14.4" thickBot="1">
      <c r="A83" s="482"/>
      <c r="B83" s="494"/>
      <c r="C83" s="492">
        <v>100</v>
      </c>
      <c r="D83" s="492">
        <f>C83-$K21</f>
        <v>100</v>
      </c>
      <c r="E83" s="492">
        <f>D83-$K21</f>
        <v>100</v>
      </c>
      <c r="F83" s="492">
        <f>E83-$K21</f>
        <v>100</v>
      </c>
      <c r="G83" s="492">
        <f>F83-$K21</f>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 thickTop="1">
      <c r="A84" s="482"/>
      <c r="B84" s="486" t="s">
        <v>1732</v>
      </c>
      <c r="C84" s="526" t="s">
        <v>1720</v>
      </c>
      <c r="D84" s="526" t="s">
        <v>1721</v>
      </c>
      <c r="E84" s="526" t="s">
        <v>1722</v>
      </c>
      <c r="F84" s="526" t="s">
        <v>1723</v>
      </c>
      <c r="G84" s="526" t="s">
        <v>1724</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 thickTop="1">
      <c r="A86" s="527"/>
      <c r="B86" s="486" t="s">
        <v>1803</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4.4" thickBot="1">
      <c r="A87" s="527"/>
      <c r="B87" s="491"/>
      <c r="C87" s="530">
        <v>100</v>
      </c>
      <c r="D87" s="492">
        <f t="shared" ref="D87:M87" si="16">C87-$K25</f>
        <v>100</v>
      </c>
      <c r="E87" s="492">
        <f t="shared" si="16"/>
        <v>100</v>
      </c>
      <c r="F87" s="492">
        <f t="shared" si="16"/>
        <v>100</v>
      </c>
      <c r="G87" s="492">
        <f t="shared" si="16"/>
        <v>100</v>
      </c>
      <c r="H87" s="492">
        <f t="shared" si="16"/>
        <v>100</v>
      </c>
      <c r="I87" s="492">
        <f t="shared" si="16"/>
        <v>100</v>
      </c>
      <c r="J87" s="492">
        <f t="shared" si="16"/>
        <v>100</v>
      </c>
      <c r="K87" s="492">
        <f t="shared" si="16"/>
        <v>100</v>
      </c>
      <c r="L87" s="492">
        <f t="shared" si="16"/>
        <v>100</v>
      </c>
      <c r="M87" s="492">
        <f t="shared" si="16"/>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4.4"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4.4"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4.4" thickBot="1">
      <c r="A91" s="501"/>
      <c r="B91" s="491"/>
      <c r="C91" s="530">
        <v>100</v>
      </c>
      <c r="D91" s="492">
        <f>C91-$K27</f>
        <v>100</v>
      </c>
      <c r="E91" s="492">
        <f t="shared" ref="E91:M91" si="17">D91-$K27</f>
        <v>100</v>
      </c>
      <c r="F91" s="492">
        <f t="shared" si="17"/>
        <v>100</v>
      </c>
      <c r="G91" s="492">
        <f t="shared" si="17"/>
        <v>100</v>
      </c>
      <c r="H91" s="492">
        <f t="shared" si="17"/>
        <v>100</v>
      </c>
      <c r="I91" s="492">
        <f t="shared" si="17"/>
        <v>100</v>
      </c>
      <c r="J91" s="492">
        <f t="shared" si="17"/>
        <v>100</v>
      </c>
      <c r="K91" s="492">
        <f t="shared" si="17"/>
        <v>100</v>
      </c>
      <c r="L91" s="492">
        <f t="shared" si="17"/>
        <v>100</v>
      </c>
      <c r="M91" s="492">
        <f t="shared" si="17"/>
        <v>100</v>
      </c>
      <c r="N91" s="2752"/>
      <c r="O91" s="2752"/>
      <c r="P91" s="2742"/>
      <c r="Q91" s="2743"/>
      <c r="R91" s="2744"/>
      <c r="S91" s="2744"/>
      <c r="T91" s="2744"/>
      <c r="U91" s="2744"/>
      <c r="V91" s="2744"/>
      <c r="W91" s="2744"/>
      <c r="X91" s="2744"/>
      <c r="Y91" s="2744"/>
      <c r="Z91" s="2744"/>
      <c r="AA91" s="2744"/>
      <c r="AB91" s="2744"/>
      <c r="AC91" s="2744"/>
    </row>
    <row r="92" spans="1:29" ht="14.4"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4.4"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4.4"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4.4"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4.4"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4.4"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4.4"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4.4"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ht="14.4">
      <c r="A100" s="475" t="s">
        <v>1693</v>
      </c>
      <c r="B100" s="476" t="s">
        <v>1804</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4.4" thickBot="1">
      <c r="A101" s="482"/>
      <c r="B101" s="491"/>
      <c r="C101" s="492">
        <v>100</v>
      </c>
      <c r="D101" s="492">
        <f t="shared" ref="D101:M101" si="18">C101-$K32</f>
        <v>100</v>
      </c>
      <c r="E101" s="492">
        <f t="shared" si="18"/>
        <v>100</v>
      </c>
      <c r="F101" s="492">
        <f t="shared" si="18"/>
        <v>100</v>
      </c>
      <c r="G101" s="492">
        <f t="shared" si="18"/>
        <v>100</v>
      </c>
      <c r="H101" s="492">
        <f t="shared" si="18"/>
        <v>100</v>
      </c>
      <c r="I101" s="492">
        <f t="shared" si="18"/>
        <v>100</v>
      </c>
      <c r="J101" s="492">
        <f t="shared" si="18"/>
        <v>100</v>
      </c>
      <c r="K101" s="492">
        <f t="shared" si="18"/>
        <v>100</v>
      </c>
      <c r="L101" s="492">
        <f t="shared" si="18"/>
        <v>100</v>
      </c>
      <c r="M101" s="493">
        <f t="shared" si="18"/>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2"/>
      <c r="B102" s="486" t="s">
        <v>1736</v>
      </c>
      <c r="C102" s="526" t="str">
        <f>C103&amp;"(含)"&amp;"-"&amp;D103</f>
        <v>(含)-</v>
      </c>
      <c r="D102" s="526" t="str">
        <f t="shared" ref="D102:L102" si="19">D103&amp;"(含)"&amp;"-"&amp;E103</f>
        <v>(含)-</v>
      </c>
      <c r="E102" s="526" t="str">
        <f t="shared" si="19"/>
        <v>(含)-</v>
      </c>
      <c r="F102" s="526" t="str">
        <f t="shared" si="19"/>
        <v>(含)-</v>
      </c>
      <c r="G102" s="526" t="str">
        <f t="shared" si="19"/>
        <v>(含)-</v>
      </c>
      <c r="H102" s="526" t="str">
        <f t="shared" si="19"/>
        <v>(含)-</v>
      </c>
      <c r="I102" s="526" t="str">
        <f t="shared" si="19"/>
        <v>(含)-</v>
      </c>
      <c r="J102" s="526" t="str">
        <f t="shared" si="19"/>
        <v>(含)-</v>
      </c>
      <c r="K102" s="526" t="str">
        <f t="shared" si="19"/>
        <v>(含)-</v>
      </c>
      <c r="L102" s="526" t="str">
        <f t="shared" si="19"/>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4.4"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1737</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0">C106-$K34</f>
        <v>100</v>
      </c>
      <c r="E106" s="492">
        <f t="shared" si="20"/>
        <v>100</v>
      </c>
      <c r="F106" s="492">
        <f t="shared" si="20"/>
        <v>100</v>
      </c>
      <c r="G106" s="492">
        <f t="shared" si="20"/>
        <v>100</v>
      </c>
      <c r="H106" s="492">
        <f t="shared" si="20"/>
        <v>100</v>
      </c>
      <c r="I106" s="492">
        <f t="shared" si="20"/>
        <v>100</v>
      </c>
      <c r="J106" s="492">
        <f t="shared" si="20"/>
        <v>100</v>
      </c>
      <c r="K106" s="492">
        <f t="shared" si="20"/>
        <v>100</v>
      </c>
      <c r="L106" s="492">
        <f t="shared" si="20"/>
        <v>100</v>
      </c>
      <c r="M106" s="493">
        <f t="shared" si="20"/>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1739</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1">C108-$K35</f>
        <v>100</v>
      </c>
      <c r="E108" s="492">
        <f t="shared" si="21"/>
        <v>100</v>
      </c>
      <c r="F108" s="492">
        <f t="shared" si="21"/>
        <v>100</v>
      </c>
      <c r="G108" s="492">
        <f t="shared" si="21"/>
        <v>100</v>
      </c>
      <c r="H108" s="492">
        <f t="shared" si="21"/>
        <v>100</v>
      </c>
      <c r="I108" s="492">
        <f t="shared" si="21"/>
        <v>100</v>
      </c>
      <c r="J108" s="492">
        <f t="shared" si="21"/>
        <v>100</v>
      </c>
      <c r="K108" s="492">
        <f t="shared" si="21"/>
        <v>100</v>
      </c>
      <c r="L108" s="492">
        <f t="shared" si="21"/>
        <v>100</v>
      </c>
      <c r="M108" s="493">
        <f t="shared" si="21"/>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4.4" thickBot="1">
      <c r="A111" s="482"/>
      <c r="B111" s="491"/>
      <c r="C111" s="530">
        <v>100</v>
      </c>
      <c r="D111" s="492">
        <f>C111+$K36</f>
        <v>100</v>
      </c>
      <c r="E111" s="492">
        <f t="shared" ref="E111:M111" si="22">D111+$K36</f>
        <v>100</v>
      </c>
      <c r="F111" s="492">
        <f t="shared" si="22"/>
        <v>100</v>
      </c>
      <c r="G111" s="492">
        <f t="shared" si="22"/>
        <v>100</v>
      </c>
      <c r="H111" s="492">
        <f t="shared" si="22"/>
        <v>100</v>
      </c>
      <c r="I111" s="492">
        <f t="shared" si="22"/>
        <v>100</v>
      </c>
      <c r="J111" s="492">
        <f t="shared" si="22"/>
        <v>100</v>
      </c>
      <c r="K111" s="492">
        <f t="shared" si="22"/>
        <v>100</v>
      </c>
      <c r="L111" s="492">
        <f t="shared" si="22"/>
        <v>100</v>
      </c>
      <c r="M111" s="492">
        <f t="shared" si="22"/>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1741</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4.4" thickBot="1">
      <c r="A113" s="501"/>
      <c r="B113" s="491"/>
      <c r="C113" s="492">
        <v>100</v>
      </c>
      <c r="D113" s="492">
        <f>C113-$K37</f>
        <v>100</v>
      </c>
      <c r="E113" s="492">
        <f t="shared" ref="E113:M113" si="23">D113-$K37</f>
        <v>100</v>
      </c>
      <c r="F113" s="492">
        <f t="shared" si="23"/>
        <v>100</v>
      </c>
      <c r="G113" s="492">
        <f t="shared" si="23"/>
        <v>100</v>
      </c>
      <c r="H113" s="492">
        <f t="shared" si="23"/>
        <v>100</v>
      </c>
      <c r="I113" s="492">
        <f t="shared" si="23"/>
        <v>100</v>
      </c>
      <c r="J113" s="492">
        <f t="shared" si="23"/>
        <v>100</v>
      </c>
      <c r="K113" s="492">
        <f t="shared" si="23"/>
        <v>100</v>
      </c>
      <c r="L113" s="492">
        <f t="shared" si="23"/>
        <v>100</v>
      </c>
      <c r="M113" s="492">
        <f t="shared" si="23"/>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1805</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4.4" thickBot="1">
      <c r="A115" s="482"/>
      <c r="B115" s="491"/>
      <c r="C115" s="492">
        <v>100</v>
      </c>
      <c r="D115" s="492">
        <f t="shared" ref="D115:M115" si="24">C115-$K38</f>
        <v>100</v>
      </c>
      <c r="E115" s="492">
        <f t="shared" si="24"/>
        <v>100</v>
      </c>
      <c r="F115" s="492">
        <f t="shared" si="24"/>
        <v>100</v>
      </c>
      <c r="G115" s="492">
        <f t="shared" si="24"/>
        <v>100</v>
      </c>
      <c r="H115" s="492">
        <f t="shared" si="24"/>
        <v>100</v>
      </c>
      <c r="I115" s="492">
        <f t="shared" si="24"/>
        <v>100</v>
      </c>
      <c r="J115" s="492">
        <f t="shared" si="24"/>
        <v>100</v>
      </c>
      <c r="K115" s="492">
        <f t="shared" si="24"/>
        <v>100</v>
      </c>
      <c r="L115" s="492">
        <f t="shared" si="24"/>
        <v>100</v>
      </c>
      <c r="M115" s="493">
        <f t="shared" si="24"/>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1806</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1807</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4.4"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1808</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4.4" thickBot="1">
      <c r="A121" s="501"/>
      <c r="B121" s="483"/>
      <c r="C121" s="530">
        <v>100</v>
      </c>
      <c r="D121" s="492">
        <f>C121-$K41</f>
        <v>100</v>
      </c>
      <c r="E121" s="492">
        <f t="shared" ref="E121:M121" si="25">D121-$K41</f>
        <v>100</v>
      </c>
      <c r="F121" s="492">
        <f t="shared" si="25"/>
        <v>100</v>
      </c>
      <c r="G121" s="492">
        <f t="shared" si="25"/>
        <v>100</v>
      </c>
      <c r="H121" s="492">
        <f t="shared" si="25"/>
        <v>100</v>
      </c>
      <c r="I121" s="492">
        <f t="shared" si="25"/>
        <v>100</v>
      </c>
      <c r="J121" s="492">
        <f t="shared" si="25"/>
        <v>100</v>
      </c>
      <c r="K121" s="492">
        <f t="shared" si="25"/>
        <v>100</v>
      </c>
      <c r="L121" s="492">
        <f t="shared" si="25"/>
        <v>100</v>
      </c>
      <c r="M121" s="493">
        <f t="shared" si="25"/>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1743</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4.4" thickBot="1">
      <c r="A123" s="482"/>
      <c r="B123" s="491"/>
      <c r="C123" s="492">
        <v>100</v>
      </c>
      <c r="D123" s="492">
        <f t="shared" ref="D123:M123" si="26">C123-$K42</f>
        <v>100</v>
      </c>
      <c r="E123" s="492">
        <f t="shared" si="26"/>
        <v>100</v>
      </c>
      <c r="F123" s="492">
        <f t="shared" si="26"/>
        <v>100</v>
      </c>
      <c r="G123" s="492">
        <f t="shared" si="26"/>
        <v>100</v>
      </c>
      <c r="H123" s="492">
        <f t="shared" si="26"/>
        <v>100</v>
      </c>
      <c r="I123" s="492">
        <f t="shared" si="26"/>
        <v>100</v>
      </c>
      <c r="J123" s="492">
        <f t="shared" si="26"/>
        <v>100</v>
      </c>
      <c r="K123" s="492">
        <f t="shared" si="26"/>
        <v>100</v>
      </c>
      <c r="L123" s="492">
        <f t="shared" si="26"/>
        <v>100</v>
      </c>
      <c r="M123" s="493">
        <f t="shared" si="26"/>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7"/>
      <c r="B124" s="486" t="s">
        <v>1744</v>
      </c>
      <c r="C124" s="526" t="s">
        <v>1720</v>
      </c>
      <c r="D124" s="526" t="s">
        <v>1721</v>
      </c>
      <c r="E124" s="526" t="s">
        <v>1722</v>
      </c>
      <c r="F124" s="526" t="s">
        <v>1723</v>
      </c>
      <c r="G124" s="526" t="s">
        <v>1724</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4.4"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4.4"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4.4"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4.4"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4.4"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109375" style="356" customWidth="1"/>
    <col min="5" max="5" width="14.33203125" style="356" customWidth="1"/>
    <col min="6" max="6" width="12.109375" style="356" customWidth="1"/>
    <col min="7" max="7" width="14.44140625" style="356" customWidth="1"/>
    <col min="8" max="8" width="12.109375" style="356" customWidth="1"/>
    <col min="9" max="9" width="14.44140625" style="356" customWidth="1"/>
    <col min="10" max="10" width="12.109375" style="356" customWidth="1"/>
    <col min="11" max="11" width="12.109375" style="443" customWidth="1"/>
    <col min="12" max="12" width="12.109375" style="444" customWidth="1"/>
    <col min="13" max="15" width="12.109375" style="356" customWidth="1"/>
    <col min="16" max="16" width="4.77734375" style="904" customWidth="1"/>
    <col min="17" max="17" width="19.44140625" style="356" customWidth="1"/>
    <col min="18" max="22" width="6.109375" style="356" customWidth="1"/>
    <col min="23" max="23" width="5.77734375" style="356" customWidth="1"/>
    <col min="24" max="24" width="4.1093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1659</v>
      </c>
      <c r="B1" s="1954" t="s">
        <v>1809</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1461</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1463</v>
      </c>
      <c r="B3" s="557">
        <f>IF(C2="——",C50,ROUND(B2*10000/D3,0))</f>
        <v>0</v>
      </c>
      <c r="C3" s="353" t="s">
        <v>1767</v>
      </c>
      <c r="D3" s="352">
        <f>IF(D1="",'数据-汇总表'!E3,SUMIF('数据-汇总表'!$C19:$C33,D1,'数据-汇总表'!$E19:$E33))</f>
        <v>41238</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4.4">
      <c r="A4" s="354" t="s">
        <v>1768</v>
      </c>
      <c r="B4" s="355"/>
      <c r="C4" s="3931" t="s">
        <v>1769</v>
      </c>
      <c r="D4" s="3932"/>
      <c r="E4" s="3933" t="s">
        <v>1770</v>
      </c>
      <c r="F4" s="3934"/>
      <c r="G4" s="3931" t="s">
        <v>1771</v>
      </c>
      <c r="H4" s="3932"/>
      <c r="I4" s="3931" t="s">
        <v>1772</v>
      </c>
      <c r="J4" s="3932"/>
      <c r="K4" s="558" t="s">
        <v>1773</v>
      </c>
      <c r="L4" s="2712"/>
      <c r="M4" s="2713"/>
      <c r="N4" s="2713"/>
      <c r="O4" s="2713"/>
      <c r="P4" s="3965" t="s">
        <v>1774</v>
      </c>
      <c r="Q4" s="3966"/>
      <c r="R4" s="3960" t="s">
        <v>1770</v>
      </c>
      <c r="S4" s="3961"/>
      <c r="T4" s="3960" t="s">
        <v>1771</v>
      </c>
      <c r="U4" s="3961"/>
      <c r="V4" s="3969" t="s">
        <v>1772</v>
      </c>
      <c r="W4" s="3969"/>
      <c r="X4" s="1955"/>
      <c r="Y4" s="3960" t="s">
        <v>1774</v>
      </c>
      <c r="Z4" s="3961"/>
      <c r="AA4" s="3959" t="s">
        <v>1770</v>
      </c>
      <c r="AB4" s="3959" t="s">
        <v>1771</v>
      </c>
      <c r="AC4" s="3962" t="s">
        <v>1772</v>
      </c>
    </row>
    <row r="5" spans="1:29">
      <c r="A5" s="357"/>
      <c r="B5" s="358"/>
      <c r="C5" s="3924" t="s">
        <v>1672</v>
      </c>
      <c r="D5" s="3925"/>
      <c r="E5" s="3922" t="s">
        <v>1673</v>
      </c>
      <c r="F5" s="3923"/>
      <c r="G5" s="3924" t="s">
        <v>1674</v>
      </c>
      <c r="H5" s="3925"/>
      <c r="I5" s="3924" t="s">
        <v>1675</v>
      </c>
      <c r="J5" s="3925"/>
      <c r="K5" s="558"/>
      <c r="L5" s="2712"/>
      <c r="M5" s="2713"/>
      <c r="N5" s="2713"/>
      <c r="O5" s="2713"/>
      <c r="P5" s="3967"/>
      <c r="Q5" s="3938"/>
      <c r="R5" s="3920"/>
      <c r="S5" s="3921"/>
      <c r="T5" s="3920"/>
      <c r="U5" s="3921"/>
      <c r="V5" s="3943"/>
      <c r="W5" s="3943"/>
      <c r="X5" s="1352"/>
      <c r="Y5" s="3920"/>
      <c r="Z5" s="3921"/>
      <c r="AA5" s="3914"/>
      <c r="AB5" s="3914"/>
      <c r="AC5" s="3963"/>
    </row>
    <row r="6" spans="1:29" ht="15" thickBot="1">
      <c r="A6" s="359"/>
      <c r="B6" s="360"/>
      <c r="C6" s="3926" t="s">
        <v>1676</v>
      </c>
      <c r="D6" s="3927"/>
      <c r="E6" s="3928" t="s">
        <v>1676</v>
      </c>
      <c r="F6" s="3929"/>
      <c r="G6" s="3926" t="s">
        <v>1676</v>
      </c>
      <c r="H6" s="3927"/>
      <c r="I6" s="3926" t="s">
        <v>1676</v>
      </c>
      <c r="J6" s="3927"/>
      <c r="K6" s="558" t="s">
        <v>1677</v>
      </c>
      <c r="L6" s="2712"/>
      <c r="M6" s="2713"/>
      <c r="N6" s="2713"/>
      <c r="O6" s="2713"/>
      <c r="P6" s="3968"/>
      <c r="Q6" s="3940"/>
      <c r="R6" s="3920"/>
      <c r="S6" s="3921"/>
      <c r="T6" s="3941"/>
      <c r="U6" s="3942"/>
      <c r="V6" s="3943"/>
      <c r="W6" s="3943"/>
      <c r="X6" s="1352"/>
      <c r="Y6" s="3941"/>
      <c r="Z6" s="3942"/>
      <c r="AA6" s="3915"/>
      <c r="AB6" s="3915"/>
      <c r="AC6" s="3964"/>
    </row>
    <row r="7" spans="1:29" s="108" customFormat="1" ht="15" thickBot="1">
      <c r="A7" s="361" t="s">
        <v>1678</v>
      </c>
      <c r="B7" s="362"/>
      <c r="C7" s="363">
        <f>'数据-取费表'!B2</f>
        <v>45511</v>
      </c>
      <c r="D7" s="364">
        <v>100</v>
      </c>
      <c r="E7" s="365"/>
      <c r="F7" s="366">
        <f>SUMIF(59:59,YEAR(E7)&amp;"-"&amp;MONTH(E7),60:60)</f>
        <v>0</v>
      </c>
      <c r="G7" s="365"/>
      <c r="H7" s="364">
        <f>SUMIF(59:59,YEAR(G7)&amp;"-"&amp;MONTH(G7),60:60)</f>
        <v>0</v>
      </c>
      <c r="I7" s="365"/>
      <c r="J7" s="364">
        <f>SUMIF(59:59,YEAR(I7)&amp;"-"&amp;MONTH(I7),60:60)</f>
        <v>0</v>
      </c>
      <c r="K7" s="559"/>
      <c r="L7" s="2714"/>
      <c r="M7" s="2715"/>
      <c r="N7" s="2715"/>
      <c r="O7" s="2715"/>
      <c r="P7" s="3970" t="s">
        <v>1679</v>
      </c>
      <c r="Q7" s="3944"/>
      <c r="R7" s="699" t="s">
        <v>14</v>
      </c>
      <c r="S7" s="700">
        <f t="shared" ref="S7:S15" si="0">F7</f>
        <v>0</v>
      </c>
      <c r="T7" s="699" t="s">
        <v>14</v>
      </c>
      <c r="U7" s="700">
        <f t="shared" ref="U7:U15" si="1">H7</f>
        <v>0</v>
      </c>
      <c r="V7" s="699" t="s">
        <v>14</v>
      </c>
      <c r="W7" s="700">
        <f t="shared" ref="W7:W15" si="2">J7</f>
        <v>0</v>
      </c>
      <c r="X7" s="701"/>
      <c r="Y7" s="3916" t="s">
        <v>1679</v>
      </c>
      <c r="Z7" s="3917"/>
      <c r="AA7" s="702" t="e">
        <f>D7/F7</f>
        <v>#DIV/0!</v>
      </c>
      <c r="AB7" s="702" t="e">
        <f>D7/H7</f>
        <v>#DIV/0!</v>
      </c>
      <c r="AC7" s="1956" t="e">
        <f>D7/J7</f>
        <v>#DIV/0!</v>
      </c>
    </row>
    <row r="8" spans="1:29" s="108" customFormat="1" ht="1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970" t="s">
        <v>1682</v>
      </c>
      <c r="Q8" s="3917"/>
      <c r="R8" s="699" t="s">
        <v>14</v>
      </c>
      <c r="S8" s="700">
        <f t="shared" si="0"/>
        <v>100</v>
      </c>
      <c r="T8" s="699" t="s">
        <v>14</v>
      </c>
      <c r="U8" s="700">
        <f t="shared" si="1"/>
        <v>100</v>
      </c>
      <c r="V8" s="699" t="s">
        <v>14</v>
      </c>
      <c r="W8" s="700">
        <f t="shared" si="2"/>
        <v>100</v>
      </c>
      <c r="X8" s="701"/>
      <c r="Y8" s="3916" t="s">
        <v>1682</v>
      </c>
      <c r="Z8" s="3917"/>
      <c r="AA8" s="702">
        <f t="shared" ref="AA8:AA47" si="3">D8/F8</f>
        <v>1</v>
      </c>
      <c r="AB8" s="702">
        <f t="shared" ref="AB8:AB47" si="4">D8/H8</f>
        <v>1</v>
      </c>
      <c r="AC8" s="1956">
        <f t="shared" ref="AC8:AC47" si="5">D8/J8</f>
        <v>1</v>
      </c>
    </row>
    <row r="9" spans="1:29" s="108" customFormat="1" ht="14.4">
      <c r="A9" s="368" t="s">
        <v>1683</v>
      </c>
      <c r="B9" s="63" t="s">
        <v>1684</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930" t="s">
        <v>1685</v>
      </c>
      <c r="Q9" s="1340" t="str">
        <f t="shared" ref="Q9:Q15" si="6">B9</f>
        <v>用途</v>
      </c>
      <c r="R9" s="699" t="s">
        <v>14</v>
      </c>
      <c r="S9" s="700">
        <f t="shared" si="0"/>
        <v>100</v>
      </c>
      <c r="T9" s="699" t="s">
        <v>14</v>
      </c>
      <c r="U9" s="700">
        <f t="shared" si="1"/>
        <v>100</v>
      </c>
      <c r="V9" s="699" t="s">
        <v>14</v>
      </c>
      <c r="W9" s="700">
        <f t="shared" si="2"/>
        <v>100</v>
      </c>
      <c r="X9" s="701"/>
      <c r="Y9" s="3840" t="s">
        <v>1686</v>
      </c>
      <c r="Z9" s="52" t="str">
        <f t="shared" ref="Z9:Z15" si="7">Q9</f>
        <v>用途</v>
      </c>
      <c r="AA9" s="702">
        <f t="shared" si="3"/>
        <v>1</v>
      </c>
      <c r="AB9" s="702">
        <f t="shared" si="4"/>
        <v>1</v>
      </c>
      <c r="AC9" s="1956">
        <f t="shared" si="5"/>
        <v>1</v>
      </c>
    </row>
    <row r="10" spans="1:29" s="377" customFormat="1" ht="28.8">
      <c r="A10" s="373"/>
      <c r="B10" s="374" t="s">
        <v>1687</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930"/>
      <c r="Q10" s="1340" t="str">
        <f t="shared" si="6"/>
        <v>土地使用年限（年）</v>
      </c>
      <c r="R10" s="699" t="s">
        <v>14</v>
      </c>
      <c r="S10" s="700">
        <f t="shared" si="0"/>
        <v>100</v>
      </c>
      <c r="T10" s="699" t="s">
        <v>14</v>
      </c>
      <c r="U10" s="700">
        <f t="shared" si="1"/>
        <v>100</v>
      </c>
      <c r="V10" s="699" t="s">
        <v>14</v>
      </c>
      <c r="W10" s="700">
        <f t="shared" si="2"/>
        <v>100</v>
      </c>
      <c r="X10" s="701"/>
      <c r="Y10" s="3840"/>
      <c r="Z10" s="52" t="str">
        <f t="shared" si="7"/>
        <v>土地使用年限（年）</v>
      </c>
      <c r="AA10" s="702">
        <f t="shared" si="3"/>
        <v>1</v>
      </c>
      <c r="AB10" s="702">
        <f t="shared" si="4"/>
        <v>1</v>
      </c>
      <c r="AC10" s="1956">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930"/>
      <c r="Q11" s="1340" t="str">
        <f t="shared" si="6"/>
        <v>容积率</v>
      </c>
      <c r="R11" s="699" t="s">
        <v>14</v>
      </c>
      <c r="S11" s="700">
        <f t="shared" si="0"/>
        <v>100</v>
      </c>
      <c r="T11" s="699" t="s">
        <v>14</v>
      </c>
      <c r="U11" s="700">
        <f t="shared" si="1"/>
        <v>100</v>
      </c>
      <c r="V11" s="699" t="s">
        <v>14</v>
      </c>
      <c r="W11" s="700">
        <f t="shared" si="2"/>
        <v>100</v>
      </c>
      <c r="X11" s="701"/>
      <c r="Y11" s="3840"/>
      <c r="Z11" s="52" t="str">
        <f t="shared" si="7"/>
        <v>容积率</v>
      </c>
      <c r="AA11" s="702">
        <f t="shared" si="3"/>
        <v>1</v>
      </c>
      <c r="AB11" s="702">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930"/>
      <c r="Q12" s="1340">
        <f t="shared" si="6"/>
        <v>111</v>
      </c>
      <c r="R12" s="699" t="s">
        <v>14</v>
      </c>
      <c r="S12" s="700">
        <f t="shared" si="0"/>
        <v>100</v>
      </c>
      <c r="T12" s="699" t="s">
        <v>14</v>
      </c>
      <c r="U12" s="700">
        <f t="shared" si="1"/>
        <v>100</v>
      </c>
      <c r="V12" s="699" t="s">
        <v>14</v>
      </c>
      <c r="W12" s="700">
        <f t="shared" si="2"/>
        <v>100</v>
      </c>
      <c r="X12" s="701"/>
      <c r="Y12" s="3840"/>
      <c r="Z12" s="52">
        <f t="shared" si="7"/>
        <v>111</v>
      </c>
      <c r="AA12" s="702">
        <f>D12/F12</f>
        <v>1</v>
      </c>
      <c r="AB12" s="702">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930"/>
      <c r="Q13" s="1340">
        <f t="shared" si="6"/>
        <v>111</v>
      </c>
      <c r="R13" s="699" t="s">
        <v>14</v>
      </c>
      <c r="S13" s="700">
        <f t="shared" si="0"/>
        <v>100</v>
      </c>
      <c r="T13" s="699" t="s">
        <v>14</v>
      </c>
      <c r="U13" s="700">
        <f t="shared" si="1"/>
        <v>100</v>
      </c>
      <c r="V13" s="699" t="s">
        <v>14</v>
      </c>
      <c r="W13" s="700">
        <f t="shared" si="2"/>
        <v>100</v>
      </c>
      <c r="X13" s="701"/>
      <c r="Y13" s="3840"/>
      <c r="Z13" s="52">
        <f t="shared" si="7"/>
        <v>111</v>
      </c>
      <c r="AA13" s="702">
        <f t="shared" si="3"/>
        <v>1</v>
      </c>
      <c r="AB13" s="702">
        <f t="shared" si="4"/>
        <v>1</v>
      </c>
      <c r="AC13" s="1956">
        <f t="shared" si="5"/>
        <v>1</v>
      </c>
    </row>
    <row r="14" spans="1:29" ht="15.6"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930"/>
      <c r="Q14" s="1340">
        <f t="shared" si="6"/>
        <v>111</v>
      </c>
      <c r="R14" s="699" t="s">
        <v>14</v>
      </c>
      <c r="S14" s="700">
        <f t="shared" si="0"/>
        <v>100</v>
      </c>
      <c r="T14" s="699" t="s">
        <v>14</v>
      </c>
      <c r="U14" s="700">
        <f t="shared" si="1"/>
        <v>100</v>
      </c>
      <c r="V14" s="699" t="s">
        <v>14</v>
      </c>
      <c r="W14" s="700">
        <f t="shared" si="2"/>
        <v>100</v>
      </c>
      <c r="X14" s="701"/>
      <c r="Y14" s="3840"/>
      <c r="Z14" s="52">
        <f t="shared" si="7"/>
        <v>111</v>
      </c>
      <c r="AA14" s="702">
        <f t="shared" si="3"/>
        <v>1</v>
      </c>
      <c r="AB14" s="702">
        <f t="shared" si="4"/>
        <v>1</v>
      </c>
      <c r="AC14" s="1956">
        <f t="shared" si="5"/>
        <v>1</v>
      </c>
    </row>
    <row r="15" spans="1:29" ht="69">
      <c r="A15" s="390" t="s">
        <v>1689</v>
      </c>
      <c r="B15" s="576" t="s">
        <v>1810</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957" t="s">
        <v>1690</v>
      </c>
      <c r="Q15" s="1349" t="str">
        <f t="shared" si="6"/>
        <v>办公集聚程度</v>
      </c>
      <c r="R15" s="703" t="s">
        <v>14</v>
      </c>
      <c r="S15" s="704">
        <f t="shared" si="0"/>
        <v>100</v>
      </c>
      <c r="T15" s="703" t="s">
        <v>14</v>
      </c>
      <c r="U15" s="704">
        <f t="shared" si="1"/>
        <v>100</v>
      </c>
      <c r="V15" s="703" t="s">
        <v>14</v>
      </c>
      <c r="W15" s="704">
        <f t="shared" si="2"/>
        <v>100</v>
      </c>
      <c r="X15" s="1352"/>
      <c r="Y15" s="3950" t="s">
        <v>1690</v>
      </c>
      <c r="Z15" s="1353" t="str">
        <f t="shared" si="7"/>
        <v>办公集聚程度</v>
      </c>
      <c r="AA15" s="1350">
        <f t="shared" si="3"/>
        <v>1</v>
      </c>
      <c r="AB15" s="1350">
        <f t="shared" si="4"/>
        <v>1</v>
      </c>
      <c r="AC15" s="1959">
        <f t="shared" si="5"/>
        <v>1</v>
      </c>
    </row>
    <row r="16" spans="1:29" ht="15">
      <c r="A16" s="378"/>
      <c r="B16" s="577"/>
      <c r="C16" s="1901"/>
      <c r="D16" s="398"/>
      <c r="E16" s="397"/>
      <c r="F16" s="398"/>
      <c r="G16" s="1901"/>
      <c r="H16" s="400"/>
      <c r="I16" s="397"/>
      <c r="J16" s="398"/>
      <c r="K16" s="563"/>
      <c r="L16" s="2719"/>
      <c r="M16" s="2713"/>
      <c r="N16" s="2713"/>
      <c r="O16" s="2713"/>
      <c r="P16" s="3958"/>
      <c r="Q16" s="1349"/>
      <c r="R16" s="703"/>
      <c r="S16" s="704"/>
      <c r="T16" s="703"/>
      <c r="U16" s="704"/>
      <c r="V16" s="703"/>
      <c r="W16" s="704"/>
      <c r="X16" s="1352"/>
      <c r="Y16" s="3951"/>
      <c r="Z16" s="1353"/>
      <c r="AA16" s="1350">
        <v>1</v>
      </c>
      <c r="AB16" s="1350">
        <v>1</v>
      </c>
      <c r="AC16" s="1959">
        <v>1</v>
      </c>
    </row>
    <row r="17" spans="1:29" ht="82.8">
      <c r="A17" s="378"/>
      <c r="B17" s="578" t="s">
        <v>1258</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958"/>
      <c r="Q17" s="1349" t="str">
        <f>B17</f>
        <v>交通便捷度</v>
      </c>
      <c r="R17" s="703" t="s">
        <v>14</v>
      </c>
      <c r="S17" s="704">
        <f>F17</f>
        <v>100</v>
      </c>
      <c r="T17" s="703" t="s">
        <v>14</v>
      </c>
      <c r="U17" s="704">
        <f>H17</f>
        <v>100</v>
      </c>
      <c r="V17" s="703" t="s">
        <v>14</v>
      </c>
      <c r="W17" s="704">
        <f>J17</f>
        <v>100</v>
      </c>
      <c r="X17" s="1352"/>
      <c r="Y17" s="3951"/>
      <c r="Z17" s="1353" t="str">
        <f>Q17</f>
        <v>交通便捷度</v>
      </c>
      <c r="AA17" s="1350">
        <f t="shared" si="3"/>
        <v>1</v>
      </c>
      <c r="AB17" s="1350">
        <f t="shared" si="4"/>
        <v>1</v>
      </c>
      <c r="AC17" s="1959">
        <f t="shared" si="5"/>
        <v>1</v>
      </c>
    </row>
    <row r="18" spans="1:29" ht="15">
      <c r="A18" s="378"/>
      <c r="B18" s="579"/>
      <c r="C18" s="1961"/>
      <c r="D18" s="400"/>
      <c r="E18" s="1899"/>
      <c r="F18" s="400"/>
      <c r="G18" s="1900"/>
      <c r="H18" s="398"/>
      <c r="I18" s="1900"/>
      <c r="J18" s="398"/>
      <c r="K18" s="563"/>
      <c r="L18" s="2719"/>
      <c r="M18" s="2713"/>
      <c r="N18" s="2713"/>
      <c r="O18" s="2713"/>
      <c r="P18" s="3958"/>
      <c r="Q18" s="1349"/>
      <c r="R18" s="703"/>
      <c r="S18" s="704"/>
      <c r="T18" s="703"/>
      <c r="U18" s="704"/>
      <c r="V18" s="703"/>
      <c r="W18" s="704"/>
      <c r="X18" s="1352"/>
      <c r="Y18" s="3951"/>
      <c r="Z18" s="1353"/>
      <c r="AA18" s="1350">
        <v>1</v>
      </c>
      <c r="AB18" s="1350">
        <v>1</v>
      </c>
      <c r="AC18" s="1959">
        <v>1</v>
      </c>
    </row>
    <row r="19" spans="1:29" ht="41.4">
      <c r="A19" s="378"/>
      <c r="B19" s="578" t="s">
        <v>1811</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958"/>
      <c r="Q19" s="1349" t="str">
        <f>B19</f>
        <v>公共配套设施</v>
      </c>
      <c r="R19" s="703" t="s">
        <v>14</v>
      </c>
      <c r="S19" s="704">
        <f>F19</f>
        <v>100</v>
      </c>
      <c r="T19" s="703" t="s">
        <v>14</v>
      </c>
      <c r="U19" s="704">
        <f>H19</f>
        <v>100</v>
      </c>
      <c r="V19" s="703" t="s">
        <v>14</v>
      </c>
      <c r="W19" s="704">
        <f>J19</f>
        <v>100</v>
      </c>
      <c r="X19" s="1352"/>
      <c r="Y19" s="3951"/>
      <c r="Z19" s="1353" t="str">
        <f>Q19</f>
        <v>公共配套设施</v>
      </c>
      <c r="AA19" s="1350">
        <f t="shared" si="3"/>
        <v>1</v>
      </c>
      <c r="AB19" s="1350">
        <f t="shared" si="4"/>
        <v>1</v>
      </c>
      <c r="AC19" s="1959">
        <f t="shared" si="5"/>
        <v>1</v>
      </c>
    </row>
    <row r="20" spans="1:29" ht="15">
      <c r="A20" s="378"/>
      <c r="B20" s="579"/>
      <c r="C20" s="1901"/>
      <c r="D20" s="398"/>
      <c r="E20" s="1894"/>
      <c r="F20" s="398"/>
      <c r="G20" s="1895"/>
      <c r="H20" s="398"/>
      <c r="I20" s="1895"/>
      <c r="J20" s="398"/>
      <c r="K20" s="563"/>
      <c r="L20" s="2719"/>
      <c r="M20" s="2713"/>
      <c r="N20" s="2713"/>
      <c r="O20" s="2713"/>
      <c r="P20" s="3958"/>
      <c r="Q20" s="1349"/>
      <c r="R20" s="703"/>
      <c r="S20" s="704"/>
      <c r="T20" s="703"/>
      <c r="U20" s="704"/>
      <c r="V20" s="703"/>
      <c r="W20" s="704"/>
      <c r="X20" s="1352"/>
      <c r="Y20" s="3951"/>
      <c r="Z20" s="1353"/>
      <c r="AA20" s="1350">
        <v>1</v>
      </c>
      <c r="AB20" s="1350">
        <v>1</v>
      </c>
      <c r="AC20" s="1959">
        <v>1</v>
      </c>
    </row>
    <row r="21" spans="1:29" ht="27.6">
      <c r="A21" s="378"/>
      <c r="B21" s="580" t="s">
        <v>1812</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958"/>
      <c r="Q21" s="1349" t="str">
        <f>B21</f>
        <v>基础设施水平</v>
      </c>
      <c r="R21" s="703" t="s">
        <v>14</v>
      </c>
      <c r="S21" s="704">
        <f>F21</f>
        <v>100</v>
      </c>
      <c r="T21" s="703" t="s">
        <v>14</v>
      </c>
      <c r="U21" s="704">
        <f>H21</f>
        <v>100</v>
      </c>
      <c r="V21" s="703" t="s">
        <v>14</v>
      </c>
      <c r="W21" s="704">
        <f>J21</f>
        <v>100</v>
      </c>
      <c r="X21" s="1352"/>
      <c r="Y21" s="3951"/>
      <c r="Z21" s="1353" t="str">
        <f>Q21</f>
        <v>基础设施水平</v>
      </c>
      <c r="AA21" s="1350">
        <f>D21/F21</f>
        <v>1</v>
      </c>
      <c r="AB21" s="1350">
        <f>D21/H21</f>
        <v>1</v>
      </c>
      <c r="AC21" s="1959">
        <f>D21/J21</f>
        <v>1</v>
      </c>
    </row>
    <row r="22" spans="1:29" ht="15">
      <c r="A22" s="378"/>
      <c r="B22" s="580"/>
      <c r="C22" s="1961"/>
      <c r="D22" s="398"/>
      <c r="E22" s="397"/>
      <c r="F22" s="398"/>
      <c r="G22" s="1901"/>
      <c r="H22" s="398"/>
      <c r="I22" s="1901"/>
      <c r="J22" s="398"/>
      <c r="K22" s="1127"/>
      <c r="L22" s="2719"/>
      <c r="M22" s="2713"/>
      <c r="N22" s="2713"/>
      <c r="O22" s="2713"/>
      <c r="P22" s="3958"/>
      <c r="Q22" s="1349"/>
      <c r="R22" s="703"/>
      <c r="S22" s="704"/>
      <c r="T22" s="703"/>
      <c r="U22" s="704"/>
      <c r="V22" s="703"/>
      <c r="W22" s="704"/>
      <c r="X22" s="1352"/>
      <c r="Y22" s="3951"/>
      <c r="Z22" s="1353"/>
      <c r="AA22" s="1350">
        <v>1</v>
      </c>
      <c r="AB22" s="1350">
        <v>1</v>
      </c>
      <c r="AC22" s="1959">
        <v>1</v>
      </c>
    </row>
    <row r="23" spans="1:29" ht="55.2">
      <c r="A23" s="378"/>
      <c r="B23" s="578" t="s">
        <v>1813</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958"/>
      <c r="Q23" s="1349" t="str">
        <f>B23</f>
        <v>环境质量</v>
      </c>
      <c r="R23" s="703" t="s">
        <v>14</v>
      </c>
      <c r="S23" s="704">
        <f>F23</f>
        <v>100</v>
      </c>
      <c r="T23" s="703" t="s">
        <v>14</v>
      </c>
      <c r="U23" s="704">
        <f>H23</f>
        <v>100</v>
      </c>
      <c r="V23" s="703" t="s">
        <v>14</v>
      </c>
      <c r="W23" s="704">
        <f>J23</f>
        <v>100</v>
      </c>
      <c r="X23" s="1352"/>
      <c r="Y23" s="3951"/>
      <c r="Z23" s="1353" t="str">
        <f>Q23</f>
        <v>环境质量</v>
      </c>
      <c r="AA23" s="1350">
        <f t="shared" si="3"/>
        <v>1</v>
      </c>
      <c r="AB23" s="1350">
        <f t="shared" si="4"/>
        <v>1</v>
      </c>
      <c r="AC23" s="1959">
        <f t="shared" si="5"/>
        <v>1</v>
      </c>
    </row>
    <row r="24" spans="1:29" ht="15">
      <c r="A24" s="378"/>
      <c r="B24" s="580"/>
      <c r="C24" s="1901"/>
      <c r="D24" s="398"/>
      <c r="E24" s="1894"/>
      <c r="F24" s="398"/>
      <c r="G24" s="1895"/>
      <c r="H24" s="398"/>
      <c r="I24" s="1895"/>
      <c r="J24" s="398"/>
      <c r="K24" s="563"/>
      <c r="L24" s="2719"/>
      <c r="M24" s="2713"/>
      <c r="N24" s="2713"/>
      <c r="O24" s="2713"/>
      <c r="P24" s="3958"/>
      <c r="Q24" s="1349"/>
      <c r="R24" s="703"/>
      <c r="S24" s="704"/>
      <c r="T24" s="703"/>
      <c r="U24" s="704"/>
      <c r="V24" s="703"/>
      <c r="W24" s="704"/>
      <c r="X24" s="1352"/>
      <c r="Y24" s="3951"/>
      <c r="Z24" s="1353"/>
      <c r="AA24" s="1350">
        <v>1</v>
      </c>
      <c r="AB24" s="1350">
        <v>1</v>
      </c>
      <c r="AC24" s="1959">
        <v>1</v>
      </c>
    </row>
    <row r="25" spans="1:29" ht="28.8">
      <c r="A25" s="357"/>
      <c r="B25" s="578" t="s">
        <v>1814</v>
      </c>
      <c r="C25" s="1905"/>
      <c r="D25" s="385">
        <v>100</v>
      </c>
      <c r="E25" s="384"/>
      <c r="F25" s="385">
        <f>SUMIF(87:87,E26,88:88)-SUMIF(87:87,C26,88:88)+100</f>
        <v>100</v>
      </c>
      <c r="G25" s="1905"/>
      <c r="H25" s="385">
        <f>SUMIF(87:87,G26,88:88)-SUMIF(87:87,C26,88:88)+100</f>
        <v>100</v>
      </c>
      <c r="I25" s="384"/>
      <c r="J25" s="385">
        <f>SUMIF(87:87,I26,88:88)-SUMIF(87:87,C26,88:88)+100</f>
        <v>100</v>
      </c>
      <c r="K25" s="562"/>
      <c r="L25" s="2719"/>
      <c r="M25" s="2713"/>
      <c r="N25" s="2713"/>
      <c r="O25" s="2713"/>
      <c r="P25" s="3958"/>
      <c r="Q25" s="1349" t="str">
        <f>B25</f>
        <v>毗邻道路的类型与等级</v>
      </c>
      <c r="R25" s="703" t="s">
        <v>14</v>
      </c>
      <c r="S25" s="704">
        <f>F25</f>
        <v>100</v>
      </c>
      <c r="T25" s="703" t="s">
        <v>14</v>
      </c>
      <c r="U25" s="704">
        <f>H25</f>
        <v>100</v>
      </c>
      <c r="V25" s="703" t="s">
        <v>14</v>
      </c>
      <c r="W25" s="704">
        <f>J25</f>
        <v>100</v>
      </c>
      <c r="X25" s="1352"/>
      <c r="Y25" s="3951"/>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9"/>
      <c r="M26" s="2713"/>
      <c r="N26" s="2713"/>
      <c r="O26" s="2713"/>
      <c r="P26" s="3958"/>
      <c r="Q26" s="1349"/>
      <c r="R26" s="703"/>
      <c r="S26" s="704"/>
      <c r="T26" s="703"/>
      <c r="U26" s="704"/>
      <c r="V26" s="703"/>
      <c r="W26" s="704"/>
      <c r="X26" s="1352"/>
      <c r="Y26" s="3951"/>
      <c r="Z26" s="1353"/>
      <c r="AA26" s="1350">
        <v>1</v>
      </c>
      <c r="AB26" s="1350">
        <v>1</v>
      </c>
      <c r="AC26" s="1959">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958"/>
      <c r="Q27" s="1349" t="str">
        <f t="shared" ref="Q27:Q47" si="8">B27</f>
        <v>楼层</v>
      </c>
      <c r="R27" s="703" t="s">
        <v>14</v>
      </c>
      <c r="S27" s="704">
        <f>F27</f>
        <v>100</v>
      </c>
      <c r="T27" s="703" t="s">
        <v>14</v>
      </c>
      <c r="U27" s="704">
        <f>H27</f>
        <v>100</v>
      </c>
      <c r="V27" s="703" t="s">
        <v>14</v>
      </c>
      <c r="W27" s="704">
        <f>J27</f>
        <v>100</v>
      </c>
      <c r="X27" s="1352"/>
      <c r="Y27" s="3951"/>
      <c r="Z27" s="1353" t="str">
        <f>Q27</f>
        <v>楼层</v>
      </c>
      <c r="AA27" s="1350">
        <f t="shared" si="3"/>
        <v>1</v>
      </c>
      <c r="AB27" s="1350">
        <f t="shared" si="4"/>
        <v>1</v>
      </c>
      <c r="AC27" s="1959">
        <f t="shared" si="5"/>
        <v>1</v>
      </c>
    </row>
    <row r="28" spans="1:29" s="108" customFormat="1" ht="15">
      <c r="A28" s="381"/>
      <c r="B28" s="578" t="s">
        <v>1815</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958"/>
      <c r="Q28" s="1340" t="str">
        <f t="shared" si="8"/>
        <v>朝向</v>
      </c>
      <c r="R28" s="699" t="s">
        <v>14</v>
      </c>
      <c r="S28" s="700">
        <f>F28</f>
        <v>100</v>
      </c>
      <c r="T28" s="699" t="s">
        <v>14</v>
      </c>
      <c r="U28" s="700">
        <f>H28</f>
        <v>100</v>
      </c>
      <c r="V28" s="699" t="s">
        <v>14</v>
      </c>
      <c r="W28" s="700">
        <f>J28</f>
        <v>100</v>
      </c>
      <c r="X28" s="701"/>
      <c r="Y28" s="3951"/>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958"/>
      <c r="Q29" s="1349">
        <f t="shared" si="8"/>
        <v>111</v>
      </c>
      <c r="R29" s="703" t="s">
        <v>14</v>
      </c>
      <c r="S29" s="704">
        <f t="shared" ref="S29:S47" si="9">F29</f>
        <v>100</v>
      </c>
      <c r="T29" s="703" t="s">
        <v>14</v>
      </c>
      <c r="U29" s="704">
        <f t="shared" ref="U29:U47" si="10">H29</f>
        <v>100</v>
      </c>
      <c r="V29" s="703" t="s">
        <v>14</v>
      </c>
      <c r="W29" s="704">
        <f t="shared" ref="W29:W47" si="11">J29</f>
        <v>100</v>
      </c>
      <c r="X29" s="1352"/>
      <c r="Y29" s="3951"/>
      <c r="Z29" s="1353">
        <f t="shared" ref="Z29:Z47" si="12">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958"/>
      <c r="Q30" s="1349">
        <f t="shared" si="8"/>
        <v>111</v>
      </c>
      <c r="R30" s="703" t="s">
        <v>14</v>
      </c>
      <c r="S30" s="704">
        <f t="shared" si="9"/>
        <v>100</v>
      </c>
      <c r="T30" s="703" t="s">
        <v>14</v>
      </c>
      <c r="U30" s="704">
        <f t="shared" si="10"/>
        <v>100</v>
      </c>
      <c r="V30" s="703" t="s">
        <v>14</v>
      </c>
      <c r="W30" s="704">
        <f t="shared" si="11"/>
        <v>100</v>
      </c>
      <c r="X30" s="1352"/>
      <c r="Y30" s="3951"/>
      <c r="Z30" s="1353">
        <f t="shared" si="12"/>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958"/>
      <c r="Q31" s="1349">
        <f t="shared" si="8"/>
        <v>111</v>
      </c>
      <c r="R31" s="703" t="s">
        <v>14</v>
      </c>
      <c r="S31" s="704">
        <f t="shared" si="9"/>
        <v>100</v>
      </c>
      <c r="T31" s="703" t="s">
        <v>14</v>
      </c>
      <c r="U31" s="704">
        <f t="shared" si="10"/>
        <v>100</v>
      </c>
      <c r="V31" s="703" t="s">
        <v>14</v>
      </c>
      <c r="W31" s="704">
        <f t="shared" si="11"/>
        <v>100</v>
      </c>
      <c r="X31" s="1352"/>
      <c r="Y31" s="3951"/>
      <c r="Z31" s="1353">
        <f t="shared" si="12"/>
        <v>111</v>
      </c>
      <c r="AA31" s="1350">
        <f t="shared" si="3"/>
        <v>1</v>
      </c>
      <c r="AB31" s="1350">
        <f t="shared" si="4"/>
        <v>1</v>
      </c>
      <c r="AC31" s="1959">
        <f t="shared" si="5"/>
        <v>1</v>
      </c>
    </row>
    <row r="32" spans="1:29" ht="15.6"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958"/>
      <c r="Q32" s="1349">
        <f t="shared" si="8"/>
        <v>111</v>
      </c>
      <c r="R32" s="703" t="s">
        <v>14</v>
      </c>
      <c r="S32" s="704">
        <f t="shared" si="9"/>
        <v>100</v>
      </c>
      <c r="T32" s="703" t="s">
        <v>14</v>
      </c>
      <c r="U32" s="704">
        <f t="shared" si="10"/>
        <v>100</v>
      </c>
      <c r="V32" s="703" t="s">
        <v>14</v>
      </c>
      <c r="W32" s="704">
        <f t="shared" si="11"/>
        <v>100</v>
      </c>
      <c r="X32" s="1352"/>
      <c r="Y32" s="3951"/>
      <c r="Z32" s="1353">
        <f t="shared" si="12"/>
        <v>111</v>
      </c>
      <c r="AA32" s="1350">
        <f t="shared" si="3"/>
        <v>1</v>
      </c>
      <c r="AB32" s="1350">
        <f t="shared" si="4"/>
        <v>1</v>
      </c>
      <c r="AC32" s="1959">
        <f t="shared" si="5"/>
        <v>1</v>
      </c>
    </row>
    <row r="33" spans="1:29" ht="15">
      <c r="A33" s="390" t="s">
        <v>1693</v>
      </c>
      <c r="B33" s="63" t="s">
        <v>1816</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9"/>
      <c r="M33" s="2713"/>
      <c r="N33" s="2713"/>
      <c r="O33" s="2713"/>
      <c r="P33" s="3952" t="s">
        <v>1695</v>
      </c>
      <c r="Q33" s="1349" t="str">
        <f t="shared" si="8"/>
        <v>建筑类型</v>
      </c>
      <c r="R33" s="703" t="s">
        <v>14</v>
      </c>
      <c r="S33" s="704">
        <f t="shared" si="9"/>
        <v>100</v>
      </c>
      <c r="T33" s="703" t="s">
        <v>14</v>
      </c>
      <c r="U33" s="704">
        <f t="shared" si="10"/>
        <v>100</v>
      </c>
      <c r="V33" s="703" t="s">
        <v>14</v>
      </c>
      <c r="W33" s="704">
        <f t="shared" si="11"/>
        <v>100</v>
      </c>
      <c r="X33" s="1352"/>
      <c r="Y33" s="3955" t="s">
        <v>1695</v>
      </c>
      <c r="Z33" s="1353" t="str">
        <f t="shared" si="12"/>
        <v>建筑类型</v>
      </c>
      <c r="AA33" s="1350">
        <f t="shared" si="3"/>
        <v>1</v>
      </c>
      <c r="AB33" s="1350">
        <f t="shared" si="4"/>
        <v>1</v>
      </c>
      <c r="AC33" s="1959">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953"/>
      <c r="Q34" s="705" t="str">
        <f t="shared" si="8"/>
        <v>项目建筑规模</v>
      </c>
      <c r="R34" s="706" t="s">
        <v>14</v>
      </c>
      <c r="S34" s="707" t="e">
        <f t="shared" si="9"/>
        <v>#N/A</v>
      </c>
      <c r="T34" s="706" t="s">
        <v>14</v>
      </c>
      <c r="U34" s="707" t="e">
        <f t="shared" si="10"/>
        <v>#N/A</v>
      </c>
      <c r="V34" s="706" t="s">
        <v>14</v>
      </c>
      <c r="W34" s="707" t="e">
        <f t="shared" si="11"/>
        <v>#N/A</v>
      </c>
      <c r="X34" s="708"/>
      <c r="Y34" s="3955"/>
      <c r="Z34" s="709" t="str">
        <f t="shared" si="12"/>
        <v>项目建筑规模</v>
      </c>
      <c r="AA34" s="1350" t="e">
        <f t="shared" si="3"/>
        <v>#N/A</v>
      </c>
      <c r="AB34" s="1350" t="e">
        <f t="shared" si="4"/>
        <v>#N/A</v>
      </c>
      <c r="AC34" s="1959"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953"/>
      <c r="Q35" s="1349" t="str">
        <f t="shared" si="8"/>
        <v>建筑结构</v>
      </c>
      <c r="R35" s="703" t="s">
        <v>14</v>
      </c>
      <c r="S35" s="704">
        <f t="shared" si="9"/>
        <v>100</v>
      </c>
      <c r="T35" s="703" t="s">
        <v>14</v>
      </c>
      <c r="U35" s="704">
        <f t="shared" si="10"/>
        <v>100</v>
      </c>
      <c r="V35" s="703" t="s">
        <v>14</v>
      </c>
      <c r="W35" s="704">
        <f t="shared" si="11"/>
        <v>100</v>
      </c>
      <c r="X35" s="1352"/>
      <c r="Y35" s="3955"/>
      <c r="Z35" s="1353" t="str">
        <f t="shared" si="12"/>
        <v>建筑结构</v>
      </c>
      <c r="AA35" s="1350">
        <f t="shared" si="3"/>
        <v>1</v>
      </c>
      <c r="AB35" s="1350">
        <f t="shared" si="4"/>
        <v>1</v>
      </c>
      <c r="AC35" s="1959">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953"/>
      <c r="Q36" s="1349" t="str">
        <f t="shared" si="8"/>
        <v>公共部分装修</v>
      </c>
      <c r="R36" s="703" t="s">
        <v>14</v>
      </c>
      <c r="S36" s="704">
        <f t="shared" si="9"/>
        <v>100</v>
      </c>
      <c r="T36" s="703" t="s">
        <v>14</v>
      </c>
      <c r="U36" s="704">
        <f t="shared" si="10"/>
        <v>100</v>
      </c>
      <c r="V36" s="703" t="s">
        <v>14</v>
      </c>
      <c r="W36" s="704">
        <f t="shared" si="11"/>
        <v>100</v>
      </c>
      <c r="X36" s="1352"/>
      <c r="Y36" s="3955"/>
      <c r="Z36" s="1353" t="str">
        <f t="shared" si="12"/>
        <v>公共部分装修</v>
      </c>
      <c r="AA36" s="1350">
        <f t="shared" si="3"/>
        <v>1</v>
      </c>
      <c r="AB36" s="1350">
        <f t="shared" si="4"/>
        <v>1</v>
      </c>
      <c r="AC36" s="1959">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953"/>
      <c r="Q37" s="1349" t="str">
        <f t="shared" si="8"/>
        <v>成新度</v>
      </c>
      <c r="R37" s="703" t="s">
        <v>14</v>
      </c>
      <c r="S37" s="704" t="e">
        <f t="shared" si="9"/>
        <v>#N/A</v>
      </c>
      <c r="T37" s="703" t="s">
        <v>14</v>
      </c>
      <c r="U37" s="704" t="e">
        <f t="shared" si="10"/>
        <v>#N/A</v>
      </c>
      <c r="V37" s="703" t="s">
        <v>14</v>
      </c>
      <c r="W37" s="704" t="e">
        <f t="shared" si="11"/>
        <v>#N/A</v>
      </c>
      <c r="X37" s="1352"/>
      <c r="Y37" s="3955"/>
      <c r="Z37" s="1353" t="str">
        <f t="shared" si="12"/>
        <v>成新度</v>
      </c>
      <c r="AA37" s="1350" t="e">
        <f t="shared" si="3"/>
        <v>#N/A</v>
      </c>
      <c r="AB37" s="1350" t="e">
        <f t="shared" si="4"/>
        <v>#N/A</v>
      </c>
      <c r="AC37" s="1959" t="e">
        <f t="shared" si="5"/>
        <v>#N/A</v>
      </c>
    </row>
    <row r="38" spans="1:29" s="108"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953"/>
      <c r="Q38" s="1340" t="str">
        <f t="shared" si="8"/>
        <v>写字楼等级</v>
      </c>
      <c r="R38" s="699" t="s">
        <v>14</v>
      </c>
      <c r="S38" s="700">
        <f t="shared" si="9"/>
        <v>100</v>
      </c>
      <c r="T38" s="699" t="s">
        <v>14</v>
      </c>
      <c r="U38" s="700">
        <f t="shared" si="10"/>
        <v>100</v>
      </c>
      <c r="V38" s="699" t="s">
        <v>14</v>
      </c>
      <c r="W38" s="700">
        <f t="shared" si="11"/>
        <v>100</v>
      </c>
      <c r="X38" s="701"/>
      <c r="Y38" s="3955"/>
      <c r="Z38" s="52" t="str">
        <f t="shared" si="12"/>
        <v>写字楼等级</v>
      </c>
      <c r="AA38" s="702">
        <f t="shared" si="3"/>
        <v>1</v>
      </c>
      <c r="AB38" s="702">
        <f t="shared" si="4"/>
        <v>1</v>
      </c>
      <c r="AC38" s="1956">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953" t="s">
        <v>1695</v>
      </c>
      <c r="Q39" s="1349" t="str">
        <f t="shared" si="8"/>
        <v>物业管理</v>
      </c>
      <c r="R39" s="703" t="s">
        <v>14</v>
      </c>
      <c r="S39" s="704">
        <f t="shared" si="9"/>
        <v>100</v>
      </c>
      <c r="T39" s="703" t="s">
        <v>14</v>
      </c>
      <c r="U39" s="704">
        <f t="shared" si="10"/>
        <v>100</v>
      </c>
      <c r="V39" s="703" t="s">
        <v>14</v>
      </c>
      <c r="W39" s="704">
        <f t="shared" si="11"/>
        <v>100</v>
      </c>
      <c r="X39" s="1352"/>
      <c r="Y39" s="3955" t="s">
        <v>1695</v>
      </c>
      <c r="Z39" s="1353" t="str">
        <f t="shared" si="12"/>
        <v>物业管理</v>
      </c>
      <c r="AA39" s="1350">
        <f t="shared" si="3"/>
        <v>1</v>
      </c>
      <c r="AB39" s="1350">
        <f t="shared" si="4"/>
        <v>1</v>
      </c>
      <c r="AC39" s="1959">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953"/>
      <c r="Q40" s="1349" t="str">
        <f t="shared" si="8"/>
        <v>市政基础设施</v>
      </c>
      <c r="R40" s="703" t="s">
        <v>14</v>
      </c>
      <c r="S40" s="704">
        <f t="shared" si="9"/>
        <v>100</v>
      </c>
      <c r="T40" s="703" t="s">
        <v>14</v>
      </c>
      <c r="U40" s="704">
        <f t="shared" si="10"/>
        <v>100</v>
      </c>
      <c r="V40" s="703" t="s">
        <v>14</v>
      </c>
      <c r="W40" s="704">
        <f t="shared" si="11"/>
        <v>100</v>
      </c>
      <c r="X40" s="1352"/>
      <c r="Y40" s="3955"/>
      <c r="Z40" s="1353" t="str">
        <f t="shared" si="12"/>
        <v>市政基础设施</v>
      </c>
      <c r="AA40" s="1350">
        <f t="shared" si="3"/>
        <v>1</v>
      </c>
      <c r="AB40" s="1350">
        <f t="shared" si="4"/>
        <v>1</v>
      </c>
      <c r="AC40" s="1959">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953"/>
      <c r="Q41" s="1349" t="str">
        <f t="shared" si="8"/>
        <v>层高</v>
      </c>
      <c r="R41" s="703" t="s">
        <v>14</v>
      </c>
      <c r="S41" s="704">
        <f t="shared" si="9"/>
        <v>100</v>
      </c>
      <c r="T41" s="703" t="s">
        <v>14</v>
      </c>
      <c r="U41" s="704">
        <f t="shared" si="10"/>
        <v>100</v>
      </c>
      <c r="V41" s="703" t="s">
        <v>14</v>
      </c>
      <c r="W41" s="704">
        <f t="shared" si="11"/>
        <v>100</v>
      </c>
      <c r="X41" s="1352"/>
      <c r="Y41" s="3955"/>
      <c r="Z41" s="1353" t="str">
        <f t="shared" si="12"/>
        <v>层高</v>
      </c>
      <c r="AA41" s="1350">
        <f t="shared" si="3"/>
        <v>1</v>
      </c>
      <c r="AB41" s="1350">
        <f t="shared" si="4"/>
        <v>1</v>
      </c>
      <c r="AC41" s="1959">
        <f t="shared" si="5"/>
        <v>1</v>
      </c>
    </row>
    <row r="42" spans="1:29" s="421" customFormat="1" ht="15">
      <c r="A42" s="418"/>
      <c r="B42" s="1351"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953"/>
      <c r="Q42" s="705" t="str">
        <f t="shared" si="8"/>
        <v>单套建筑面积</v>
      </c>
      <c r="R42" s="706" t="s">
        <v>14</v>
      </c>
      <c r="S42" s="707">
        <f t="shared" si="9"/>
        <v>100</v>
      </c>
      <c r="T42" s="706" t="s">
        <v>14</v>
      </c>
      <c r="U42" s="707">
        <f t="shared" si="10"/>
        <v>100</v>
      </c>
      <c r="V42" s="706" t="s">
        <v>14</v>
      </c>
      <c r="W42" s="707">
        <f t="shared" si="11"/>
        <v>100</v>
      </c>
      <c r="X42" s="708"/>
      <c r="Y42" s="3955"/>
      <c r="Z42" s="709" t="str">
        <f t="shared" si="12"/>
        <v>单套建筑面积</v>
      </c>
      <c r="AA42" s="1350">
        <f t="shared" si="3"/>
        <v>1</v>
      </c>
      <c r="AB42" s="1350">
        <f t="shared" si="4"/>
        <v>1</v>
      </c>
      <c r="AC42" s="1959">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953"/>
      <c r="Q43" s="1349" t="str">
        <f t="shared" si="8"/>
        <v>内部装修</v>
      </c>
      <c r="R43" s="703" t="s">
        <v>14</v>
      </c>
      <c r="S43" s="704">
        <f t="shared" si="9"/>
        <v>100</v>
      </c>
      <c r="T43" s="703" t="s">
        <v>14</v>
      </c>
      <c r="U43" s="704">
        <f t="shared" si="10"/>
        <v>100</v>
      </c>
      <c r="V43" s="703" t="s">
        <v>14</v>
      </c>
      <c r="W43" s="704">
        <f t="shared" si="11"/>
        <v>100</v>
      </c>
      <c r="X43" s="1352"/>
      <c r="Y43" s="3955"/>
      <c r="Z43" s="1353" t="str">
        <f t="shared" si="12"/>
        <v>内部装修</v>
      </c>
      <c r="AA43" s="1350">
        <f t="shared" si="3"/>
        <v>1</v>
      </c>
      <c r="AB43" s="1350">
        <f t="shared" si="4"/>
        <v>1</v>
      </c>
      <c r="AC43" s="1959">
        <f t="shared" si="5"/>
        <v>1</v>
      </c>
    </row>
    <row r="44" spans="1:29" ht="28.8">
      <c r="A44" s="422"/>
      <c r="B44" s="374" t="s">
        <v>1706</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9"/>
      <c r="M44" s="2713"/>
      <c r="N44" s="2713"/>
      <c r="O44" s="2713"/>
      <c r="P44" s="3953"/>
      <c r="Q44" s="1349" t="str">
        <f t="shared" si="8"/>
        <v>内部装修维护情况</v>
      </c>
      <c r="R44" s="703" t="s">
        <v>14</v>
      </c>
      <c r="S44" s="704">
        <f t="shared" si="9"/>
        <v>100</v>
      </c>
      <c r="T44" s="703" t="s">
        <v>14</v>
      </c>
      <c r="U44" s="704">
        <f t="shared" si="10"/>
        <v>100</v>
      </c>
      <c r="V44" s="703" t="s">
        <v>14</v>
      </c>
      <c r="W44" s="704">
        <f t="shared" si="11"/>
        <v>100</v>
      </c>
      <c r="X44" s="1352"/>
      <c r="Y44" s="3955"/>
      <c r="Z44" s="1353" t="str">
        <f t="shared" si="12"/>
        <v>内部装修维护情况</v>
      </c>
      <c r="AA44" s="1350">
        <f t="shared" si="3"/>
        <v>1</v>
      </c>
      <c r="AB44" s="1350">
        <f t="shared" si="4"/>
        <v>1</v>
      </c>
      <c r="AC44" s="1959">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953"/>
      <c r="Q45" s="1340">
        <f t="shared" si="8"/>
        <v>111</v>
      </c>
      <c r="R45" s="699" t="s">
        <v>14</v>
      </c>
      <c r="S45" s="700">
        <f t="shared" si="9"/>
        <v>100</v>
      </c>
      <c r="T45" s="699" t="s">
        <v>14</v>
      </c>
      <c r="U45" s="700">
        <f t="shared" si="10"/>
        <v>100</v>
      </c>
      <c r="V45" s="699" t="s">
        <v>14</v>
      </c>
      <c r="W45" s="700">
        <f t="shared" si="11"/>
        <v>100</v>
      </c>
      <c r="X45" s="701"/>
      <c r="Y45" s="3955"/>
      <c r="Z45" s="52">
        <f t="shared" si="12"/>
        <v>111</v>
      </c>
      <c r="AA45" s="702">
        <f t="shared" si="3"/>
        <v>1</v>
      </c>
      <c r="AB45" s="702">
        <f t="shared" si="4"/>
        <v>1</v>
      </c>
      <c r="AC45" s="1956">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953"/>
      <c r="Q46" s="1349">
        <f t="shared" si="8"/>
        <v>111</v>
      </c>
      <c r="R46" s="703" t="s">
        <v>14</v>
      </c>
      <c r="S46" s="704">
        <f t="shared" si="9"/>
        <v>100</v>
      </c>
      <c r="T46" s="703" t="s">
        <v>14</v>
      </c>
      <c r="U46" s="704">
        <f t="shared" si="10"/>
        <v>100</v>
      </c>
      <c r="V46" s="703" t="s">
        <v>14</v>
      </c>
      <c r="W46" s="704">
        <f t="shared" si="11"/>
        <v>100</v>
      </c>
      <c r="X46" s="1352"/>
      <c r="Y46" s="3955"/>
      <c r="Z46" s="1353">
        <f t="shared" si="12"/>
        <v>111</v>
      </c>
      <c r="AA46" s="1350">
        <f t="shared" si="3"/>
        <v>1</v>
      </c>
      <c r="AB46" s="1350">
        <f t="shared" si="4"/>
        <v>1</v>
      </c>
      <c r="AC46" s="1959">
        <f t="shared" si="5"/>
        <v>1</v>
      </c>
    </row>
    <row r="47" spans="1:29" ht="15.6"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954"/>
      <c r="Q47" s="1349">
        <f t="shared" si="8"/>
        <v>111</v>
      </c>
      <c r="R47" s="703" t="s">
        <v>14</v>
      </c>
      <c r="S47" s="704">
        <f t="shared" si="9"/>
        <v>100</v>
      </c>
      <c r="T47" s="703" t="s">
        <v>14</v>
      </c>
      <c r="U47" s="704">
        <f t="shared" si="10"/>
        <v>100</v>
      </c>
      <c r="V47" s="703" t="s">
        <v>14</v>
      </c>
      <c r="W47" s="704">
        <f t="shared" si="11"/>
        <v>100</v>
      </c>
      <c r="X47" s="1352"/>
      <c r="Y47" s="3956"/>
      <c r="Z47" s="1353">
        <f t="shared" si="12"/>
        <v>111</v>
      </c>
      <c r="AA47" s="1350">
        <f t="shared" si="3"/>
        <v>1</v>
      </c>
      <c r="AB47" s="1350">
        <f t="shared" si="4"/>
        <v>1</v>
      </c>
      <c r="AC47" s="1959">
        <f t="shared" si="5"/>
        <v>1</v>
      </c>
    </row>
    <row r="48" spans="1:29" ht="14.4">
      <c r="A48" s="429" t="s">
        <v>1707</v>
      </c>
      <c r="B48" s="430"/>
      <c r="C48" s="1151" t="s">
        <v>0</v>
      </c>
      <c r="D48" s="1152"/>
      <c r="E48" s="1153"/>
      <c r="F48" s="1154"/>
      <c r="G48" s="1155"/>
      <c r="H48" s="1156"/>
      <c r="I48" s="1153"/>
      <c r="J48" s="435"/>
      <c r="K48" s="712"/>
      <c r="L48" s="2721"/>
      <c r="M48" s="2713"/>
      <c r="N48" s="2713"/>
      <c r="O48" s="2713"/>
      <c r="P48" s="3930" t="str">
        <f>A48</f>
        <v>成交单价（元/平方米）</v>
      </c>
      <c r="Q48" s="3948"/>
      <c r="R48" s="3949">
        <f>E48</f>
        <v>0</v>
      </c>
      <c r="S48" s="3949"/>
      <c r="T48" s="3949">
        <f>G48</f>
        <v>0</v>
      </c>
      <c r="U48" s="3949"/>
      <c r="V48" s="3949">
        <f>I48</f>
        <v>0</v>
      </c>
      <c r="W48" s="3949"/>
      <c r="X48" s="396"/>
      <c r="Y48" s="710"/>
      <c r="Z48" s="396"/>
      <c r="AA48" s="396"/>
      <c r="AB48" s="396"/>
      <c r="AC48" s="577"/>
    </row>
    <row r="49" spans="1:29" ht="15" thickBot="1">
      <c r="A49" s="436" t="s">
        <v>1792</v>
      </c>
      <c r="B49" s="437"/>
      <c r="C49" s="1157" t="e">
        <f>R50</f>
        <v>#DIV/0!</v>
      </c>
      <c r="D49" s="2314" t="s">
        <v>2137</v>
      </c>
      <c r="E49" s="1158" t="e">
        <f>R49</f>
        <v>#DIV/0!</v>
      </c>
      <c r="F49" s="2315"/>
      <c r="G49" s="1157" t="e">
        <f>T49</f>
        <v>#DIV/0!</v>
      </c>
      <c r="H49" s="2315"/>
      <c r="I49" s="1158" t="e">
        <f>V49</f>
        <v>#DIV/0!</v>
      </c>
      <c r="J49" s="2315"/>
      <c r="K49" s="2317">
        <f>F49+H49+J49</f>
        <v>0</v>
      </c>
      <c r="L49" s="2721"/>
      <c r="M49" s="2713"/>
      <c r="N49" s="2713"/>
      <c r="O49" s="2713"/>
      <c r="P49" s="3930" t="str">
        <f>A49</f>
        <v>比较价值（元/平方米）</v>
      </c>
      <c r="Q49" s="3948"/>
      <c r="R49" s="3949" t="e">
        <f>IF(F1="售价",ROUND(PRODUCT(R48,AA7:AA47),0),ROUND(PRODUCT(R48,AA7:AA47),1))</f>
        <v>#DIV/0!</v>
      </c>
      <c r="S49" s="3949"/>
      <c r="T49" s="3949" t="e">
        <f>IF(F1="售价",ROUND(PRODUCT(T48,AB7:AB47),0),ROUND(PRODUCT(T48,AB7:AB47),1))</f>
        <v>#DIV/0!</v>
      </c>
      <c r="U49" s="3949"/>
      <c r="V49" s="3949" t="e">
        <f>IF(F1="售价",ROUND(PRODUCT(V48,AC7:AC47),0),ROUND(PRODUCT(V48,AC7:AC47),1))</f>
        <v>#DIV/0!</v>
      </c>
      <c r="W49" s="3949"/>
      <c r="X49" s="396"/>
      <c r="Y49" s="396"/>
      <c r="Z49" s="396"/>
      <c r="AA49" s="396"/>
      <c r="AB49" s="396"/>
      <c r="AC49" s="577"/>
    </row>
    <row r="50" spans="1:29" ht="15" thickBot="1">
      <c r="A50" s="440" t="s">
        <v>1793</v>
      </c>
      <c r="B50" s="441"/>
      <c r="C50" s="1160" t="e">
        <f>R50</f>
        <v>#DIV/0!</v>
      </c>
      <c r="D50" s="1160"/>
      <c r="E50" s="1160"/>
      <c r="F50" s="1160"/>
      <c r="G50" s="1160"/>
      <c r="H50" s="1160"/>
      <c r="I50" s="1160"/>
      <c r="J50" s="442"/>
      <c r="K50" s="713"/>
      <c r="L50" s="2721"/>
      <c r="M50" s="2713"/>
      <c r="N50" s="2713"/>
      <c r="O50" s="2713"/>
      <c r="P50" s="3971" t="str">
        <f>A50</f>
        <v>估价对象XX用房的比较价值（楼面单价，元/平方米）</v>
      </c>
      <c r="Q50" s="3972"/>
      <c r="R50" s="3973" t="e">
        <f>IF(F1="售价",ROUND(IF(D49="简单平均",AVERAGE(R49:V49),R49*F49+T49*H49+V49*J49),0),ROUND(IF(D49="简单平均",AVERAGE(R49:V49),R49*F49+T49*H49+V49*J49),1))</f>
        <v>#DIV/0!</v>
      </c>
      <c r="S50" s="3973"/>
      <c r="T50" s="3973"/>
      <c r="U50" s="3973"/>
      <c r="V50" s="3973"/>
      <c r="W50" s="3973"/>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6" customFormat="1" ht="14.4">
      <c r="A59" s="453" t="s">
        <v>1678</v>
      </c>
      <c r="B59" s="454"/>
      <c r="C59" s="1181" t="str">
        <f>YEAR(C7)&amp;"-"&amp;MONTH(C7)</f>
        <v>2024-8</v>
      </c>
      <c r="D59" s="1182">
        <f>EDATE(C59,-1)</f>
        <v>45474</v>
      </c>
      <c r="E59" s="1182">
        <f>EDATE(D59,-1)</f>
        <v>45444</v>
      </c>
      <c r="F59" s="1182">
        <f t="shared" ref="F59:O59" si="13">EDATE(E59,-1)</f>
        <v>45413</v>
      </c>
      <c r="G59" s="1182">
        <f t="shared" si="13"/>
        <v>45383</v>
      </c>
      <c r="H59" s="1182">
        <f t="shared" si="13"/>
        <v>45352</v>
      </c>
      <c r="I59" s="1182">
        <f t="shared" si="13"/>
        <v>45323</v>
      </c>
      <c r="J59" s="1182">
        <f t="shared" si="13"/>
        <v>45292</v>
      </c>
      <c r="K59" s="1182">
        <f t="shared" si="13"/>
        <v>45261</v>
      </c>
      <c r="L59" s="1182">
        <f t="shared" si="13"/>
        <v>45231</v>
      </c>
      <c r="M59" s="1182">
        <f t="shared" si="13"/>
        <v>45200</v>
      </c>
      <c r="N59" s="1182">
        <f t="shared" si="13"/>
        <v>45170</v>
      </c>
      <c r="O59" s="1182">
        <f t="shared" si="13"/>
        <v>45139</v>
      </c>
      <c r="P59" s="2756"/>
      <c r="Q59" s="2738"/>
      <c r="R59" s="2738"/>
      <c r="S59" s="2738"/>
      <c r="T59" s="2738"/>
      <c r="U59" s="2738"/>
      <c r="V59" s="2738"/>
      <c r="W59" s="2738"/>
      <c r="X59" s="2738"/>
      <c r="Y59" s="2738"/>
      <c r="Z59" s="2738"/>
      <c r="AA59" s="2738"/>
      <c r="AB59" s="2738"/>
      <c r="AC59" s="2738"/>
    </row>
    <row r="60" spans="1:29" s="108" customFormat="1">
      <c r="A60" s="457"/>
      <c r="B60" s="458"/>
      <c r="C60" s="1180">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 thickBot="1">
      <c r="A61" s="463" t="s">
        <v>1715</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4.4">
      <c r="A62" s="469" t="s">
        <v>1680</v>
      </c>
      <c r="B62" s="458"/>
      <c r="C62" s="470" t="s">
        <v>1775</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4.4"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ht="14.4">
      <c r="A64" s="475" t="s">
        <v>1718</v>
      </c>
      <c r="B64" s="476" t="s">
        <v>1684</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4.4"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9.4" thickTop="1">
      <c r="A66" s="482"/>
      <c r="B66" s="486" t="s">
        <v>1687</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4.4"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 thickTop="1">
      <c r="A68" s="482"/>
      <c r="B68" s="494" t="s">
        <v>1688</v>
      </c>
      <c r="C68" s="495" t="str">
        <f>C69&amp;"（含）"&amp;"-"&amp;D69</f>
        <v>0（含）-3</v>
      </c>
      <c r="D68" s="495" t="str">
        <f t="shared" ref="D68:L68" si="14">D69&amp;"（含）"&amp;"-"&amp;E69</f>
        <v>3（含）-</v>
      </c>
      <c r="E68" s="495" t="str">
        <f t="shared" si="14"/>
        <v>（含）-</v>
      </c>
      <c r="F68" s="495" t="str">
        <f t="shared" si="14"/>
        <v>（含）-</v>
      </c>
      <c r="G68" s="495" t="str">
        <f t="shared" si="14"/>
        <v>（含）-</v>
      </c>
      <c r="H68" s="495" t="str">
        <f t="shared" si="14"/>
        <v>（含）-</v>
      </c>
      <c r="I68" s="495" t="str">
        <f t="shared" si="14"/>
        <v>（含）-</v>
      </c>
      <c r="J68" s="495" t="str">
        <f t="shared" si="14"/>
        <v>（含）-</v>
      </c>
      <c r="K68" s="495" t="str">
        <f t="shared" si="14"/>
        <v>（含）-</v>
      </c>
      <c r="L68" s="495" t="str">
        <f t="shared" si="14"/>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4.4" thickBot="1">
      <c r="A70" s="482"/>
      <c r="B70" s="483"/>
      <c r="C70" s="492">
        <v>100</v>
      </c>
      <c r="D70" s="492">
        <f t="shared" ref="D70:M70" si="15">C70-$K11</f>
        <v>100</v>
      </c>
      <c r="E70" s="492">
        <f t="shared" si="15"/>
        <v>100</v>
      </c>
      <c r="F70" s="492">
        <f t="shared" si="15"/>
        <v>100</v>
      </c>
      <c r="G70" s="492">
        <f t="shared" si="15"/>
        <v>100</v>
      </c>
      <c r="H70" s="492">
        <f t="shared" si="15"/>
        <v>100</v>
      </c>
      <c r="I70" s="492">
        <f t="shared" si="15"/>
        <v>100</v>
      </c>
      <c r="J70" s="492">
        <f t="shared" si="15"/>
        <v>100</v>
      </c>
      <c r="K70" s="492">
        <f t="shared" si="15"/>
        <v>100</v>
      </c>
      <c r="L70" s="492">
        <f t="shared" si="15"/>
        <v>100</v>
      </c>
      <c r="M70" s="493">
        <f t="shared" si="15"/>
        <v>100</v>
      </c>
      <c r="N70" s="2751"/>
      <c r="O70" s="2751"/>
      <c r="P70" s="2759"/>
      <c r="Q70" s="2736"/>
      <c r="R70" s="2722"/>
      <c r="S70" s="2722"/>
      <c r="T70" s="2722"/>
      <c r="U70" s="2722"/>
      <c r="V70" s="2722"/>
      <c r="W70" s="2722"/>
      <c r="X70" s="2722"/>
      <c r="Y70" s="2722"/>
      <c r="Z70" s="2722"/>
      <c r="AA70" s="2722"/>
      <c r="AB70" s="2722"/>
      <c r="AC70" s="2722"/>
    </row>
    <row r="71" spans="1:29" s="421" customFormat="1" ht="14.4"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4.4"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4.4"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4.4"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4.4"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4.4"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ht="14.4">
      <c r="A77" s="475" t="s">
        <v>1689</v>
      </c>
      <c r="B77" s="476" t="s">
        <v>1820</v>
      </c>
      <c r="C77" s="521" t="s">
        <v>1720</v>
      </c>
      <c r="D77" s="521" t="s">
        <v>1721</v>
      </c>
      <c r="E77" s="521" t="s">
        <v>1722</v>
      </c>
      <c r="F77" s="521" t="s">
        <v>1723</v>
      </c>
      <c r="G77" s="521" t="s">
        <v>1724</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 thickTop="1">
      <c r="A79" s="482"/>
      <c r="B79" s="486" t="s">
        <v>1725</v>
      </c>
      <c r="C79" s="526" t="s">
        <v>1720</v>
      </c>
      <c r="D79" s="526" t="s">
        <v>1721</v>
      </c>
      <c r="E79" s="526" t="s">
        <v>1722</v>
      </c>
      <c r="F79" s="526" t="s">
        <v>1723</v>
      </c>
      <c r="G79" s="526" t="s">
        <v>1724</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 thickTop="1">
      <c r="A81" s="482"/>
      <c r="B81" s="486" t="s">
        <v>1726</v>
      </c>
      <c r="C81" s="526" t="s">
        <v>1720</v>
      </c>
      <c r="D81" s="526" t="s">
        <v>1721</v>
      </c>
      <c r="E81" s="526" t="s">
        <v>1722</v>
      </c>
      <c r="F81" s="526" t="s">
        <v>1723</v>
      </c>
      <c r="G81" s="526" t="s">
        <v>1724</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 thickTop="1">
      <c r="A83" s="482"/>
      <c r="B83" s="494" t="s">
        <v>1812</v>
      </c>
      <c r="C83" s="607" t="s">
        <v>1798</v>
      </c>
      <c r="D83" s="607" t="s">
        <v>1799</v>
      </c>
      <c r="E83" s="607" t="s">
        <v>1800</v>
      </c>
      <c r="F83" s="607" t="s">
        <v>1801</v>
      </c>
      <c r="G83" s="607" t="s">
        <v>1802</v>
      </c>
      <c r="H83" s="487"/>
      <c r="I83" s="487"/>
      <c r="J83" s="487"/>
      <c r="K83" s="487"/>
      <c r="L83" s="487"/>
      <c r="M83" s="1126"/>
      <c r="N83" s="2751"/>
      <c r="O83" s="2751"/>
      <c r="P83" s="2759"/>
      <c r="Q83" s="2736"/>
      <c r="R83" s="2722"/>
      <c r="S83" s="2722"/>
      <c r="T83" s="2722"/>
      <c r="U83" s="2722"/>
      <c r="V83" s="2722"/>
      <c r="W83" s="2722"/>
      <c r="X83" s="2722"/>
      <c r="Y83" s="2722"/>
      <c r="Z83" s="2722"/>
      <c r="AA83" s="2722"/>
      <c r="AB83" s="2722"/>
      <c r="AC83" s="2722"/>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 thickTop="1">
      <c r="A85" s="482"/>
      <c r="B85" s="486" t="s">
        <v>1821</v>
      </c>
      <c r="C85" s="526" t="s">
        <v>1720</v>
      </c>
      <c r="D85" s="526" t="s">
        <v>1721</v>
      </c>
      <c r="E85" s="526" t="s">
        <v>1722</v>
      </c>
      <c r="F85" s="526" t="s">
        <v>1723</v>
      </c>
      <c r="G85" s="526" t="s">
        <v>1724</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9.4" thickTop="1">
      <c r="A87" s="527"/>
      <c r="B87" s="486" t="s">
        <v>1822</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4.4" thickBot="1">
      <c r="A88" s="527"/>
      <c r="B88" s="491"/>
      <c r="C88" s="530">
        <v>100</v>
      </c>
      <c r="D88" s="492">
        <f t="shared" ref="D88:M88" si="16">C88-$K25</f>
        <v>100</v>
      </c>
      <c r="E88" s="492">
        <f t="shared" si="16"/>
        <v>100</v>
      </c>
      <c r="F88" s="492">
        <f t="shared" si="16"/>
        <v>100</v>
      </c>
      <c r="G88" s="492">
        <f t="shared" si="16"/>
        <v>100</v>
      </c>
      <c r="H88" s="492">
        <f t="shared" si="16"/>
        <v>100</v>
      </c>
      <c r="I88" s="492">
        <f t="shared" si="16"/>
        <v>100</v>
      </c>
      <c r="J88" s="492">
        <f t="shared" si="16"/>
        <v>100</v>
      </c>
      <c r="K88" s="492">
        <f t="shared" si="16"/>
        <v>100</v>
      </c>
      <c r="L88" s="492">
        <f t="shared" si="16"/>
        <v>100</v>
      </c>
      <c r="M88" s="492">
        <f t="shared" si="16"/>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7"/>
      <c r="B89" s="486" t="str">
        <f>B27</f>
        <v>楼层</v>
      </c>
      <c r="C89" s="502"/>
      <c r="D89" s="502"/>
      <c r="E89" s="502"/>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4.4" thickBot="1">
      <c r="A90" s="527"/>
      <c r="B90" s="491"/>
      <c r="C90" s="530">
        <v>100</v>
      </c>
      <c r="D90" s="492">
        <f>C90-$K27</f>
        <v>100</v>
      </c>
      <c r="E90" s="492">
        <f t="shared" ref="E90:M90" si="17">D90-$K27</f>
        <v>100</v>
      </c>
      <c r="F90" s="492">
        <f t="shared" si="17"/>
        <v>100</v>
      </c>
      <c r="G90" s="492">
        <f t="shared" si="17"/>
        <v>100</v>
      </c>
      <c r="H90" s="492">
        <f t="shared" si="17"/>
        <v>100</v>
      </c>
      <c r="I90" s="492">
        <f t="shared" si="17"/>
        <v>100</v>
      </c>
      <c r="J90" s="492">
        <f t="shared" si="17"/>
        <v>100</v>
      </c>
      <c r="K90" s="492">
        <f t="shared" si="17"/>
        <v>100</v>
      </c>
      <c r="L90" s="492">
        <f t="shared" si="17"/>
        <v>100</v>
      </c>
      <c r="M90" s="492">
        <f t="shared" si="17"/>
        <v>100</v>
      </c>
      <c r="N90" s="2751"/>
      <c r="O90" s="2751"/>
      <c r="P90" s="2759"/>
      <c r="Q90" s="2736"/>
      <c r="R90" s="2658"/>
      <c r="S90" s="2658"/>
      <c r="T90" s="2658"/>
      <c r="U90" s="2658"/>
      <c r="V90" s="2658"/>
      <c r="W90" s="2658"/>
      <c r="X90" s="2658"/>
      <c r="Y90" s="2658"/>
      <c r="Z90" s="2658"/>
      <c r="AA90" s="2658"/>
      <c r="AB90" s="2658"/>
      <c r="AC90" s="2658"/>
    </row>
    <row r="91" spans="1:29" s="421" customFormat="1" ht="14.4"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30">
        <v>100</v>
      </c>
      <c r="D92" s="492">
        <f t="shared" ref="D92:M92" si="18">C92-$K28</f>
        <v>100</v>
      </c>
      <c r="E92" s="492">
        <f t="shared" si="18"/>
        <v>100</v>
      </c>
      <c r="F92" s="492">
        <f t="shared" si="18"/>
        <v>100</v>
      </c>
      <c r="G92" s="492">
        <f t="shared" si="18"/>
        <v>100</v>
      </c>
      <c r="H92" s="492">
        <f t="shared" si="18"/>
        <v>100</v>
      </c>
      <c r="I92" s="492">
        <f t="shared" si="18"/>
        <v>100</v>
      </c>
      <c r="J92" s="492">
        <f t="shared" si="18"/>
        <v>100</v>
      </c>
      <c r="K92" s="492">
        <f t="shared" si="18"/>
        <v>100</v>
      </c>
      <c r="L92" s="492">
        <f t="shared" si="18"/>
        <v>100</v>
      </c>
      <c r="M92" s="492">
        <f t="shared" si="18"/>
        <v>100</v>
      </c>
      <c r="N92" s="2752"/>
      <c r="O92" s="2752"/>
      <c r="P92" s="2760"/>
      <c r="Q92" s="2743"/>
      <c r="R92" s="2744"/>
      <c r="S92" s="2744"/>
      <c r="T92" s="2744"/>
      <c r="U92" s="2744"/>
      <c r="V92" s="2744"/>
      <c r="W92" s="2744"/>
      <c r="X92" s="2744"/>
      <c r="Y92" s="2744"/>
      <c r="Z92" s="2744"/>
      <c r="AA92" s="2744"/>
      <c r="AB92" s="2744"/>
      <c r="AC92" s="2744"/>
    </row>
    <row r="93" spans="1:29" ht="14.4"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4.4"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4.4"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4.4"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4.4"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4.4"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ht="14.4">
      <c r="A101" s="475" t="s">
        <v>1693</v>
      </c>
      <c r="B101" s="476" t="s">
        <v>1735</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492">
        <v>100</v>
      </c>
      <c r="D102" s="492">
        <f t="shared" ref="D102:M102" si="19">C102-$K33</f>
        <v>100</v>
      </c>
      <c r="E102" s="492">
        <f t="shared" si="19"/>
        <v>100</v>
      </c>
      <c r="F102" s="492">
        <f t="shared" si="19"/>
        <v>100</v>
      </c>
      <c r="G102" s="492">
        <f t="shared" si="19"/>
        <v>100</v>
      </c>
      <c r="H102" s="492">
        <f t="shared" si="19"/>
        <v>100</v>
      </c>
      <c r="I102" s="492">
        <f t="shared" si="19"/>
        <v>100</v>
      </c>
      <c r="J102" s="492">
        <f t="shared" si="19"/>
        <v>100</v>
      </c>
      <c r="K102" s="492">
        <f t="shared" si="19"/>
        <v>100</v>
      </c>
      <c r="L102" s="492">
        <f t="shared" si="19"/>
        <v>100</v>
      </c>
      <c r="M102" s="493">
        <f t="shared" si="19"/>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2"/>
      <c r="B103" s="486" t="s">
        <v>1736</v>
      </c>
      <c r="C103" s="526" t="str">
        <f>C104&amp;"(含)"&amp;"-"&amp;D104</f>
        <v>(含)-</v>
      </c>
      <c r="D103" s="526" t="str">
        <f t="shared" ref="D103:L103" si="20">D104&amp;"(含)"&amp;"-"&amp;E104</f>
        <v>(含)-</v>
      </c>
      <c r="E103" s="526" t="str">
        <f t="shared" si="20"/>
        <v>(含)-</v>
      </c>
      <c r="F103" s="526" t="str">
        <f t="shared" si="20"/>
        <v>(含)-</v>
      </c>
      <c r="G103" s="526" t="str">
        <f t="shared" si="20"/>
        <v>(含)-</v>
      </c>
      <c r="H103" s="526" t="str">
        <f t="shared" si="20"/>
        <v>(含)-</v>
      </c>
      <c r="I103" s="526" t="str">
        <f t="shared" si="20"/>
        <v>(含)-</v>
      </c>
      <c r="J103" s="526" t="str">
        <f t="shared" si="20"/>
        <v>(含)-</v>
      </c>
      <c r="K103" s="526" t="str">
        <f t="shared" si="20"/>
        <v>(含)-</v>
      </c>
      <c r="L103" s="526" t="str">
        <f t="shared" si="20"/>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4.4"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1737</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4.4" thickBot="1">
      <c r="A107" s="482"/>
      <c r="B107" s="491"/>
      <c r="C107" s="492">
        <v>100</v>
      </c>
      <c r="D107" s="492">
        <f t="shared" ref="D107:M107" si="21">C107-$K35</f>
        <v>100</v>
      </c>
      <c r="E107" s="492">
        <f t="shared" si="21"/>
        <v>100</v>
      </c>
      <c r="F107" s="492">
        <f t="shared" si="21"/>
        <v>100</v>
      </c>
      <c r="G107" s="492">
        <f t="shared" si="21"/>
        <v>100</v>
      </c>
      <c r="H107" s="492">
        <f t="shared" si="21"/>
        <v>100</v>
      </c>
      <c r="I107" s="492">
        <f t="shared" si="21"/>
        <v>100</v>
      </c>
      <c r="J107" s="492">
        <f t="shared" si="21"/>
        <v>100</v>
      </c>
      <c r="K107" s="492">
        <f t="shared" si="21"/>
        <v>100</v>
      </c>
      <c r="L107" s="492">
        <f t="shared" si="21"/>
        <v>100</v>
      </c>
      <c r="M107" s="493">
        <f t="shared" si="21"/>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1739</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4.4" thickBot="1">
      <c r="A109" s="482"/>
      <c r="B109" s="491"/>
      <c r="C109" s="492">
        <v>100</v>
      </c>
      <c r="D109" s="492">
        <f t="shared" ref="D109:M109" si="22">C109-$K36</f>
        <v>100</v>
      </c>
      <c r="E109" s="492">
        <f t="shared" si="22"/>
        <v>100</v>
      </c>
      <c r="F109" s="492">
        <f t="shared" si="22"/>
        <v>100</v>
      </c>
      <c r="G109" s="492">
        <f t="shared" si="22"/>
        <v>100</v>
      </c>
      <c r="H109" s="492">
        <f t="shared" si="22"/>
        <v>100</v>
      </c>
      <c r="I109" s="492">
        <f t="shared" si="22"/>
        <v>100</v>
      </c>
      <c r="J109" s="492">
        <f t="shared" si="22"/>
        <v>100</v>
      </c>
      <c r="K109" s="492">
        <f t="shared" si="22"/>
        <v>100</v>
      </c>
      <c r="L109" s="492">
        <f t="shared" si="22"/>
        <v>100</v>
      </c>
      <c r="M109" s="493">
        <f t="shared" si="22"/>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4.4" thickBot="1">
      <c r="A112" s="482"/>
      <c r="B112" s="491"/>
      <c r="C112" s="530">
        <v>100</v>
      </c>
      <c r="D112" s="492">
        <f>C112+$K37</f>
        <v>100</v>
      </c>
      <c r="E112" s="492">
        <f t="shared" ref="E112:M112" si="23">D112+$K37</f>
        <v>100</v>
      </c>
      <c r="F112" s="492">
        <f t="shared" si="23"/>
        <v>100</v>
      </c>
      <c r="G112" s="492">
        <f t="shared" si="23"/>
        <v>100</v>
      </c>
      <c r="H112" s="492">
        <f t="shared" si="23"/>
        <v>100</v>
      </c>
      <c r="I112" s="492">
        <f t="shared" si="23"/>
        <v>100</v>
      </c>
      <c r="J112" s="492">
        <f t="shared" si="23"/>
        <v>100</v>
      </c>
      <c r="K112" s="492">
        <f t="shared" si="23"/>
        <v>100</v>
      </c>
      <c r="L112" s="492">
        <f t="shared" si="23"/>
        <v>100</v>
      </c>
      <c r="M112" s="492">
        <f t="shared" si="23"/>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1823</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4.4" thickBot="1">
      <c r="A114" s="501"/>
      <c r="B114" s="491"/>
      <c r="C114" s="492">
        <v>100</v>
      </c>
      <c r="D114" s="492">
        <f>C114-$K38</f>
        <v>100</v>
      </c>
      <c r="E114" s="492">
        <f t="shared" ref="E114:M114" si="24">D114-$K38</f>
        <v>100</v>
      </c>
      <c r="F114" s="492">
        <f t="shared" si="24"/>
        <v>100</v>
      </c>
      <c r="G114" s="492">
        <f t="shared" si="24"/>
        <v>100</v>
      </c>
      <c r="H114" s="492">
        <f t="shared" si="24"/>
        <v>100</v>
      </c>
      <c r="I114" s="492">
        <f t="shared" si="24"/>
        <v>100</v>
      </c>
      <c r="J114" s="492">
        <f t="shared" si="24"/>
        <v>100</v>
      </c>
      <c r="K114" s="492">
        <f t="shared" si="24"/>
        <v>100</v>
      </c>
      <c r="L114" s="492">
        <f t="shared" si="24"/>
        <v>100</v>
      </c>
      <c r="M114" s="492">
        <f t="shared" si="24"/>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1740</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4.4" thickBot="1">
      <c r="A116" s="482"/>
      <c r="B116" s="491"/>
      <c r="C116" s="492">
        <v>100</v>
      </c>
      <c r="D116" s="492">
        <f t="shared" ref="D116:M116" si="25">C116-$K39</f>
        <v>100</v>
      </c>
      <c r="E116" s="492">
        <f t="shared" si="25"/>
        <v>100</v>
      </c>
      <c r="F116" s="492">
        <f t="shared" si="25"/>
        <v>100</v>
      </c>
      <c r="G116" s="492">
        <f t="shared" si="25"/>
        <v>100</v>
      </c>
      <c r="H116" s="492">
        <f t="shared" si="25"/>
        <v>100</v>
      </c>
      <c r="I116" s="492">
        <f t="shared" si="25"/>
        <v>100</v>
      </c>
      <c r="J116" s="492">
        <f t="shared" si="25"/>
        <v>100</v>
      </c>
      <c r="K116" s="492">
        <f t="shared" si="25"/>
        <v>100</v>
      </c>
      <c r="L116" s="492">
        <f t="shared" si="25"/>
        <v>100</v>
      </c>
      <c r="M116" s="493">
        <f t="shared" si="25"/>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1741</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1824</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2"/>
      <c r="B120" s="491"/>
      <c r="C120" s="530">
        <v>100</v>
      </c>
      <c r="D120" s="492">
        <f>C120-$K41</f>
        <v>100</v>
      </c>
      <c r="E120" s="492">
        <f t="shared" ref="E120:M120" si="26">D120-$K41</f>
        <v>100</v>
      </c>
      <c r="F120" s="492">
        <f t="shared" si="26"/>
        <v>100</v>
      </c>
      <c r="G120" s="492">
        <f t="shared" si="26"/>
        <v>100</v>
      </c>
      <c r="H120" s="492">
        <f t="shared" si="26"/>
        <v>100</v>
      </c>
      <c r="I120" s="492">
        <f t="shared" si="26"/>
        <v>100</v>
      </c>
      <c r="J120" s="492">
        <f t="shared" si="26"/>
        <v>100</v>
      </c>
      <c r="K120" s="492">
        <f t="shared" si="26"/>
        <v>100</v>
      </c>
      <c r="L120" s="492">
        <f t="shared" si="26"/>
        <v>100</v>
      </c>
      <c r="M120" s="492">
        <f t="shared" si="26"/>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1807</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4.4"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1743</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4.4" thickBot="1">
      <c r="A124" s="482"/>
      <c r="B124" s="491"/>
      <c r="C124" s="492">
        <v>100</v>
      </c>
      <c r="D124" s="492">
        <f t="shared" ref="D124:M124" si="27">C124-$K43</f>
        <v>100</v>
      </c>
      <c r="E124" s="492">
        <f t="shared" si="27"/>
        <v>100</v>
      </c>
      <c r="F124" s="492">
        <f t="shared" si="27"/>
        <v>100</v>
      </c>
      <c r="G124" s="492">
        <f t="shared" si="27"/>
        <v>100</v>
      </c>
      <c r="H124" s="492">
        <f t="shared" si="27"/>
        <v>100</v>
      </c>
      <c r="I124" s="492">
        <f t="shared" si="27"/>
        <v>100</v>
      </c>
      <c r="J124" s="492">
        <f t="shared" si="27"/>
        <v>100</v>
      </c>
      <c r="K124" s="492">
        <f t="shared" si="27"/>
        <v>100</v>
      </c>
      <c r="L124" s="492">
        <f t="shared" si="27"/>
        <v>100</v>
      </c>
      <c r="M124" s="493">
        <f t="shared" si="27"/>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4.4"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4.4"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4.4"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4.4"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4.4"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7:F47 H7:H47 J7:J47">
    <cfRule type="cellIs" dxfId="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109375" style="356" customWidth="1"/>
    <col min="5" max="5" width="14.33203125" style="356" customWidth="1"/>
    <col min="6" max="6" width="12.109375" style="356" customWidth="1"/>
    <col min="7" max="7" width="14.44140625" style="356" customWidth="1"/>
    <col min="8" max="8" width="12.109375" style="356" customWidth="1"/>
    <col min="9" max="9" width="14.44140625" style="356" customWidth="1"/>
    <col min="10" max="10" width="12.109375" style="356" customWidth="1"/>
    <col min="11" max="11" width="12.109375" style="443" customWidth="1"/>
    <col min="12" max="12" width="12.109375" style="444" customWidth="1"/>
    <col min="13" max="15" width="12.109375" style="356" customWidth="1"/>
    <col min="16" max="16" width="4.77734375" style="356" customWidth="1"/>
    <col min="17" max="17" width="19.44140625" style="356" customWidth="1"/>
    <col min="18" max="22" width="6.109375" style="356" customWidth="1"/>
    <col min="23" max="23" width="5.77734375" style="356" customWidth="1"/>
    <col min="24" max="24" width="4.1093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1463</v>
      </c>
      <c r="B3" s="557">
        <f>IF(C2="——",C43,ROUND(B2*10000/D3,0))</f>
        <v>0</v>
      </c>
      <c r="C3" s="353" t="s">
        <v>1767</v>
      </c>
      <c r="D3" s="352">
        <f>IF(D1="",'数据-汇总表'!E3,SUMIF('数据-汇总表'!$C19:$C33,D1,'数据-汇总表'!$E19:$E33))</f>
        <v>41238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4" t="s">
        <v>1768</v>
      </c>
      <c r="B4" s="355"/>
      <c r="C4" s="3931" t="s">
        <v>1769</v>
      </c>
      <c r="D4" s="3932"/>
      <c r="E4" s="3933" t="s">
        <v>1770</v>
      </c>
      <c r="F4" s="3934"/>
      <c r="G4" s="3931" t="s">
        <v>1771</v>
      </c>
      <c r="H4" s="3932"/>
      <c r="I4" s="3931" t="s">
        <v>1772</v>
      </c>
      <c r="J4" s="3932"/>
      <c r="K4" s="558" t="s">
        <v>1773</v>
      </c>
      <c r="L4" s="911"/>
      <c r="M4" s="912"/>
      <c r="N4" s="912"/>
      <c r="O4" s="912"/>
      <c r="P4" s="3935" t="s">
        <v>1774</v>
      </c>
      <c r="Q4" s="3936"/>
      <c r="R4" s="3918" t="s">
        <v>1770</v>
      </c>
      <c r="S4" s="3919"/>
      <c r="T4" s="3918" t="s">
        <v>1771</v>
      </c>
      <c r="U4" s="3919"/>
      <c r="V4" s="3943" t="s">
        <v>1772</v>
      </c>
      <c r="W4" s="3943"/>
      <c r="X4" s="1352"/>
      <c r="Y4" s="3918" t="s">
        <v>1774</v>
      </c>
      <c r="Z4" s="3919"/>
      <c r="AA4" s="3913" t="s">
        <v>1770</v>
      </c>
      <c r="AB4" s="3914" t="s">
        <v>1771</v>
      </c>
      <c r="AC4" s="3913" t="s">
        <v>1772</v>
      </c>
    </row>
    <row r="5" spans="1:29">
      <c r="A5" s="357"/>
      <c r="B5" s="358"/>
      <c r="C5" s="3924" t="s">
        <v>1672</v>
      </c>
      <c r="D5" s="3925"/>
      <c r="E5" s="3922" t="s">
        <v>1673</v>
      </c>
      <c r="F5" s="3923"/>
      <c r="G5" s="3924" t="s">
        <v>1674</v>
      </c>
      <c r="H5" s="3925"/>
      <c r="I5" s="3924" t="s">
        <v>1675</v>
      </c>
      <c r="J5" s="3925"/>
      <c r="K5" s="558"/>
      <c r="L5" s="911"/>
      <c r="M5" s="912"/>
      <c r="N5" s="912"/>
      <c r="O5" s="912"/>
      <c r="P5" s="3937"/>
      <c r="Q5" s="3938"/>
      <c r="R5" s="3920"/>
      <c r="S5" s="3921"/>
      <c r="T5" s="3920"/>
      <c r="U5" s="3921"/>
      <c r="V5" s="3943"/>
      <c r="W5" s="3943"/>
      <c r="X5" s="1352"/>
      <c r="Y5" s="3920"/>
      <c r="Z5" s="3921"/>
      <c r="AA5" s="3914"/>
      <c r="AB5" s="3914"/>
      <c r="AC5" s="3914"/>
    </row>
    <row r="6" spans="1:29" ht="15" thickBot="1">
      <c r="A6" s="359"/>
      <c r="B6" s="360"/>
      <c r="C6" s="3926" t="s">
        <v>1676</v>
      </c>
      <c r="D6" s="3927"/>
      <c r="E6" s="3928" t="s">
        <v>1676</v>
      </c>
      <c r="F6" s="3929"/>
      <c r="G6" s="3926" t="s">
        <v>1676</v>
      </c>
      <c r="H6" s="3927"/>
      <c r="I6" s="3926" t="s">
        <v>1676</v>
      </c>
      <c r="J6" s="3927"/>
      <c r="K6" s="558" t="s">
        <v>1677</v>
      </c>
      <c r="L6" s="911"/>
      <c r="M6" s="912"/>
      <c r="N6" s="912"/>
      <c r="O6" s="912"/>
      <c r="P6" s="3939"/>
      <c r="Q6" s="3940"/>
      <c r="R6" s="3920"/>
      <c r="S6" s="3921"/>
      <c r="T6" s="3941"/>
      <c r="U6" s="3942"/>
      <c r="V6" s="3943"/>
      <c r="W6" s="3943"/>
      <c r="X6" s="1352"/>
      <c r="Y6" s="3941"/>
      <c r="Z6" s="3942"/>
      <c r="AA6" s="3915"/>
      <c r="AB6" s="3915"/>
      <c r="AC6" s="3915"/>
    </row>
    <row r="7" spans="1:29" s="108" customFormat="1" ht="15" thickBot="1">
      <c r="A7" s="361" t="s">
        <v>1678</v>
      </c>
      <c r="B7" s="362"/>
      <c r="C7" s="363">
        <f>'数据-取费表'!B2</f>
        <v>45511</v>
      </c>
      <c r="D7" s="364">
        <v>100</v>
      </c>
      <c r="E7" s="365"/>
      <c r="F7" s="366">
        <f>SUMIF(52:52,YEAR(E7)&amp;"-"&amp;MONTH(E7),53:53)</f>
        <v>0</v>
      </c>
      <c r="G7" s="365"/>
      <c r="H7" s="364">
        <f>SUMIF(52:52,YEAR(G7)&amp;"-"&amp;MONTH(G7),53:53)</f>
        <v>0</v>
      </c>
      <c r="I7" s="365"/>
      <c r="J7" s="364">
        <f>SUMIF(52:52,YEAR(I7)&amp;"-"&amp;MONTH(I7),53:53)</f>
        <v>0</v>
      </c>
      <c r="K7" s="559"/>
      <c r="L7" s="913"/>
      <c r="M7" s="914"/>
      <c r="N7" s="914"/>
      <c r="O7" s="914"/>
      <c r="P7" s="3916" t="s">
        <v>1679</v>
      </c>
      <c r="Q7" s="3944"/>
      <c r="R7" s="699" t="s">
        <v>14</v>
      </c>
      <c r="S7" s="700">
        <f t="shared" ref="S7:S15" si="0">F7</f>
        <v>0</v>
      </c>
      <c r="T7" s="699" t="s">
        <v>14</v>
      </c>
      <c r="U7" s="700">
        <f t="shared" ref="U7:U15" si="1">H7</f>
        <v>0</v>
      </c>
      <c r="V7" s="699" t="s">
        <v>14</v>
      </c>
      <c r="W7" s="700">
        <f t="shared" ref="W7:W15" si="2">J7</f>
        <v>0</v>
      </c>
      <c r="X7" s="701"/>
      <c r="Y7" s="3916" t="s">
        <v>1679</v>
      </c>
      <c r="Z7" s="3917"/>
      <c r="AA7" s="702" t="e">
        <f>D7/F7</f>
        <v>#DIV/0!</v>
      </c>
      <c r="AB7" s="702" t="e">
        <f>D7/H7</f>
        <v>#DIV/0!</v>
      </c>
      <c r="AC7" s="702" t="e">
        <f>D7/J7</f>
        <v>#DIV/0!</v>
      </c>
    </row>
    <row r="8" spans="1:29" s="108" customFormat="1" ht="1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916" t="s">
        <v>1682</v>
      </c>
      <c r="Q8" s="3917"/>
      <c r="R8" s="699" t="s">
        <v>14</v>
      </c>
      <c r="S8" s="700">
        <f t="shared" si="0"/>
        <v>100</v>
      </c>
      <c r="T8" s="699" t="s">
        <v>14</v>
      </c>
      <c r="U8" s="700">
        <f t="shared" si="1"/>
        <v>100</v>
      </c>
      <c r="V8" s="699" t="s">
        <v>14</v>
      </c>
      <c r="W8" s="700">
        <f t="shared" si="2"/>
        <v>100</v>
      </c>
      <c r="X8" s="701"/>
      <c r="Y8" s="3916" t="s">
        <v>1682</v>
      </c>
      <c r="Z8" s="3917"/>
      <c r="AA8" s="702">
        <f t="shared" ref="AA8:AA40" si="3">D8/F8</f>
        <v>1</v>
      </c>
      <c r="AB8" s="702">
        <f t="shared" ref="AB8:AB40" si="4">D8/H8</f>
        <v>1</v>
      </c>
      <c r="AC8" s="702">
        <f t="shared" ref="AC8:AC40" si="5">D8/J8</f>
        <v>1</v>
      </c>
    </row>
    <row r="9" spans="1:29" s="108" customFormat="1" ht="14.4">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948" t="s">
        <v>1685</v>
      </c>
      <c r="Q9" s="1340" t="str">
        <f t="shared" ref="Q9:Q15" si="6">B9</f>
        <v>用途</v>
      </c>
      <c r="R9" s="699" t="s">
        <v>14</v>
      </c>
      <c r="S9" s="700">
        <f t="shared" si="0"/>
        <v>100</v>
      </c>
      <c r="T9" s="699" t="s">
        <v>14</v>
      </c>
      <c r="U9" s="700">
        <f t="shared" si="1"/>
        <v>100</v>
      </c>
      <c r="V9" s="699" t="s">
        <v>14</v>
      </c>
      <c r="W9" s="700">
        <f t="shared" si="2"/>
        <v>100</v>
      </c>
      <c r="X9" s="701"/>
      <c r="Y9" s="3840" t="s">
        <v>1686</v>
      </c>
      <c r="Z9" s="52" t="str">
        <f t="shared" ref="Z9:Z15" si="7">Q9</f>
        <v>用途</v>
      </c>
      <c r="AA9" s="702">
        <f t="shared" si="3"/>
        <v>1</v>
      </c>
      <c r="AB9" s="702">
        <f t="shared" si="4"/>
        <v>1</v>
      </c>
      <c r="AC9" s="702">
        <f t="shared" si="5"/>
        <v>1</v>
      </c>
    </row>
    <row r="10" spans="1:29" s="377" customFormat="1" ht="28.8">
      <c r="A10" s="373"/>
      <c r="B10" s="374" t="s">
        <v>1687</v>
      </c>
      <c r="C10" s="3431"/>
      <c r="D10" s="126">
        <v>100</v>
      </c>
      <c r="E10" s="3431"/>
      <c r="F10" s="126">
        <f>SUMIF(59:59,E10,60:60)-SUMIF(59:59,C10,60:60)+100</f>
        <v>100</v>
      </c>
      <c r="G10" s="3432"/>
      <c r="H10" s="126">
        <f>SUMIF(59:59,G10,60:60)-SUMIF(59:59,C10,60:60)+100</f>
        <v>100</v>
      </c>
      <c r="I10" s="3431"/>
      <c r="J10" s="126">
        <f>SUMIF(59:59,I10,60:60)-SUMIF(59:59,C10,60:60)+100</f>
        <v>100</v>
      </c>
      <c r="K10" s="559"/>
      <c r="L10" s="916"/>
      <c r="M10" s="917"/>
      <c r="N10" s="917"/>
      <c r="O10" s="918"/>
      <c r="P10" s="3948"/>
      <c r="Q10" s="1340" t="str">
        <f t="shared" si="6"/>
        <v>土地使用年限（年）</v>
      </c>
      <c r="R10" s="699" t="s">
        <v>14</v>
      </c>
      <c r="S10" s="700">
        <f t="shared" si="0"/>
        <v>100</v>
      </c>
      <c r="T10" s="699" t="s">
        <v>14</v>
      </c>
      <c r="U10" s="700">
        <f t="shared" si="1"/>
        <v>100</v>
      </c>
      <c r="V10" s="699" t="s">
        <v>14</v>
      </c>
      <c r="W10" s="700">
        <f t="shared" si="2"/>
        <v>100</v>
      </c>
      <c r="X10" s="701"/>
      <c r="Y10" s="3840"/>
      <c r="Z10" s="52" t="str">
        <f t="shared" si="7"/>
        <v>土地使用年限（年）</v>
      </c>
      <c r="AA10" s="702">
        <f t="shared" si="3"/>
        <v>1</v>
      </c>
      <c r="AB10" s="702">
        <f t="shared" si="4"/>
        <v>1</v>
      </c>
      <c r="AC10" s="702">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948"/>
      <c r="Q11" s="1340" t="str">
        <f t="shared" si="6"/>
        <v>容积率</v>
      </c>
      <c r="R11" s="699" t="s">
        <v>14</v>
      </c>
      <c r="S11" s="700">
        <f t="shared" si="0"/>
        <v>100</v>
      </c>
      <c r="T11" s="699" t="s">
        <v>14</v>
      </c>
      <c r="U11" s="700">
        <f t="shared" si="1"/>
        <v>100</v>
      </c>
      <c r="V11" s="699" t="s">
        <v>14</v>
      </c>
      <c r="W11" s="700">
        <f t="shared" si="2"/>
        <v>100</v>
      </c>
      <c r="X11" s="701"/>
      <c r="Y11" s="3840"/>
      <c r="Z11" s="52" t="str">
        <f t="shared" si="7"/>
        <v>容积率</v>
      </c>
      <c r="AA11" s="702">
        <f t="shared" si="3"/>
        <v>1</v>
      </c>
      <c r="AB11" s="702">
        <f t="shared" si="4"/>
        <v>1</v>
      </c>
      <c r="AC11" s="702">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3"/>
      <c r="M12" s="914"/>
      <c r="N12" s="914"/>
      <c r="O12" s="915"/>
      <c r="P12" s="3948"/>
      <c r="Q12" s="1340">
        <f t="shared" si="6"/>
        <v>111</v>
      </c>
      <c r="R12" s="699" t="s">
        <v>14</v>
      </c>
      <c r="S12" s="700">
        <f t="shared" si="0"/>
        <v>100</v>
      </c>
      <c r="T12" s="699" t="s">
        <v>14</v>
      </c>
      <c r="U12" s="700">
        <f t="shared" si="1"/>
        <v>100</v>
      </c>
      <c r="V12" s="699" t="s">
        <v>14</v>
      </c>
      <c r="W12" s="700">
        <f t="shared" si="2"/>
        <v>100</v>
      </c>
      <c r="X12" s="701"/>
      <c r="Y12" s="3840"/>
      <c r="Z12" s="52">
        <f t="shared" si="7"/>
        <v>111</v>
      </c>
      <c r="AA12" s="702">
        <f>D12/F12</f>
        <v>1</v>
      </c>
      <c r="AB12" s="702">
        <f>D12/H12</f>
        <v>1</v>
      </c>
      <c r="AC12" s="702">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1"/>
      <c r="M13" s="912"/>
      <c r="N13" s="912"/>
      <c r="O13" s="920"/>
      <c r="P13" s="3948"/>
      <c r="Q13" s="1340">
        <f t="shared" si="6"/>
        <v>111</v>
      </c>
      <c r="R13" s="699" t="s">
        <v>14</v>
      </c>
      <c r="S13" s="700">
        <f t="shared" si="0"/>
        <v>100</v>
      </c>
      <c r="T13" s="699" t="s">
        <v>14</v>
      </c>
      <c r="U13" s="700">
        <f t="shared" si="1"/>
        <v>100</v>
      </c>
      <c r="V13" s="699" t="s">
        <v>14</v>
      </c>
      <c r="W13" s="700">
        <f t="shared" si="2"/>
        <v>100</v>
      </c>
      <c r="X13" s="701"/>
      <c r="Y13" s="3840"/>
      <c r="Z13" s="52">
        <f t="shared" si="7"/>
        <v>111</v>
      </c>
      <c r="AA13" s="702">
        <f t="shared" si="3"/>
        <v>1</v>
      </c>
      <c r="AB13" s="702">
        <f t="shared" si="4"/>
        <v>1</v>
      </c>
      <c r="AC13" s="702">
        <f t="shared" si="5"/>
        <v>1</v>
      </c>
    </row>
    <row r="14" spans="1:29" ht="15.6"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1"/>
      <c r="M14" s="912"/>
      <c r="N14" s="912"/>
      <c r="O14" s="920"/>
      <c r="P14" s="3948"/>
      <c r="Q14" s="1340">
        <f t="shared" si="6"/>
        <v>111</v>
      </c>
      <c r="R14" s="699" t="s">
        <v>14</v>
      </c>
      <c r="S14" s="700">
        <f t="shared" si="0"/>
        <v>100</v>
      </c>
      <c r="T14" s="699" t="s">
        <v>14</v>
      </c>
      <c r="U14" s="700">
        <f t="shared" si="1"/>
        <v>100</v>
      </c>
      <c r="V14" s="699" t="s">
        <v>14</v>
      </c>
      <c r="W14" s="700">
        <f t="shared" si="2"/>
        <v>100</v>
      </c>
      <c r="X14" s="701"/>
      <c r="Y14" s="3840"/>
      <c r="Z14" s="52">
        <f t="shared" si="7"/>
        <v>111</v>
      </c>
      <c r="AA14" s="702">
        <f t="shared" si="3"/>
        <v>1</v>
      </c>
      <c r="AB14" s="702">
        <f t="shared" si="4"/>
        <v>1</v>
      </c>
      <c r="AC14" s="702">
        <f t="shared" si="5"/>
        <v>1</v>
      </c>
    </row>
    <row r="15" spans="1:29" ht="69">
      <c r="A15" s="390" t="s">
        <v>1689</v>
      </c>
      <c r="B15" s="61" t="s">
        <v>1826</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950" t="s">
        <v>1690</v>
      </c>
      <c r="Q15" s="1349" t="str">
        <f t="shared" si="6"/>
        <v>产业集聚程度</v>
      </c>
      <c r="R15" s="703" t="s">
        <v>14</v>
      </c>
      <c r="S15" s="704">
        <f t="shared" si="0"/>
        <v>100</v>
      </c>
      <c r="T15" s="703" t="s">
        <v>14</v>
      </c>
      <c r="U15" s="704">
        <f t="shared" si="1"/>
        <v>100</v>
      </c>
      <c r="V15" s="703" t="s">
        <v>14</v>
      </c>
      <c r="W15" s="704">
        <f t="shared" si="2"/>
        <v>100</v>
      </c>
      <c r="X15" s="1352"/>
      <c r="Y15" s="3950" t="s">
        <v>1690</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951"/>
      <c r="Q16" s="1349"/>
      <c r="R16" s="703"/>
      <c r="S16" s="704"/>
      <c r="T16" s="703"/>
      <c r="U16" s="704"/>
      <c r="V16" s="703"/>
      <c r="W16" s="704"/>
      <c r="X16" s="1352"/>
      <c r="Y16" s="3951"/>
      <c r="Z16" s="1353"/>
      <c r="AA16" s="1350">
        <v>1</v>
      </c>
      <c r="AB16" s="1350">
        <v>1</v>
      </c>
      <c r="AC16" s="1350">
        <v>1</v>
      </c>
    </row>
    <row r="17" spans="1:29" ht="96.6">
      <c r="A17" s="378"/>
      <c r="B17" s="401" t="s">
        <v>1258</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951"/>
      <c r="Q17" s="1349" t="str">
        <f>B17</f>
        <v>交通便捷度</v>
      </c>
      <c r="R17" s="703" t="s">
        <v>14</v>
      </c>
      <c r="S17" s="704">
        <f>F17</f>
        <v>100</v>
      </c>
      <c r="T17" s="703" t="s">
        <v>14</v>
      </c>
      <c r="U17" s="704">
        <f>H17</f>
        <v>100</v>
      </c>
      <c r="V17" s="703" t="s">
        <v>14</v>
      </c>
      <c r="W17" s="704">
        <f>J17</f>
        <v>100</v>
      </c>
      <c r="X17" s="1352"/>
      <c r="Y17" s="3951"/>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951"/>
      <c r="Q18" s="1349"/>
      <c r="R18" s="703"/>
      <c r="S18" s="704"/>
      <c r="T18" s="703"/>
      <c r="U18" s="704"/>
      <c r="V18" s="703"/>
      <c r="W18" s="704"/>
      <c r="X18" s="1352"/>
      <c r="Y18" s="3951"/>
      <c r="Z18" s="1353"/>
      <c r="AA18" s="1350">
        <v>1</v>
      </c>
      <c r="AB18" s="1350">
        <v>1</v>
      </c>
      <c r="AC18" s="1350">
        <v>1</v>
      </c>
    </row>
    <row r="19" spans="1:29" ht="41.4">
      <c r="A19" s="378"/>
      <c r="B19" s="401" t="s">
        <v>1811</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951"/>
      <c r="Q19" s="1349" t="str">
        <f>B19</f>
        <v>公共配套设施</v>
      </c>
      <c r="R19" s="703" t="s">
        <v>14</v>
      </c>
      <c r="S19" s="704">
        <f>F19</f>
        <v>100</v>
      </c>
      <c r="T19" s="703" t="s">
        <v>14</v>
      </c>
      <c r="U19" s="704">
        <f>H19</f>
        <v>100</v>
      </c>
      <c r="V19" s="703" t="s">
        <v>14</v>
      </c>
      <c r="W19" s="704">
        <f>J19</f>
        <v>100</v>
      </c>
      <c r="X19" s="1352"/>
      <c r="Y19" s="3951"/>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951"/>
      <c r="Q20" s="1349"/>
      <c r="R20" s="703"/>
      <c r="S20" s="704"/>
      <c r="T20" s="703"/>
      <c r="U20" s="704"/>
      <c r="V20" s="703"/>
      <c r="W20" s="704"/>
      <c r="X20" s="1352"/>
      <c r="Y20" s="3951"/>
      <c r="Z20" s="1353"/>
      <c r="AA20" s="1350">
        <v>1</v>
      </c>
      <c r="AB20" s="1350">
        <v>1</v>
      </c>
      <c r="AC20" s="1350">
        <v>1</v>
      </c>
    </row>
    <row r="21" spans="1:29" ht="41.4">
      <c r="A21" s="378"/>
      <c r="B21" s="1128" t="s">
        <v>1812</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951"/>
      <c r="Q21" s="1349" t="str">
        <f>B21</f>
        <v>基础设施水平</v>
      </c>
      <c r="R21" s="703" t="s">
        <v>14</v>
      </c>
      <c r="S21" s="704">
        <f>F21</f>
        <v>100</v>
      </c>
      <c r="T21" s="703" t="s">
        <v>14</v>
      </c>
      <c r="U21" s="704">
        <f>H21</f>
        <v>100</v>
      </c>
      <c r="V21" s="703" t="s">
        <v>14</v>
      </c>
      <c r="W21" s="704">
        <f>J21</f>
        <v>100</v>
      </c>
      <c r="X21" s="1352"/>
      <c r="Y21" s="3951"/>
      <c r="Z21" s="1353" t="str">
        <f>Q21</f>
        <v>基础设施水平</v>
      </c>
      <c r="AA21" s="1350">
        <f>D21/F21</f>
        <v>1</v>
      </c>
      <c r="AB21" s="1350">
        <f>D21/H21</f>
        <v>1</v>
      </c>
      <c r="AC21" s="1350">
        <f>D21/J21</f>
        <v>1</v>
      </c>
    </row>
    <row r="22" spans="1:29" ht="15">
      <c r="A22" s="378"/>
      <c r="B22" s="1128"/>
      <c r="C22" s="1898"/>
      <c r="D22" s="398"/>
      <c r="E22" s="397"/>
      <c r="F22" s="399"/>
      <c r="G22" s="397"/>
      <c r="H22" s="398"/>
      <c r="I22" s="397"/>
      <c r="J22" s="398"/>
      <c r="K22" s="1127"/>
      <c r="L22" s="921"/>
      <c r="M22" s="912"/>
      <c r="N22" s="912"/>
      <c r="O22" s="920"/>
      <c r="P22" s="3951"/>
      <c r="Q22" s="1349"/>
      <c r="R22" s="703"/>
      <c r="S22" s="704"/>
      <c r="T22" s="703"/>
      <c r="U22" s="704"/>
      <c r="V22" s="703"/>
      <c r="W22" s="704"/>
      <c r="X22" s="1352"/>
      <c r="Y22" s="3951"/>
      <c r="Z22" s="1353"/>
      <c r="AA22" s="1350">
        <v>1</v>
      </c>
      <c r="AB22" s="1350">
        <v>1</v>
      </c>
      <c r="AC22" s="1350">
        <v>1</v>
      </c>
    </row>
    <row r="23" spans="1:29" ht="82.8">
      <c r="A23" s="378"/>
      <c r="B23" s="401" t="s">
        <v>1813</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951"/>
      <c r="Q23" s="1349" t="str">
        <f>B23</f>
        <v>环境质量</v>
      </c>
      <c r="R23" s="703" t="s">
        <v>14</v>
      </c>
      <c r="S23" s="704">
        <f>F23</f>
        <v>100</v>
      </c>
      <c r="T23" s="703" t="s">
        <v>14</v>
      </c>
      <c r="U23" s="704">
        <f>H23</f>
        <v>100</v>
      </c>
      <c r="V23" s="703" t="s">
        <v>14</v>
      </c>
      <c r="W23" s="704">
        <f>J23</f>
        <v>100</v>
      </c>
      <c r="X23" s="1352"/>
      <c r="Y23" s="3951"/>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1"/>
      <c r="M24" s="912"/>
      <c r="N24" s="912"/>
      <c r="O24" s="920"/>
      <c r="P24" s="3951"/>
      <c r="Q24" s="1349"/>
      <c r="R24" s="703"/>
      <c r="S24" s="704"/>
      <c r="T24" s="703"/>
      <c r="U24" s="704"/>
      <c r="V24" s="703"/>
      <c r="W24" s="704"/>
      <c r="X24" s="1352"/>
      <c r="Y24" s="3951"/>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951"/>
      <c r="Q25" s="1349">
        <f>B25</f>
        <v>111</v>
      </c>
      <c r="R25" s="703" t="s">
        <v>14</v>
      </c>
      <c r="S25" s="704">
        <f>F25</f>
        <v>100</v>
      </c>
      <c r="T25" s="703" t="s">
        <v>14</v>
      </c>
      <c r="U25" s="704">
        <f>H25</f>
        <v>100</v>
      </c>
      <c r="V25" s="703" t="s">
        <v>14</v>
      </c>
      <c r="W25" s="704">
        <f>J25</f>
        <v>100</v>
      </c>
      <c r="X25" s="1352"/>
      <c r="Y25" s="3951"/>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951"/>
      <c r="Q26" s="1349">
        <f t="shared" ref="Q26:Q40" si="8">B26</f>
        <v>111</v>
      </c>
      <c r="R26" s="703" t="s">
        <v>14</v>
      </c>
      <c r="S26" s="704">
        <f>F26</f>
        <v>100</v>
      </c>
      <c r="T26" s="703" t="s">
        <v>14</v>
      </c>
      <c r="U26" s="704">
        <f>H26</f>
        <v>100</v>
      </c>
      <c r="V26" s="703" t="s">
        <v>14</v>
      </c>
      <c r="W26" s="704">
        <f>J26</f>
        <v>100</v>
      </c>
      <c r="X26" s="1352"/>
      <c r="Y26" s="3951"/>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951"/>
      <c r="Q27" s="1340">
        <f t="shared" si="8"/>
        <v>111</v>
      </c>
      <c r="R27" s="699" t="s">
        <v>14</v>
      </c>
      <c r="S27" s="700">
        <f>F27</f>
        <v>100</v>
      </c>
      <c r="T27" s="699" t="s">
        <v>14</v>
      </c>
      <c r="U27" s="700">
        <f>H27</f>
        <v>100</v>
      </c>
      <c r="V27" s="699" t="s">
        <v>14</v>
      </c>
      <c r="W27" s="700">
        <f>J27</f>
        <v>100</v>
      </c>
      <c r="X27" s="701"/>
      <c r="Y27" s="3951"/>
      <c r="Z27" s="52">
        <f>Q27</f>
        <v>111</v>
      </c>
      <c r="AA27" s="1350">
        <f>D27/F27</f>
        <v>1</v>
      </c>
      <c r="AB27" s="1350">
        <f>D27/H27</f>
        <v>1</v>
      </c>
      <c r="AC27" s="1350">
        <f>D27/J27</f>
        <v>1</v>
      </c>
    </row>
    <row r="28" spans="1:29" ht="15.6"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951"/>
      <c r="Q28" s="1349">
        <f t="shared" si="8"/>
        <v>111</v>
      </c>
      <c r="R28" s="703" t="s">
        <v>14</v>
      </c>
      <c r="S28" s="704">
        <f t="shared" ref="S28:S40" si="9">F28</f>
        <v>100</v>
      </c>
      <c r="T28" s="703" t="s">
        <v>14</v>
      </c>
      <c r="U28" s="704">
        <f t="shared" ref="U28:U40" si="10">H28</f>
        <v>100</v>
      </c>
      <c r="V28" s="703" t="s">
        <v>14</v>
      </c>
      <c r="W28" s="704">
        <f t="shared" ref="W28:W40" si="11">J28</f>
        <v>100</v>
      </c>
      <c r="X28" s="1352"/>
      <c r="Y28" s="3951"/>
      <c r="Z28" s="1353">
        <f t="shared" ref="Z28:Z40" si="12">Q28</f>
        <v>111</v>
      </c>
      <c r="AA28" s="1350">
        <f t="shared" si="3"/>
        <v>1</v>
      </c>
      <c r="AB28" s="1350">
        <f t="shared" si="4"/>
        <v>1</v>
      </c>
      <c r="AC28" s="1350">
        <f t="shared" si="5"/>
        <v>1</v>
      </c>
    </row>
    <row r="29" spans="1:29" ht="30">
      <c r="A29" s="416" t="s">
        <v>1693</v>
      </c>
      <c r="B29" s="63" t="s">
        <v>1816</v>
      </c>
      <c r="C29" s="1964"/>
      <c r="D29" s="417">
        <v>100</v>
      </c>
      <c r="E29" s="1964"/>
      <c r="F29" s="411">
        <f>SUMIF(88:88,E29,89:89)-SUMIF(88:88,C29,89:89)+100</f>
        <v>100</v>
      </c>
      <c r="G29" s="1964"/>
      <c r="H29" s="385">
        <f>SUMIF(88:88,G29,89:89)-SUMIF(88:88,C29,89:89)+100</f>
        <v>100</v>
      </c>
      <c r="I29" s="1964"/>
      <c r="J29" s="417">
        <f>SUMIF(88:88,I29,89:89)-SUMIF(88:88,C29,89:89)+100</f>
        <v>100</v>
      </c>
      <c r="K29" s="560"/>
      <c r="L29" s="921"/>
      <c r="M29" s="912"/>
      <c r="N29" s="912"/>
      <c r="O29" s="920"/>
      <c r="P29" s="3974" t="s">
        <v>1695</v>
      </c>
      <c r="Q29" s="1349" t="str">
        <f t="shared" si="8"/>
        <v>建筑类型</v>
      </c>
      <c r="R29" s="703" t="s">
        <v>14</v>
      </c>
      <c r="S29" s="704">
        <f t="shared" si="9"/>
        <v>100</v>
      </c>
      <c r="T29" s="703" t="s">
        <v>14</v>
      </c>
      <c r="U29" s="704">
        <f t="shared" si="10"/>
        <v>100</v>
      </c>
      <c r="V29" s="703" t="s">
        <v>14</v>
      </c>
      <c r="W29" s="704">
        <f t="shared" si="11"/>
        <v>100</v>
      </c>
      <c r="X29" s="1352"/>
      <c r="Y29" s="3955" t="s">
        <v>1695</v>
      </c>
      <c r="Z29" s="1353" t="str">
        <f t="shared" si="12"/>
        <v>建筑类型</v>
      </c>
      <c r="AA29" s="1350">
        <f t="shared" si="3"/>
        <v>1</v>
      </c>
      <c r="AB29" s="1350">
        <f t="shared" si="4"/>
        <v>1</v>
      </c>
      <c r="AC29" s="1350">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955"/>
      <c r="Q30" s="705" t="str">
        <f t="shared" si="8"/>
        <v>项目建筑规模</v>
      </c>
      <c r="R30" s="706" t="s">
        <v>14</v>
      </c>
      <c r="S30" s="707" t="e">
        <f t="shared" si="9"/>
        <v>#N/A</v>
      </c>
      <c r="T30" s="706" t="s">
        <v>14</v>
      </c>
      <c r="U30" s="707" t="e">
        <f t="shared" si="10"/>
        <v>#N/A</v>
      </c>
      <c r="V30" s="706" t="s">
        <v>14</v>
      </c>
      <c r="W30" s="707" t="e">
        <f t="shared" si="11"/>
        <v>#N/A</v>
      </c>
      <c r="X30" s="708"/>
      <c r="Y30" s="3955"/>
      <c r="Z30" s="709" t="str">
        <f t="shared" si="12"/>
        <v>项目建筑规模</v>
      </c>
      <c r="AA30" s="1350" t="e">
        <f t="shared" si="3"/>
        <v>#N/A</v>
      </c>
      <c r="AB30" s="1350" t="e">
        <f t="shared" si="4"/>
        <v>#N/A</v>
      </c>
      <c r="AC30" s="1350"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955"/>
      <c r="Q31" s="1349" t="str">
        <f t="shared" si="8"/>
        <v>建筑结构</v>
      </c>
      <c r="R31" s="703" t="s">
        <v>14</v>
      </c>
      <c r="S31" s="704">
        <f t="shared" si="9"/>
        <v>100</v>
      </c>
      <c r="T31" s="703" t="s">
        <v>14</v>
      </c>
      <c r="U31" s="704">
        <f t="shared" si="10"/>
        <v>100</v>
      </c>
      <c r="V31" s="703" t="s">
        <v>14</v>
      </c>
      <c r="W31" s="704">
        <f t="shared" si="11"/>
        <v>100</v>
      </c>
      <c r="X31" s="1352"/>
      <c r="Y31" s="3955"/>
      <c r="Z31" s="1353" t="str">
        <f t="shared" si="12"/>
        <v>建筑结构</v>
      </c>
      <c r="AA31" s="1350">
        <f t="shared" si="3"/>
        <v>1</v>
      </c>
      <c r="AB31" s="1350">
        <f t="shared" si="4"/>
        <v>1</v>
      </c>
      <c r="AC31" s="1350">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955"/>
      <c r="Q32" s="1349" t="str">
        <f t="shared" si="8"/>
        <v>公共部分装修</v>
      </c>
      <c r="R32" s="703" t="s">
        <v>14</v>
      </c>
      <c r="S32" s="704">
        <f t="shared" si="9"/>
        <v>100</v>
      </c>
      <c r="T32" s="703" t="s">
        <v>14</v>
      </c>
      <c r="U32" s="704">
        <f t="shared" si="10"/>
        <v>100</v>
      </c>
      <c r="V32" s="703" t="s">
        <v>14</v>
      </c>
      <c r="W32" s="704">
        <f t="shared" si="11"/>
        <v>100</v>
      </c>
      <c r="X32" s="1352"/>
      <c r="Y32" s="3955"/>
      <c r="Z32" s="1353" t="str">
        <f t="shared" si="12"/>
        <v>公共部分装修</v>
      </c>
      <c r="AA32" s="1350">
        <f t="shared" si="3"/>
        <v>1</v>
      </c>
      <c r="AB32" s="1350">
        <f t="shared" si="4"/>
        <v>1</v>
      </c>
      <c r="AC32" s="1350">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955"/>
      <c r="Q33" s="1349" t="str">
        <f t="shared" si="8"/>
        <v>成新度</v>
      </c>
      <c r="R33" s="703" t="s">
        <v>14</v>
      </c>
      <c r="S33" s="704" t="e">
        <f t="shared" si="9"/>
        <v>#N/A</v>
      </c>
      <c r="T33" s="703" t="s">
        <v>14</v>
      </c>
      <c r="U33" s="704" t="e">
        <f t="shared" si="10"/>
        <v>#N/A</v>
      </c>
      <c r="V33" s="703" t="s">
        <v>14</v>
      </c>
      <c r="W33" s="704" t="e">
        <f t="shared" si="11"/>
        <v>#N/A</v>
      </c>
      <c r="X33" s="1352"/>
      <c r="Y33" s="3955"/>
      <c r="Z33" s="1353" t="str">
        <f t="shared" si="12"/>
        <v>成新度</v>
      </c>
      <c r="AA33" s="1350" t="e">
        <f t="shared" si="3"/>
        <v>#N/A</v>
      </c>
      <c r="AB33" s="1350" t="e">
        <f t="shared" si="4"/>
        <v>#N/A</v>
      </c>
      <c r="AC33" s="1350"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955"/>
      <c r="Q34" s="1340" t="str">
        <f t="shared" si="8"/>
        <v>物业管理</v>
      </c>
      <c r="R34" s="699" t="s">
        <v>14</v>
      </c>
      <c r="S34" s="700">
        <f t="shared" si="9"/>
        <v>100</v>
      </c>
      <c r="T34" s="699" t="s">
        <v>14</v>
      </c>
      <c r="U34" s="700">
        <f t="shared" si="10"/>
        <v>100</v>
      </c>
      <c r="V34" s="699" t="s">
        <v>14</v>
      </c>
      <c r="W34" s="700">
        <f t="shared" si="11"/>
        <v>100</v>
      </c>
      <c r="X34" s="701"/>
      <c r="Y34" s="3955"/>
      <c r="Z34" s="52" t="str">
        <f t="shared" si="12"/>
        <v>物业管理</v>
      </c>
      <c r="AA34" s="702">
        <f t="shared" si="3"/>
        <v>1</v>
      </c>
      <c r="AB34" s="702">
        <f t="shared" si="4"/>
        <v>1</v>
      </c>
      <c r="AC34" s="702">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955" t="s">
        <v>1695</v>
      </c>
      <c r="Q35" s="1349" t="str">
        <f t="shared" si="8"/>
        <v>市政基础设施</v>
      </c>
      <c r="R35" s="703" t="s">
        <v>14</v>
      </c>
      <c r="S35" s="704">
        <f t="shared" si="9"/>
        <v>100</v>
      </c>
      <c r="T35" s="703" t="s">
        <v>14</v>
      </c>
      <c r="U35" s="704">
        <f t="shared" si="10"/>
        <v>100</v>
      </c>
      <c r="V35" s="703" t="s">
        <v>14</v>
      </c>
      <c r="W35" s="704">
        <f t="shared" si="11"/>
        <v>100</v>
      </c>
      <c r="X35" s="1352"/>
      <c r="Y35" s="3955" t="s">
        <v>1695</v>
      </c>
      <c r="Z35" s="1353" t="str">
        <f t="shared" si="12"/>
        <v>市政基础设施</v>
      </c>
      <c r="AA35" s="1350">
        <f t="shared" si="3"/>
        <v>1</v>
      </c>
      <c r="AB35" s="1350">
        <f t="shared" si="4"/>
        <v>1</v>
      </c>
      <c r="AC35" s="1350">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955"/>
      <c r="Q36" s="1349" t="str">
        <f t="shared" si="8"/>
        <v>内部装修</v>
      </c>
      <c r="R36" s="703" t="s">
        <v>14</v>
      </c>
      <c r="S36" s="704">
        <f t="shared" si="9"/>
        <v>100</v>
      </c>
      <c r="T36" s="703" t="s">
        <v>14</v>
      </c>
      <c r="U36" s="704">
        <f t="shared" si="10"/>
        <v>100</v>
      </c>
      <c r="V36" s="703" t="s">
        <v>14</v>
      </c>
      <c r="W36" s="704">
        <f t="shared" si="11"/>
        <v>100</v>
      </c>
      <c r="X36" s="1352"/>
      <c r="Y36" s="3955"/>
      <c r="Z36" s="1353" t="str">
        <f t="shared" si="12"/>
        <v>内部装修</v>
      </c>
      <c r="AA36" s="1350">
        <f t="shared" si="3"/>
        <v>1</v>
      </c>
      <c r="AB36" s="1350">
        <f t="shared" si="4"/>
        <v>1</v>
      </c>
      <c r="AC36" s="1350">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955"/>
      <c r="Q37" s="1349" t="str">
        <f t="shared" si="8"/>
        <v>内部装修状况</v>
      </c>
      <c r="R37" s="703" t="s">
        <v>14</v>
      </c>
      <c r="S37" s="704">
        <f t="shared" si="9"/>
        <v>100</v>
      </c>
      <c r="T37" s="703" t="s">
        <v>14</v>
      </c>
      <c r="U37" s="704">
        <f t="shared" si="10"/>
        <v>100</v>
      </c>
      <c r="V37" s="703" t="s">
        <v>14</v>
      </c>
      <c r="W37" s="704">
        <f t="shared" si="11"/>
        <v>100</v>
      </c>
      <c r="X37" s="1352"/>
      <c r="Y37" s="3955"/>
      <c r="Z37" s="1353" t="str">
        <f t="shared" si="12"/>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955"/>
      <c r="Q38" s="705">
        <f t="shared" si="8"/>
        <v>111</v>
      </c>
      <c r="R38" s="706" t="s">
        <v>14</v>
      </c>
      <c r="S38" s="707">
        <f t="shared" si="9"/>
        <v>100</v>
      </c>
      <c r="T38" s="706" t="s">
        <v>14</v>
      </c>
      <c r="U38" s="707">
        <f t="shared" si="10"/>
        <v>100</v>
      </c>
      <c r="V38" s="706" t="s">
        <v>14</v>
      </c>
      <c r="W38" s="707">
        <f t="shared" si="11"/>
        <v>100</v>
      </c>
      <c r="X38" s="708"/>
      <c r="Y38" s="3955"/>
      <c r="Z38" s="709">
        <f t="shared" si="12"/>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955"/>
      <c r="Q39" s="1349">
        <f t="shared" si="8"/>
        <v>111</v>
      </c>
      <c r="R39" s="703" t="s">
        <v>14</v>
      </c>
      <c r="S39" s="704">
        <f t="shared" si="9"/>
        <v>100</v>
      </c>
      <c r="T39" s="703" t="s">
        <v>14</v>
      </c>
      <c r="U39" s="704">
        <f t="shared" si="10"/>
        <v>100</v>
      </c>
      <c r="V39" s="703" t="s">
        <v>14</v>
      </c>
      <c r="W39" s="704">
        <f t="shared" si="11"/>
        <v>100</v>
      </c>
      <c r="X39" s="1352"/>
      <c r="Y39" s="3955"/>
      <c r="Z39" s="1353">
        <f t="shared" si="12"/>
        <v>111</v>
      </c>
      <c r="AA39" s="1350">
        <f t="shared" si="3"/>
        <v>1</v>
      </c>
      <c r="AB39" s="1350">
        <f t="shared" si="4"/>
        <v>1</v>
      </c>
      <c r="AC39" s="1350">
        <f t="shared" si="5"/>
        <v>1</v>
      </c>
    </row>
    <row r="40" spans="1:29" ht="15.6"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956"/>
      <c r="Q40" s="1349">
        <f t="shared" si="8"/>
        <v>111</v>
      </c>
      <c r="R40" s="703" t="s">
        <v>14</v>
      </c>
      <c r="S40" s="704">
        <f t="shared" si="9"/>
        <v>100</v>
      </c>
      <c r="T40" s="703" t="s">
        <v>14</v>
      </c>
      <c r="U40" s="704">
        <f t="shared" si="10"/>
        <v>100</v>
      </c>
      <c r="V40" s="703" t="s">
        <v>14</v>
      </c>
      <c r="W40" s="704">
        <f t="shared" si="11"/>
        <v>100</v>
      </c>
      <c r="X40" s="1352"/>
      <c r="Y40" s="3956"/>
      <c r="Z40" s="1353">
        <f t="shared" si="12"/>
        <v>111</v>
      </c>
      <c r="AA40" s="1350">
        <f t="shared" si="3"/>
        <v>1</v>
      </c>
      <c r="AB40" s="1350">
        <f t="shared" si="4"/>
        <v>1</v>
      </c>
      <c r="AC40" s="1350">
        <f t="shared" si="5"/>
        <v>1</v>
      </c>
    </row>
    <row r="41" spans="1:29" ht="14.4">
      <c r="A41" s="429" t="s">
        <v>1707</v>
      </c>
      <c r="B41" s="430"/>
      <c r="C41" s="1151" t="s">
        <v>0</v>
      </c>
      <c r="D41" s="1152"/>
      <c r="E41" s="1153"/>
      <c r="F41" s="1154"/>
      <c r="G41" s="1155"/>
      <c r="H41" s="1156"/>
      <c r="I41" s="1153"/>
      <c r="J41" s="1156"/>
      <c r="K41" s="712"/>
      <c r="L41" s="924"/>
      <c r="M41" s="925"/>
      <c r="N41" s="912"/>
      <c r="O41" s="925"/>
      <c r="P41" s="3948" t="str">
        <f>A41</f>
        <v>成交单价（元/平方米）</v>
      </c>
      <c r="Q41" s="3948"/>
      <c r="R41" s="3949">
        <f>E41</f>
        <v>0</v>
      </c>
      <c r="S41" s="3949"/>
      <c r="T41" s="3949">
        <f>G41</f>
        <v>0</v>
      </c>
      <c r="U41" s="3949"/>
      <c r="V41" s="3949">
        <f>I41</f>
        <v>0</v>
      </c>
      <c r="W41" s="3949"/>
      <c r="X41" s="688"/>
      <c r="Y41" s="710"/>
      <c r="Z41" s="688"/>
      <c r="AA41" s="688"/>
      <c r="AB41" s="688"/>
      <c r="AC41" s="688"/>
    </row>
    <row r="42" spans="1:29" ht="15" thickBot="1">
      <c r="A42" s="436" t="s">
        <v>1792</v>
      </c>
      <c r="B42" s="437"/>
      <c r="C42" s="1157" t="e">
        <f>R43</f>
        <v>#DIV/0!</v>
      </c>
      <c r="D42" s="2314" t="s">
        <v>2137</v>
      </c>
      <c r="E42" s="1158" t="e">
        <f>R42</f>
        <v>#DIV/0!</v>
      </c>
      <c r="F42" s="2315"/>
      <c r="G42" s="1157" t="e">
        <f>T42</f>
        <v>#DIV/0!</v>
      </c>
      <c r="H42" s="2315"/>
      <c r="I42" s="1158" t="e">
        <f>V42</f>
        <v>#DIV/0!</v>
      </c>
      <c r="J42" s="2315"/>
      <c r="K42" s="2317">
        <f>F42+H42+J42</f>
        <v>0</v>
      </c>
      <c r="L42" s="924"/>
      <c r="M42" s="925"/>
      <c r="N42" s="912"/>
      <c r="O42" s="925"/>
      <c r="P42" s="3948" t="str">
        <f>A42</f>
        <v>比较价值（元/平方米）</v>
      </c>
      <c r="Q42" s="3948"/>
      <c r="R42" s="3949" t="e">
        <f>IF(F1="售价",ROUND(PRODUCT(R41,AA7:AA40),0),ROUND(PRODUCT(R41,AA7:AA40),1))</f>
        <v>#DIV/0!</v>
      </c>
      <c r="S42" s="3949"/>
      <c r="T42" s="3949" t="e">
        <f>IF(F1="售价",ROUND(PRODUCT(T41,AB7:AB40),0),ROUND(PRODUCT(T41,AB7:AB40),1))</f>
        <v>#DIV/0!</v>
      </c>
      <c r="U42" s="3949"/>
      <c r="V42" s="3949" t="e">
        <f>IF(F1="售价",ROUND(PRODUCT(V41,AC7:AC40),0),ROUND(PRODUCT(V41,AC7:AC40),1))</f>
        <v>#DIV/0!</v>
      </c>
      <c r="W42" s="3949"/>
      <c r="X42" s="688"/>
      <c r="Y42" s="688"/>
      <c r="Z42" s="688"/>
      <c r="AA42" s="688"/>
      <c r="AB42" s="688"/>
      <c r="AC42" s="688"/>
    </row>
    <row r="43" spans="1:29" ht="15" thickBot="1">
      <c r="A43" s="440" t="s">
        <v>1793</v>
      </c>
      <c r="B43" s="441"/>
      <c r="C43" s="1160" t="e">
        <f>R43</f>
        <v>#DIV/0!</v>
      </c>
      <c r="D43" s="1160"/>
      <c r="E43" s="1160"/>
      <c r="F43" s="1160"/>
      <c r="G43" s="1160"/>
      <c r="H43" s="1160"/>
      <c r="I43" s="1160"/>
      <c r="J43" s="1160"/>
      <c r="K43" s="713"/>
      <c r="L43" s="924"/>
      <c r="M43" s="925"/>
      <c r="N43" s="925"/>
      <c r="O43" s="925"/>
      <c r="P43" s="3945" t="str">
        <f>A43</f>
        <v>估价对象XX用房的比较价值（楼面单价，元/平方米）</v>
      </c>
      <c r="Q43" s="3946"/>
      <c r="R43" s="3947" t="e">
        <f>IF(F1="售价",ROUND(IF(D42="简单平均",AVERAGE(R42:V42),R42*F42+T42*H42+V42*J42),0),ROUND(IF(D42="简单平均",AVERAGE(R42:V42),R42*F42+T42*H42+V42*J42),1))</f>
        <v>#DIV/0!</v>
      </c>
      <c r="S43" s="3947"/>
      <c r="T43" s="3947"/>
      <c r="U43" s="3947"/>
      <c r="V43" s="3947"/>
      <c r="W43" s="3947"/>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7"/>
      <c r="M46" s="925"/>
      <c r="N46" s="925"/>
      <c r="O46" s="925"/>
    </row>
    <row r="47" spans="1:29" ht="13.5" customHeight="1">
      <c r="A47" s="2722"/>
      <c r="B47" s="2722"/>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7"/>
      <c r="M47" s="925"/>
      <c r="N47" s="925"/>
      <c r="O47" s="925"/>
    </row>
    <row r="48" spans="1:29" s="450" customFormat="1" ht="13.5" customHeight="1">
      <c r="A48" s="2725"/>
      <c r="B48" s="2725"/>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8"/>
      <c r="M48" s="926"/>
      <c r="N48" s="926"/>
      <c r="O48" s="926"/>
    </row>
    <row r="49" spans="1:17" s="450"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2.2" thickBot="1">
      <c r="A51" s="692" t="s">
        <v>1797</v>
      </c>
      <c r="B51" s="688"/>
      <c r="C51" s="693"/>
      <c r="D51" s="693"/>
      <c r="E51" s="693"/>
      <c r="F51" s="694"/>
      <c r="G51" s="694"/>
      <c r="H51" s="693"/>
      <c r="I51" s="693"/>
      <c r="J51" s="693"/>
      <c r="K51" s="939"/>
      <c r="L51" s="940"/>
      <c r="M51" s="938"/>
      <c r="N51" s="938"/>
      <c r="O51" s="938"/>
      <c r="P51" s="451"/>
      <c r="Q51" s="452"/>
    </row>
    <row r="52" spans="1:17" s="456" customFormat="1" ht="14.4">
      <c r="A52" s="453" t="s">
        <v>1678</v>
      </c>
      <c r="B52" s="454"/>
      <c r="C52" s="1181" t="str">
        <f>YEAR(C7)&amp;"-"&amp;MONTH(C7)</f>
        <v>2024-8</v>
      </c>
      <c r="D52" s="1182">
        <f>EDATE(C52,-1)</f>
        <v>45474</v>
      </c>
      <c r="E52" s="1182">
        <f t="shared" ref="E52:O52" si="13">EDATE(D52,-1)</f>
        <v>45444</v>
      </c>
      <c r="F52" s="1182">
        <f t="shared" si="13"/>
        <v>45413</v>
      </c>
      <c r="G52" s="1182">
        <f t="shared" si="13"/>
        <v>45383</v>
      </c>
      <c r="H52" s="1182">
        <f t="shared" si="13"/>
        <v>45352</v>
      </c>
      <c r="I52" s="1182">
        <f t="shared" si="13"/>
        <v>45323</v>
      </c>
      <c r="J52" s="1182">
        <f t="shared" si="13"/>
        <v>45292</v>
      </c>
      <c r="K52" s="1182">
        <f t="shared" si="13"/>
        <v>45261</v>
      </c>
      <c r="L52" s="1182">
        <f t="shared" si="13"/>
        <v>45231</v>
      </c>
      <c r="M52" s="1182">
        <f t="shared" si="13"/>
        <v>45200</v>
      </c>
      <c r="N52" s="1182">
        <f t="shared" si="13"/>
        <v>45170</v>
      </c>
      <c r="O52" s="1182">
        <f t="shared" si="13"/>
        <v>45139</v>
      </c>
      <c r="P52" s="455"/>
    </row>
    <row r="53" spans="1:17" s="108" customFormat="1">
      <c r="A53" s="457"/>
      <c r="B53" s="458"/>
      <c r="C53" s="1180">
        <v>100</v>
      </c>
      <c r="D53" s="460"/>
      <c r="E53" s="460"/>
      <c r="F53" s="460"/>
      <c r="G53" s="460"/>
      <c r="H53" s="460"/>
      <c r="I53" s="460"/>
      <c r="J53" s="460"/>
      <c r="K53" s="460"/>
      <c r="L53" s="460"/>
      <c r="M53" s="461"/>
      <c r="N53" s="460"/>
      <c r="O53" s="462"/>
      <c r="P53" s="452"/>
    </row>
    <row r="54" spans="1:17" s="108" customFormat="1" ht="15" thickBot="1">
      <c r="A54" s="463" t="s">
        <v>1715</v>
      </c>
      <c r="B54" s="464"/>
      <c r="C54" s="465"/>
      <c r="D54" s="466"/>
      <c r="E54" s="466"/>
      <c r="F54" s="466"/>
      <c r="G54" s="466"/>
      <c r="H54" s="466"/>
      <c r="I54" s="466"/>
      <c r="J54" s="466"/>
      <c r="K54" s="466"/>
      <c r="L54" s="466"/>
      <c r="M54" s="467"/>
      <c r="N54" s="2767"/>
      <c r="O54" s="2768"/>
      <c r="P54" s="452"/>
      <c r="Q54" s="452"/>
    </row>
    <row r="55" spans="1:17" s="108" customFormat="1" ht="14.4">
      <c r="A55" s="469" t="s">
        <v>1680</v>
      </c>
      <c r="B55" s="458"/>
      <c r="C55" s="470" t="s">
        <v>1775</v>
      </c>
      <c r="D55" s="471"/>
      <c r="E55" s="471"/>
      <c r="F55" s="471"/>
      <c r="G55" s="471"/>
      <c r="H55" s="471"/>
      <c r="I55" s="471"/>
      <c r="J55" s="471"/>
      <c r="K55" s="471"/>
      <c r="L55" s="472"/>
      <c r="M55" s="473"/>
      <c r="N55" s="930"/>
      <c r="O55" s="930"/>
      <c r="P55" s="474"/>
      <c r="Q55" s="452"/>
    </row>
    <row r="56" spans="1:17" s="108" customFormat="1" ht="14.4" thickBot="1">
      <c r="A56" s="469"/>
      <c r="B56" s="458"/>
      <c r="C56" s="586">
        <v>100</v>
      </c>
      <c r="D56" s="460"/>
      <c r="E56" s="460"/>
      <c r="F56" s="460"/>
      <c r="G56" s="460"/>
      <c r="H56" s="460"/>
      <c r="I56" s="460"/>
      <c r="J56" s="460"/>
      <c r="K56" s="460"/>
      <c r="L56" s="460"/>
      <c r="M56" s="462"/>
      <c r="N56" s="930"/>
      <c r="O56" s="930"/>
      <c r="P56" s="452"/>
      <c r="Q56" s="452"/>
    </row>
    <row r="57" spans="1:17" ht="14.4">
      <c r="A57" s="475" t="s">
        <v>1718</v>
      </c>
      <c r="B57" s="476" t="s">
        <v>1684</v>
      </c>
      <c r="C57" s="477">
        <f>C9</f>
        <v>0</v>
      </c>
      <c r="D57" s="478"/>
      <c r="E57" s="478"/>
      <c r="F57" s="478"/>
      <c r="G57" s="478"/>
      <c r="H57" s="478"/>
      <c r="I57" s="478"/>
      <c r="J57" s="478"/>
      <c r="K57" s="479"/>
      <c r="L57" s="480"/>
      <c r="M57" s="481"/>
      <c r="N57" s="931"/>
      <c r="O57" s="931"/>
      <c r="P57" s="42"/>
      <c r="Q57" s="452"/>
    </row>
    <row r="58" spans="1:17" ht="14.4" thickBot="1">
      <c r="A58" s="482"/>
      <c r="B58" s="483"/>
      <c r="C58" s="484">
        <v>100</v>
      </c>
      <c r="D58" s="484"/>
      <c r="E58" s="484"/>
      <c r="F58" s="484"/>
      <c r="G58" s="484"/>
      <c r="H58" s="484"/>
      <c r="I58" s="484"/>
      <c r="J58" s="484"/>
      <c r="K58" s="484"/>
      <c r="L58" s="484"/>
      <c r="M58" s="485"/>
      <c r="N58" s="932"/>
      <c r="O58" s="932"/>
      <c r="P58" s="42"/>
      <c r="Q58" s="452"/>
    </row>
    <row r="59" spans="1:17" ht="29.4" thickTop="1">
      <c r="A59" s="482"/>
      <c r="B59" s="486" t="s">
        <v>1687</v>
      </c>
      <c r="C59" s="531"/>
      <c r="D59" s="531"/>
      <c r="E59" s="531"/>
      <c r="F59" s="531"/>
      <c r="G59" s="531"/>
      <c r="H59" s="531"/>
      <c r="I59" s="531"/>
      <c r="J59" s="531"/>
      <c r="K59" s="532"/>
      <c r="L59" s="533"/>
      <c r="M59" s="534"/>
      <c r="N59" s="931"/>
      <c r="O59" s="931"/>
      <c r="P59" s="42"/>
      <c r="Q59" s="452"/>
    </row>
    <row r="60" spans="1:17" ht="14.4" thickBot="1">
      <c r="A60" s="482"/>
      <c r="B60" s="491"/>
      <c r="C60" s="484"/>
      <c r="D60" s="484"/>
      <c r="E60" s="484"/>
      <c r="F60" s="484"/>
      <c r="G60" s="484"/>
      <c r="H60" s="484"/>
      <c r="I60" s="484"/>
      <c r="J60" s="484"/>
      <c r="K60" s="484"/>
      <c r="L60" s="484"/>
      <c r="M60" s="485"/>
      <c r="N60" s="932"/>
      <c r="O60" s="932"/>
      <c r="P60" s="42"/>
      <c r="Q60" s="452"/>
    </row>
    <row r="61" spans="1:17" ht="15" thickTop="1">
      <c r="A61" s="482"/>
      <c r="B61" s="494" t="s">
        <v>1688</v>
      </c>
      <c r="C61" s="495" t="str">
        <f>C62&amp;"（含）"&amp;"-"&amp;D62</f>
        <v>0（含）-2</v>
      </c>
      <c r="D61" s="495" t="str">
        <f t="shared" ref="D61:L61" si="14">D62&amp;"（含）"&amp;"-"&amp;E62</f>
        <v>2（含）-</v>
      </c>
      <c r="E61" s="495" t="str">
        <f t="shared" si="14"/>
        <v>（含）-</v>
      </c>
      <c r="F61" s="495" t="str">
        <f t="shared" si="14"/>
        <v>（含）-</v>
      </c>
      <c r="G61" s="495" t="str">
        <f t="shared" si="14"/>
        <v>（含）-</v>
      </c>
      <c r="H61" s="495" t="str">
        <f t="shared" si="14"/>
        <v>（含）-</v>
      </c>
      <c r="I61" s="495" t="str">
        <f t="shared" si="14"/>
        <v>（含）-</v>
      </c>
      <c r="J61" s="495" t="str">
        <f t="shared" si="14"/>
        <v>（含）-</v>
      </c>
      <c r="K61" s="495" t="str">
        <f t="shared" si="14"/>
        <v>（含）-</v>
      </c>
      <c r="L61" s="495" t="str">
        <f t="shared" si="14"/>
        <v>（含）-</v>
      </c>
      <c r="M61" s="398" t="str">
        <f>M62&amp;"（含）"&amp;"-"&amp;P62</f>
        <v>（含）-</v>
      </c>
      <c r="N61" s="932"/>
      <c r="O61" s="932"/>
      <c r="P61" s="42"/>
      <c r="Q61" s="452"/>
    </row>
    <row r="62" spans="1:17">
      <c r="A62" s="482"/>
      <c r="B62" s="496"/>
      <c r="C62" s="497">
        <v>0</v>
      </c>
      <c r="D62" s="497">
        <v>2</v>
      </c>
      <c r="E62" s="497"/>
      <c r="F62" s="497"/>
      <c r="G62" s="497"/>
      <c r="H62" s="497"/>
      <c r="I62" s="497"/>
      <c r="J62" s="497"/>
      <c r="K62" s="498"/>
      <c r="L62" s="499"/>
      <c r="M62" s="500"/>
      <c r="N62" s="931"/>
      <c r="O62" s="931"/>
      <c r="P62" s="42"/>
      <c r="Q62" s="452"/>
    </row>
    <row r="63" spans="1:17" ht="14.4" thickBot="1">
      <c r="A63" s="482"/>
      <c r="B63" s="483"/>
      <c r="C63" s="492">
        <v>100</v>
      </c>
      <c r="D63" s="492">
        <f t="shared" ref="D63:M63" si="15">C63-$K11</f>
        <v>100</v>
      </c>
      <c r="E63" s="492">
        <f t="shared" si="15"/>
        <v>100</v>
      </c>
      <c r="F63" s="492">
        <f t="shared" si="15"/>
        <v>100</v>
      </c>
      <c r="G63" s="492">
        <f t="shared" si="15"/>
        <v>100</v>
      </c>
      <c r="H63" s="492">
        <f t="shared" si="15"/>
        <v>100</v>
      </c>
      <c r="I63" s="492">
        <f t="shared" si="15"/>
        <v>100</v>
      </c>
      <c r="J63" s="492">
        <f t="shared" si="15"/>
        <v>100</v>
      </c>
      <c r="K63" s="492">
        <f t="shared" si="15"/>
        <v>100</v>
      </c>
      <c r="L63" s="492">
        <f t="shared" si="15"/>
        <v>100</v>
      </c>
      <c r="M63" s="493">
        <f t="shared" si="15"/>
        <v>100</v>
      </c>
      <c r="N63" s="932"/>
      <c r="O63" s="932"/>
      <c r="P63" s="42"/>
      <c r="Q63" s="452"/>
    </row>
    <row r="64" spans="1:17" s="421" customFormat="1" ht="14.4" thickTop="1">
      <c r="A64" s="501"/>
      <c r="B64" s="486">
        <f>B12</f>
        <v>111</v>
      </c>
      <c r="C64" s="502"/>
      <c r="D64" s="502"/>
      <c r="E64" s="502"/>
      <c r="F64" s="502"/>
      <c r="G64" s="502"/>
      <c r="H64" s="503"/>
      <c r="I64" s="503"/>
      <c r="J64" s="503"/>
      <c r="K64" s="503"/>
      <c r="L64" s="504"/>
      <c r="M64" s="505"/>
      <c r="N64" s="933"/>
      <c r="O64" s="933"/>
      <c r="P64" s="506"/>
      <c r="Q64" s="507"/>
    </row>
    <row r="65" spans="1:17" s="421" customFormat="1" ht="14.4" thickBot="1">
      <c r="A65" s="501"/>
      <c r="B65" s="491"/>
      <c r="C65" s="508"/>
      <c r="D65" s="484"/>
      <c r="E65" s="484"/>
      <c r="F65" s="484"/>
      <c r="G65" s="484"/>
      <c r="H65" s="484"/>
      <c r="I65" s="484"/>
      <c r="J65" s="484"/>
      <c r="K65" s="484"/>
      <c r="L65" s="484"/>
      <c r="M65" s="485"/>
      <c r="N65" s="932"/>
      <c r="O65" s="932"/>
      <c r="P65" s="506"/>
      <c r="Q65" s="507"/>
    </row>
    <row r="66" spans="1:17" s="421" customFormat="1" ht="14.4" thickTop="1">
      <c r="A66" s="501"/>
      <c r="B66" s="486">
        <f>B13</f>
        <v>111</v>
      </c>
      <c r="C66" s="502"/>
      <c r="D66" s="502"/>
      <c r="E66" s="502"/>
      <c r="F66" s="502"/>
      <c r="G66" s="502"/>
      <c r="H66" s="503"/>
      <c r="I66" s="503"/>
      <c r="J66" s="503"/>
      <c r="K66" s="503"/>
      <c r="L66" s="504"/>
      <c r="M66" s="505"/>
      <c r="N66" s="933"/>
      <c r="O66" s="933"/>
      <c r="P66" s="420"/>
      <c r="Q66" s="509"/>
    </row>
    <row r="67" spans="1:17" s="421" customFormat="1" ht="14.4" thickBot="1">
      <c r="A67" s="501"/>
      <c r="B67" s="491"/>
      <c r="C67" s="508"/>
      <c r="D67" s="484"/>
      <c r="E67" s="484"/>
      <c r="F67" s="484"/>
      <c r="G67" s="508"/>
      <c r="H67" s="510"/>
      <c r="I67" s="510"/>
      <c r="J67" s="510"/>
      <c r="K67" s="510"/>
      <c r="L67" s="510"/>
      <c r="M67" s="511"/>
      <c r="N67" s="933"/>
      <c r="O67" s="933"/>
      <c r="P67" s="506"/>
      <c r="Q67" s="507"/>
    </row>
    <row r="68" spans="1:17" s="421" customFormat="1" ht="14.4" thickTop="1">
      <c r="A68" s="501"/>
      <c r="B68" s="494">
        <f>B14</f>
        <v>111</v>
      </c>
      <c r="C68" s="471"/>
      <c r="D68" s="471"/>
      <c r="E68" s="471"/>
      <c r="F68" s="471"/>
      <c r="G68" s="471"/>
      <c r="H68" s="512"/>
      <c r="I68" s="512"/>
      <c r="J68" s="512"/>
      <c r="K68" s="512"/>
      <c r="L68" s="513"/>
      <c r="M68" s="514"/>
      <c r="N68" s="933"/>
      <c r="O68" s="933"/>
      <c r="P68" s="515"/>
      <c r="Q68" s="507"/>
    </row>
    <row r="69" spans="1:17" s="421" customFormat="1" ht="14.4" thickBot="1">
      <c r="A69" s="516"/>
      <c r="B69" s="517"/>
      <c r="C69" s="518"/>
      <c r="D69" s="518"/>
      <c r="E69" s="518"/>
      <c r="F69" s="518"/>
      <c r="G69" s="518"/>
      <c r="H69" s="519"/>
      <c r="I69" s="519"/>
      <c r="J69" s="519"/>
      <c r="K69" s="519"/>
      <c r="L69" s="519"/>
      <c r="M69" s="520"/>
      <c r="N69" s="933"/>
      <c r="O69" s="933"/>
      <c r="P69" s="506"/>
      <c r="Q69" s="507"/>
    </row>
    <row r="70" spans="1:17" ht="14.4">
      <c r="A70" s="475" t="s">
        <v>1689</v>
      </c>
      <c r="B70" s="476" t="s">
        <v>1828</v>
      </c>
      <c r="C70" s="521" t="s">
        <v>1720</v>
      </c>
      <c r="D70" s="521" t="s">
        <v>1721</v>
      </c>
      <c r="E70" s="521" t="s">
        <v>1722</v>
      </c>
      <c r="F70" s="521" t="s">
        <v>1723</v>
      </c>
      <c r="G70" s="521" t="s">
        <v>1724</v>
      </c>
      <c r="H70" s="477"/>
      <c r="I70" s="477"/>
      <c r="J70" s="477"/>
      <c r="K70" s="522"/>
      <c r="L70" s="523"/>
      <c r="M70" s="524"/>
      <c r="N70" s="931"/>
      <c r="O70" s="931"/>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 thickTop="1">
      <c r="A72" s="482"/>
      <c r="B72" s="486" t="s">
        <v>1725</v>
      </c>
      <c r="C72" s="526" t="s">
        <v>1720</v>
      </c>
      <c r="D72" s="526" t="s">
        <v>1721</v>
      </c>
      <c r="E72" s="526" t="s">
        <v>1722</v>
      </c>
      <c r="F72" s="526" t="s">
        <v>1723</v>
      </c>
      <c r="G72" s="526" t="s">
        <v>1724</v>
      </c>
      <c r="H72" s="487"/>
      <c r="I72" s="487"/>
      <c r="J72" s="487"/>
      <c r="K72" s="488"/>
      <c r="L72" s="489"/>
      <c r="M72" s="490"/>
      <c r="N72" s="931"/>
      <c r="O72" s="931"/>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 thickTop="1">
      <c r="A74" s="482"/>
      <c r="B74" s="486" t="s">
        <v>1726</v>
      </c>
      <c r="C74" s="526" t="s">
        <v>1720</v>
      </c>
      <c r="D74" s="526" t="s">
        <v>1721</v>
      </c>
      <c r="E74" s="526" t="s">
        <v>1722</v>
      </c>
      <c r="F74" s="526" t="s">
        <v>1723</v>
      </c>
      <c r="G74" s="526" t="s">
        <v>1724</v>
      </c>
      <c r="H74" s="487"/>
      <c r="I74" s="487"/>
      <c r="J74" s="487"/>
      <c r="K74" s="488"/>
      <c r="L74" s="489"/>
      <c r="M74" s="490"/>
      <c r="N74" s="931"/>
      <c r="O74" s="931"/>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 thickTop="1">
      <c r="A76" s="482"/>
      <c r="B76" s="494" t="s">
        <v>1812</v>
      </c>
      <c r="C76" s="607" t="s">
        <v>1798</v>
      </c>
      <c r="D76" s="607" t="s">
        <v>1799</v>
      </c>
      <c r="E76" s="607" t="s">
        <v>1800</v>
      </c>
      <c r="F76" s="607" t="s">
        <v>1801</v>
      </c>
      <c r="G76" s="607" t="s">
        <v>1802</v>
      </c>
      <c r="H76" s="487"/>
      <c r="I76" s="487"/>
      <c r="J76" s="487"/>
      <c r="K76" s="487"/>
      <c r="L76" s="487"/>
      <c r="M76" s="1126"/>
      <c r="N76" s="932"/>
      <c r="O76" s="932"/>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 thickTop="1">
      <c r="A78" s="482"/>
      <c r="B78" s="486" t="s">
        <v>1821</v>
      </c>
      <c r="C78" s="526" t="s">
        <v>1720</v>
      </c>
      <c r="D78" s="526" t="s">
        <v>1721</v>
      </c>
      <c r="E78" s="526" t="s">
        <v>1722</v>
      </c>
      <c r="F78" s="526" t="s">
        <v>1723</v>
      </c>
      <c r="G78" s="526" t="s">
        <v>1724</v>
      </c>
      <c r="H78" s="487"/>
      <c r="I78" s="487"/>
      <c r="J78" s="487"/>
      <c r="K78" s="488"/>
      <c r="L78" s="489"/>
      <c r="M78" s="490"/>
      <c r="N78" s="931"/>
      <c r="O78" s="931"/>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4.4" thickTop="1">
      <c r="A80" s="527"/>
      <c r="B80" s="486">
        <f>B25</f>
        <v>111</v>
      </c>
      <c r="C80" s="502"/>
      <c r="D80" s="502"/>
      <c r="E80" s="502"/>
      <c r="F80" s="502"/>
      <c r="G80" s="502"/>
      <c r="H80" s="502"/>
      <c r="I80" s="502"/>
      <c r="J80" s="502"/>
      <c r="K80" s="502"/>
      <c r="L80" s="528"/>
      <c r="M80" s="529"/>
      <c r="N80" s="930"/>
      <c r="O80" s="930"/>
      <c r="P80" s="42"/>
      <c r="Q80" s="452"/>
    </row>
    <row r="81" spans="1:17" s="108" customFormat="1" ht="14.4" thickBot="1">
      <c r="A81" s="527"/>
      <c r="B81" s="491"/>
      <c r="C81" s="508"/>
      <c r="D81" s="484"/>
      <c r="E81" s="484"/>
      <c r="F81" s="484"/>
      <c r="G81" s="484"/>
      <c r="H81" s="484"/>
      <c r="I81" s="484"/>
      <c r="J81" s="484"/>
      <c r="K81" s="484"/>
      <c r="L81" s="484"/>
      <c r="M81" s="485"/>
      <c r="N81" s="932"/>
      <c r="O81" s="932"/>
      <c r="P81" s="42"/>
      <c r="Q81" s="452"/>
    </row>
    <row r="82" spans="1:17" s="108" customFormat="1" ht="14.4" thickTop="1">
      <c r="A82" s="527"/>
      <c r="B82" s="486">
        <f>B26</f>
        <v>111</v>
      </c>
      <c r="C82" s="502"/>
      <c r="D82" s="502"/>
      <c r="E82" s="502"/>
      <c r="F82" s="502"/>
      <c r="G82" s="502"/>
      <c r="H82" s="502"/>
      <c r="I82" s="502"/>
      <c r="J82" s="502"/>
      <c r="K82" s="502"/>
      <c r="L82" s="528"/>
      <c r="M82" s="529"/>
      <c r="N82" s="930"/>
      <c r="O82" s="930"/>
      <c r="P82" s="42"/>
      <c r="Q82" s="452"/>
    </row>
    <row r="83" spans="1:17" s="108" customFormat="1" ht="14.4" thickBot="1">
      <c r="A83" s="527"/>
      <c r="B83" s="491"/>
      <c r="C83" s="508"/>
      <c r="D83" s="484"/>
      <c r="E83" s="484"/>
      <c r="F83" s="484"/>
      <c r="G83" s="484"/>
      <c r="H83" s="484"/>
      <c r="I83" s="484"/>
      <c r="J83" s="484"/>
      <c r="K83" s="484"/>
      <c r="L83" s="484"/>
      <c r="M83" s="485"/>
      <c r="N83" s="932"/>
      <c r="O83" s="932"/>
      <c r="P83" s="42"/>
      <c r="Q83" s="452"/>
    </row>
    <row r="84" spans="1:17" s="421" customFormat="1" ht="14.4" thickTop="1">
      <c r="A84" s="501"/>
      <c r="B84" s="486">
        <f>B27</f>
        <v>111</v>
      </c>
      <c r="C84" s="502"/>
      <c r="D84" s="502"/>
      <c r="E84" s="502"/>
      <c r="F84" s="502"/>
      <c r="G84" s="502"/>
      <c r="H84" s="502"/>
      <c r="I84" s="502"/>
      <c r="J84" s="502"/>
      <c r="K84" s="502"/>
      <c r="L84" s="528"/>
      <c r="M84" s="529"/>
      <c r="N84" s="933"/>
      <c r="O84" s="933"/>
      <c r="P84" s="506"/>
      <c r="Q84" s="507"/>
    </row>
    <row r="85" spans="1:17" s="421" customFormat="1" ht="14.4" thickBot="1">
      <c r="A85" s="501"/>
      <c r="B85" s="491"/>
      <c r="C85" s="508"/>
      <c r="D85" s="484"/>
      <c r="E85" s="484"/>
      <c r="F85" s="484"/>
      <c r="G85" s="484"/>
      <c r="H85" s="484"/>
      <c r="I85" s="484"/>
      <c r="J85" s="484"/>
      <c r="K85" s="484"/>
      <c r="L85" s="484"/>
      <c r="M85" s="485"/>
      <c r="N85" s="933"/>
      <c r="O85" s="933"/>
      <c r="P85" s="506"/>
      <c r="Q85" s="507"/>
    </row>
    <row r="86" spans="1:17" ht="14.4" thickTop="1">
      <c r="A86" s="482"/>
      <c r="B86" s="494">
        <f>B28</f>
        <v>111</v>
      </c>
      <c r="C86" s="471"/>
      <c r="D86" s="471"/>
      <c r="E86" s="471"/>
      <c r="F86" s="471"/>
      <c r="G86" s="535"/>
      <c r="H86" s="535"/>
      <c r="I86" s="535"/>
      <c r="J86" s="535"/>
      <c r="K86" s="536"/>
      <c r="L86" s="537"/>
      <c r="M86" s="538"/>
      <c r="N86" s="931"/>
      <c r="O86" s="931"/>
      <c r="P86" s="42"/>
      <c r="Q86" s="452"/>
    </row>
    <row r="87" spans="1:17" ht="14.4" thickBot="1">
      <c r="A87" s="1925"/>
      <c r="B87" s="517"/>
      <c r="C87" s="518"/>
      <c r="D87" s="518"/>
      <c r="E87" s="518"/>
      <c r="F87" s="518"/>
      <c r="G87" s="539"/>
      <c r="H87" s="539"/>
      <c r="I87" s="539"/>
      <c r="J87" s="539"/>
      <c r="K87" s="539"/>
      <c r="L87" s="539"/>
      <c r="M87" s="540"/>
      <c r="N87" s="932"/>
      <c r="O87" s="932"/>
      <c r="P87" s="42"/>
      <c r="Q87" s="452"/>
    </row>
    <row r="88" spans="1:17" ht="14.4">
      <c r="A88" s="475" t="s">
        <v>1693</v>
      </c>
      <c r="B88" s="476" t="s">
        <v>1735</v>
      </c>
      <c r="C88" s="478"/>
      <c r="D88" s="478"/>
      <c r="E88" s="478"/>
      <c r="F88" s="478"/>
      <c r="G88" s="478"/>
      <c r="H88" s="478"/>
      <c r="I88" s="478"/>
      <c r="J88" s="478"/>
      <c r="K88" s="479"/>
      <c r="L88" s="480"/>
      <c r="M88" s="481"/>
      <c r="N88" s="931"/>
      <c r="O88" s="931"/>
      <c r="P88" s="42"/>
      <c r="Q88" s="452"/>
    </row>
    <row r="89" spans="1:17" ht="14.4" thickBot="1">
      <c r="A89" s="482"/>
      <c r="B89" s="491"/>
      <c r="C89" s="492">
        <v>100</v>
      </c>
      <c r="D89" s="492">
        <f t="shared" ref="D89:M89" si="16">C89-$K29</f>
        <v>100</v>
      </c>
      <c r="E89" s="492">
        <f t="shared" si="16"/>
        <v>100</v>
      </c>
      <c r="F89" s="492">
        <f t="shared" si="16"/>
        <v>100</v>
      </c>
      <c r="G89" s="492">
        <f t="shared" si="16"/>
        <v>100</v>
      </c>
      <c r="H89" s="492">
        <f t="shared" si="16"/>
        <v>100</v>
      </c>
      <c r="I89" s="492">
        <f t="shared" si="16"/>
        <v>100</v>
      </c>
      <c r="J89" s="492">
        <f t="shared" si="16"/>
        <v>100</v>
      </c>
      <c r="K89" s="492">
        <f t="shared" si="16"/>
        <v>100</v>
      </c>
      <c r="L89" s="492">
        <f t="shared" si="16"/>
        <v>100</v>
      </c>
      <c r="M89" s="493">
        <f t="shared" si="16"/>
        <v>100</v>
      </c>
      <c r="N89" s="932"/>
      <c r="O89" s="932"/>
      <c r="P89" s="42"/>
      <c r="Q89" s="452"/>
    </row>
    <row r="90" spans="1:17" ht="15" thickTop="1">
      <c r="A90" s="482"/>
      <c r="B90" s="486" t="s">
        <v>1736</v>
      </c>
      <c r="C90" s="526" t="str">
        <f>C91&amp;"(含)"&amp;"-"&amp;D91</f>
        <v>(含)-</v>
      </c>
      <c r="D90" s="526" t="str">
        <f t="shared" ref="D90:L90" si="17">D91&amp;"(含)"&amp;"-"&amp;E91</f>
        <v>(含)-</v>
      </c>
      <c r="E90" s="526" t="str">
        <f t="shared" si="17"/>
        <v>(含)-</v>
      </c>
      <c r="F90" s="526" t="str">
        <f t="shared" si="17"/>
        <v>(含)-</v>
      </c>
      <c r="G90" s="526" t="str">
        <f t="shared" si="17"/>
        <v>(含)-</v>
      </c>
      <c r="H90" s="526" t="str">
        <f t="shared" si="17"/>
        <v>(含)-</v>
      </c>
      <c r="I90" s="526" t="str">
        <f t="shared" si="17"/>
        <v>(含)-</v>
      </c>
      <c r="J90" s="526" t="str">
        <f t="shared" si="17"/>
        <v>(含)-</v>
      </c>
      <c r="K90" s="526" t="str">
        <f t="shared" si="17"/>
        <v>(含)-</v>
      </c>
      <c r="L90" s="526" t="str">
        <f t="shared" si="17"/>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4.4"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1737</v>
      </c>
      <c r="C93" s="502"/>
      <c r="D93" s="502"/>
      <c r="E93" s="531"/>
      <c r="F93" s="531"/>
      <c r="G93" s="531"/>
      <c r="H93" s="531"/>
      <c r="I93" s="531"/>
      <c r="J93" s="531"/>
      <c r="K93" s="532"/>
      <c r="L93" s="533"/>
      <c r="M93" s="534"/>
      <c r="N93" s="931"/>
      <c r="O93" s="931"/>
      <c r="P93" s="42"/>
      <c r="Q93" s="452"/>
    </row>
    <row r="94" spans="1:17" ht="14.4" thickBot="1">
      <c r="A94" s="482"/>
      <c r="B94" s="491"/>
      <c r="C94" s="492">
        <v>100</v>
      </c>
      <c r="D94" s="492">
        <f t="shared" ref="D94:M94" si="18">C94-$K31</f>
        <v>100</v>
      </c>
      <c r="E94" s="492">
        <f t="shared" si="18"/>
        <v>100</v>
      </c>
      <c r="F94" s="492">
        <f t="shared" si="18"/>
        <v>100</v>
      </c>
      <c r="G94" s="492">
        <f t="shared" si="18"/>
        <v>100</v>
      </c>
      <c r="H94" s="492">
        <f t="shared" si="18"/>
        <v>100</v>
      </c>
      <c r="I94" s="492">
        <f t="shared" si="18"/>
        <v>100</v>
      </c>
      <c r="J94" s="492">
        <f t="shared" si="18"/>
        <v>100</v>
      </c>
      <c r="K94" s="492">
        <f t="shared" si="18"/>
        <v>100</v>
      </c>
      <c r="L94" s="492">
        <f t="shared" si="18"/>
        <v>100</v>
      </c>
      <c r="M94" s="493">
        <f t="shared" si="18"/>
        <v>100</v>
      </c>
      <c r="N94" s="932"/>
      <c r="O94" s="932"/>
      <c r="P94" s="42"/>
      <c r="Q94" s="452"/>
    </row>
    <row r="95" spans="1:17" ht="15" thickTop="1">
      <c r="A95" s="547"/>
      <c r="B95" s="486" t="s">
        <v>1739</v>
      </c>
      <c r="C95" s="502"/>
      <c r="D95" s="502"/>
      <c r="E95" s="502"/>
      <c r="F95" s="531"/>
      <c r="G95" s="531"/>
      <c r="H95" s="531"/>
      <c r="I95" s="531"/>
      <c r="J95" s="531"/>
      <c r="K95" s="532"/>
      <c r="L95" s="533"/>
      <c r="M95" s="534"/>
      <c r="N95" s="931"/>
      <c r="O95" s="931"/>
      <c r="P95" s="42"/>
      <c r="Q95" s="452"/>
    </row>
    <row r="96" spans="1:17" ht="14.4" thickBot="1">
      <c r="A96" s="482"/>
      <c r="B96" s="491"/>
      <c r="C96" s="492">
        <v>100</v>
      </c>
      <c r="D96" s="492">
        <f t="shared" ref="D96:M96" si="19">C96-$K32</f>
        <v>100</v>
      </c>
      <c r="E96" s="492">
        <f t="shared" si="19"/>
        <v>100</v>
      </c>
      <c r="F96" s="492">
        <f t="shared" si="19"/>
        <v>100</v>
      </c>
      <c r="G96" s="492">
        <f t="shared" si="19"/>
        <v>100</v>
      </c>
      <c r="H96" s="492">
        <f t="shared" si="19"/>
        <v>100</v>
      </c>
      <c r="I96" s="492">
        <f t="shared" si="19"/>
        <v>100</v>
      </c>
      <c r="J96" s="492">
        <f t="shared" si="19"/>
        <v>100</v>
      </c>
      <c r="K96" s="492">
        <f t="shared" si="19"/>
        <v>100</v>
      </c>
      <c r="L96" s="492">
        <f t="shared" si="19"/>
        <v>100</v>
      </c>
      <c r="M96" s="493">
        <f t="shared" si="19"/>
        <v>100</v>
      </c>
      <c r="N96" s="932"/>
      <c r="O96" s="932"/>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4.4" thickBot="1">
      <c r="A99" s="482"/>
      <c r="B99" s="491"/>
      <c r="C99" s="530">
        <v>100</v>
      </c>
      <c r="D99" s="492">
        <f>C99+$K33</f>
        <v>100</v>
      </c>
      <c r="E99" s="492">
        <f t="shared" ref="E99:M99" si="20">D99+$K33</f>
        <v>100</v>
      </c>
      <c r="F99" s="492">
        <f t="shared" si="20"/>
        <v>100</v>
      </c>
      <c r="G99" s="492">
        <f t="shared" si="20"/>
        <v>100</v>
      </c>
      <c r="H99" s="492">
        <f t="shared" si="20"/>
        <v>100</v>
      </c>
      <c r="I99" s="492">
        <f t="shared" si="20"/>
        <v>100</v>
      </c>
      <c r="J99" s="492">
        <f t="shared" si="20"/>
        <v>100</v>
      </c>
      <c r="K99" s="492">
        <f t="shared" si="20"/>
        <v>100</v>
      </c>
      <c r="L99" s="492">
        <f t="shared" si="20"/>
        <v>100</v>
      </c>
      <c r="M99" s="492">
        <f t="shared" si="20"/>
        <v>100</v>
      </c>
      <c r="N99" s="932"/>
      <c r="O99" s="932"/>
      <c r="P99" s="42"/>
      <c r="Q99" s="452"/>
    </row>
    <row r="100" spans="1:17" s="421" customFormat="1" ht="15" thickTop="1">
      <c r="A100" s="541"/>
      <c r="B100" s="486" t="s">
        <v>1740</v>
      </c>
      <c r="C100" s="502"/>
      <c r="D100" s="502"/>
      <c r="E100" s="502"/>
      <c r="F100" s="502"/>
      <c r="G100" s="502"/>
      <c r="H100" s="531"/>
      <c r="I100" s="531"/>
      <c r="J100" s="531"/>
      <c r="K100" s="532"/>
      <c r="L100" s="533"/>
      <c r="M100" s="534"/>
      <c r="N100" s="933"/>
      <c r="O100" s="933"/>
      <c r="P100" s="506"/>
      <c r="Q100" s="507"/>
    </row>
    <row r="101" spans="1:17" s="421" customFormat="1" ht="14.4" thickBot="1">
      <c r="A101" s="501"/>
      <c r="B101" s="491"/>
      <c r="C101" s="492">
        <v>100</v>
      </c>
      <c r="D101" s="492">
        <f>C101-$K34</f>
        <v>100</v>
      </c>
      <c r="E101" s="492">
        <f t="shared" ref="E101:M101" si="21">D101-$K34</f>
        <v>100</v>
      </c>
      <c r="F101" s="492">
        <f t="shared" si="21"/>
        <v>100</v>
      </c>
      <c r="G101" s="492">
        <f t="shared" si="21"/>
        <v>100</v>
      </c>
      <c r="H101" s="492">
        <f t="shared" si="21"/>
        <v>100</v>
      </c>
      <c r="I101" s="492">
        <f t="shared" si="21"/>
        <v>100</v>
      </c>
      <c r="J101" s="492">
        <f t="shared" si="21"/>
        <v>100</v>
      </c>
      <c r="K101" s="492">
        <f t="shared" si="21"/>
        <v>100</v>
      </c>
      <c r="L101" s="492">
        <f t="shared" si="21"/>
        <v>100</v>
      </c>
      <c r="M101" s="492">
        <f t="shared" si="21"/>
        <v>100</v>
      </c>
      <c r="N101" s="933"/>
      <c r="O101" s="933"/>
      <c r="P101" s="506"/>
      <c r="Q101" s="507"/>
    </row>
    <row r="102" spans="1:17" ht="15" thickTop="1">
      <c r="A102" s="547"/>
      <c r="B102" s="486" t="s">
        <v>1741</v>
      </c>
      <c r="C102" s="502"/>
      <c r="D102" s="502"/>
      <c r="E102" s="502"/>
      <c r="F102" s="502"/>
      <c r="G102" s="502"/>
      <c r="H102" s="531"/>
      <c r="I102" s="531"/>
      <c r="J102" s="531"/>
      <c r="K102" s="532"/>
      <c r="L102" s="533"/>
      <c r="M102" s="534"/>
      <c r="N102" s="931"/>
      <c r="O102" s="931"/>
      <c r="P102" s="42"/>
      <c r="Q102" s="452"/>
    </row>
    <row r="103" spans="1:17" ht="14.4" thickBot="1">
      <c r="A103" s="482"/>
      <c r="B103" s="491"/>
      <c r="C103" s="492">
        <v>100</v>
      </c>
      <c r="D103" s="492">
        <f t="shared" ref="D103:M103" si="22">C103-$K35</f>
        <v>100</v>
      </c>
      <c r="E103" s="492">
        <f t="shared" si="22"/>
        <v>100</v>
      </c>
      <c r="F103" s="492">
        <f t="shared" si="22"/>
        <v>100</v>
      </c>
      <c r="G103" s="492">
        <f t="shared" si="22"/>
        <v>100</v>
      </c>
      <c r="H103" s="492">
        <f t="shared" si="22"/>
        <v>100</v>
      </c>
      <c r="I103" s="492">
        <f t="shared" si="22"/>
        <v>100</v>
      </c>
      <c r="J103" s="492">
        <f t="shared" si="22"/>
        <v>100</v>
      </c>
      <c r="K103" s="492">
        <f t="shared" si="22"/>
        <v>100</v>
      </c>
      <c r="L103" s="492">
        <f t="shared" si="22"/>
        <v>100</v>
      </c>
      <c r="M103" s="493">
        <f t="shared" si="22"/>
        <v>100</v>
      </c>
      <c r="N103" s="932"/>
      <c r="O103" s="932"/>
      <c r="P103" s="42"/>
      <c r="Q103" s="452"/>
    </row>
    <row r="104" spans="1:17" ht="15" thickTop="1">
      <c r="A104" s="547"/>
      <c r="B104" s="486" t="s">
        <v>1743</v>
      </c>
      <c r="C104" s="502"/>
      <c r="D104" s="502"/>
      <c r="E104" s="502"/>
      <c r="F104" s="502"/>
      <c r="G104" s="502"/>
      <c r="H104" s="531"/>
      <c r="I104" s="531"/>
      <c r="J104" s="531"/>
      <c r="K104" s="532"/>
      <c r="L104" s="533"/>
      <c r="M104" s="534"/>
      <c r="N104" s="931"/>
      <c r="O104" s="931"/>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29.4" thickTop="1">
      <c r="A106" s="547"/>
      <c r="B106" s="583" t="s">
        <v>1829</v>
      </c>
      <c r="C106" s="526" t="s">
        <v>1720</v>
      </c>
      <c r="D106" s="526" t="s">
        <v>1721</v>
      </c>
      <c r="E106" s="526" t="s">
        <v>1722</v>
      </c>
      <c r="F106" s="526" t="s">
        <v>1723</v>
      </c>
      <c r="G106" s="526" t="s">
        <v>1724</v>
      </c>
      <c r="H106" s="487"/>
      <c r="I106" s="487"/>
      <c r="J106" s="487"/>
      <c r="K106" s="488"/>
      <c r="L106" s="489"/>
      <c r="M106" s="490"/>
      <c r="N106" s="932"/>
      <c r="O106" s="932"/>
      <c r="P106" s="584"/>
      <c r="Q106" s="585"/>
    </row>
    <row r="107" spans="1:17" ht="14.4" thickBot="1">
      <c r="A107" s="482"/>
      <c r="B107" s="491"/>
      <c r="C107" s="530">
        <v>100</v>
      </c>
      <c r="D107" s="492">
        <f t="shared" ref="D107:M107" si="23">C107-$K37</f>
        <v>100</v>
      </c>
      <c r="E107" s="492">
        <f t="shared" si="23"/>
        <v>100</v>
      </c>
      <c r="F107" s="492">
        <f t="shared" si="23"/>
        <v>100</v>
      </c>
      <c r="G107" s="492">
        <f t="shared" si="23"/>
        <v>100</v>
      </c>
      <c r="H107" s="492">
        <f t="shared" si="23"/>
        <v>100</v>
      </c>
      <c r="I107" s="492">
        <f t="shared" si="23"/>
        <v>100</v>
      </c>
      <c r="J107" s="492">
        <f t="shared" si="23"/>
        <v>100</v>
      </c>
      <c r="K107" s="492">
        <f t="shared" si="23"/>
        <v>100</v>
      </c>
      <c r="L107" s="492">
        <f t="shared" si="23"/>
        <v>100</v>
      </c>
      <c r="M107" s="492">
        <f t="shared" si="23"/>
        <v>100</v>
      </c>
      <c r="N107" s="932"/>
      <c r="O107" s="932"/>
      <c r="P107" s="42"/>
      <c r="Q107" s="452"/>
    </row>
    <row r="108" spans="1:17" s="421" customFormat="1" ht="14.4"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4.4" thickBot="1">
      <c r="A109" s="501"/>
      <c r="B109" s="483"/>
      <c r="C109" s="508"/>
      <c r="D109" s="484"/>
      <c r="E109" s="484"/>
      <c r="F109" s="484"/>
      <c r="G109" s="508"/>
      <c r="H109" s="510"/>
      <c r="I109" s="510"/>
      <c r="J109" s="510"/>
      <c r="K109" s="510"/>
      <c r="L109" s="510"/>
      <c r="M109" s="511"/>
      <c r="N109" s="933"/>
      <c r="O109" s="933"/>
      <c r="P109" s="506"/>
      <c r="Q109" s="507"/>
    </row>
    <row r="110" spans="1:17" ht="14.4" thickTop="1">
      <c r="A110" s="547"/>
      <c r="B110" s="486">
        <f>B39</f>
        <v>111</v>
      </c>
      <c r="C110" s="502"/>
      <c r="D110" s="502"/>
      <c r="E110" s="502"/>
      <c r="F110" s="502"/>
      <c r="G110" s="502"/>
      <c r="H110" s="503"/>
      <c r="I110" s="503"/>
      <c r="J110" s="503"/>
      <c r="K110" s="503"/>
      <c r="L110" s="504"/>
      <c r="M110" s="505"/>
      <c r="N110" s="931"/>
      <c r="O110" s="931"/>
      <c r="P110" s="42"/>
      <c r="Q110" s="452"/>
    </row>
    <row r="111" spans="1:17" ht="14.4" thickBot="1">
      <c r="A111" s="482"/>
      <c r="B111" s="491"/>
      <c r="C111" s="508"/>
      <c r="D111" s="484"/>
      <c r="E111" s="484"/>
      <c r="F111" s="484"/>
      <c r="G111" s="508"/>
      <c r="H111" s="510"/>
      <c r="I111" s="510"/>
      <c r="J111" s="510"/>
      <c r="K111" s="510"/>
      <c r="L111" s="510"/>
      <c r="M111" s="511"/>
      <c r="N111" s="932"/>
      <c r="O111" s="932"/>
      <c r="P111" s="42"/>
      <c r="Q111" s="452"/>
    </row>
    <row r="112" spans="1:17" ht="14.4" thickTop="1">
      <c r="A112" s="547"/>
      <c r="B112" s="494">
        <f>B40</f>
        <v>111</v>
      </c>
      <c r="C112" s="471"/>
      <c r="D112" s="471"/>
      <c r="E112" s="471"/>
      <c r="F112" s="471"/>
      <c r="G112" s="535"/>
      <c r="H112" s="535"/>
      <c r="I112" s="535"/>
      <c r="J112" s="535"/>
      <c r="K112" s="471"/>
      <c r="L112" s="472"/>
      <c r="M112" s="538"/>
      <c r="N112" s="931"/>
      <c r="O112" s="931"/>
      <c r="P112" s="42"/>
      <c r="Q112" s="452"/>
    </row>
    <row r="113" spans="1:17" ht="14.4" thickBot="1">
      <c r="A113" s="1925"/>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7" priority="20" stopIfTrue="1" operator="containsText" text="超过">
      <formula>NOT(ISERROR(SEARCH("超过",F46)))</formula>
    </cfRule>
  </conditionalFormatting>
  <conditionalFormatting sqref="H48">
    <cfRule type="containsText" dxfId="76" priority="19" stopIfTrue="1" operator="containsText" text="超过">
      <formula>NOT(ISERROR(SEARCH("超过",H48)))</formula>
    </cfRule>
  </conditionalFormatting>
  <conditionalFormatting sqref="F48">
    <cfRule type="containsText" dxfId="75" priority="18" stopIfTrue="1" operator="containsText" text="超过">
      <formula>NOT(ISERROR(SEARCH("超过",F48)))</formula>
    </cfRule>
  </conditionalFormatting>
  <conditionalFormatting sqref="F47 H47">
    <cfRule type="containsText" dxfId="74" priority="17" stopIfTrue="1" operator="containsText" text="超过">
      <formula>NOT(ISERROR(SEARCH("超过",F47)))</formula>
    </cfRule>
  </conditionalFormatting>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G48">
    <cfRule type="expression" dxfId="70" priority="13" stopIfTrue="1">
      <formula>$H$48="超过30%"</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J46">
    <cfRule type="containsText" dxfId="67" priority="10" stopIfTrue="1" operator="containsText" text="超过">
      <formula>NOT(ISERROR(SEARCH("超过",J46)))</formula>
    </cfRule>
  </conditionalFormatting>
  <conditionalFormatting sqref="J48">
    <cfRule type="containsText" dxfId="66" priority="9" stopIfTrue="1" operator="containsText" text="超过">
      <formula>NOT(ISERROR(SEARCH("超过",J48)))</formula>
    </cfRule>
  </conditionalFormatting>
  <conditionalFormatting sqref="J47">
    <cfRule type="containsText" dxfId="65" priority="8" stopIfTrue="1" operator="containsText" text="超过">
      <formula>NOT(ISERROR(SEARCH("超过",J47)))</formula>
    </cfRule>
  </conditionalFormatting>
  <conditionalFormatting sqref="I46">
    <cfRule type="expression" dxfId="64" priority="7" stopIfTrue="1">
      <formula>$J$46="超过30%"</formula>
    </cfRule>
  </conditionalFormatting>
  <conditionalFormatting sqref="I47">
    <cfRule type="expression" dxfId="63" priority="6" stopIfTrue="1">
      <formula>$J$47="超过20%"</formula>
    </cfRule>
  </conditionalFormatting>
  <conditionalFormatting sqref="I48">
    <cfRule type="expression" dxfId="62" priority="5" stopIfTrue="1">
      <formula>$J$48="超过30%"</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109375" style="356" customWidth="1"/>
    <col min="5" max="5" width="14.33203125" style="356" customWidth="1"/>
    <col min="6" max="6" width="12.109375" style="356" customWidth="1"/>
    <col min="7" max="7" width="14.44140625" style="356" customWidth="1"/>
    <col min="8" max="8" width="12.109375" style="356" customWidth="1"/>
    <col min="9" max="9" width="15.44140625" style="356" customWidth="1"/>
    <col min="10" max="10" width="12.109375" style="356" customWidth="1"/>
    <col min="11" max="11" width="12.109375" style="443" customWidth="1"/>
    <col min="12" max="12" width="12.109375" style="444" customWidth="1"/>
    <col min="13" max="15" width="12.109375" style="356" customWidth="1"/>
    <col min="16" max="16" width="4.77734375" style="904" customWidth="1"/>
    <col min="17" max="17" width="19.44140625" style="356" customWidth="1"/>
    <col min="18" max="22" width="6.109375" style="356" customWidth="1"/>
    <col min="23" max="23" width="5.77734375" style="356" customWidth="1"/>
    <col min="24" max="24" width="4.1093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1830</v>
      </c>
      <c r="B1" s="1220" t="s">
        <v>3333</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4.4">
      <c r="A4" s="354" t="s">
        <v>1768</v>
      </c>
      <c r="B4" s="355"/>
      <c r="C4" s="3931" t="s">
        <v>1769</v>
      </c>
      <c r="D4" s="3932"/>
      <c r="E4" s="3933" t="s">
        <v>1770</v>
      </c>
      <c r="F4" s="3934"/>
      <c r="G4" s="3931" t="s">
        <v>1771</v>
      </c>
      <c r="H4" s="3932"/>
      <c r="I4" s="3931" t="s">
        <v>1772</v>
      </c>
      <c r="J4" s="3932"/>
      <c r="K4" s="558" t="s">
        <v>1773</v>
      </c>
      <c r="L4" s="2712"/>
      <c r="M4" s="2713"/>
      <c r="N4" s="2713"/>
      <c r="O4" s="2713"/>
      <c r="P4" s="3935" t="s">
        <v>1774</v>
      </c>
      <c r="Q4" s="3936"/>
      <c r="R4" s="3918" t="s">
        <v>1770</v>
      </c>
      <c r="S4" s="3919"/>
      <c r="T4" s="3918" t="s">
        <v>1771</v>
      </c>
      <c r="U4" s="3919"/>
      <c r="V4" s="3943" t="s">
        <v>1772</v>
      </c>
      <c r="W4" s="3943"/>
      <c r="X4" s="1352"/>
      <c r="Y4" s="3918" t="s">
        <v>1774</v>
      </c>
      <c r="Z4" s="3919"/>
      <c r="AA4" s="3913" t="s">
        <v>1770</v>
      </c>
      <c r="AB4" s="3914" t="s">
        <v>1771</v>
      </c>
      <c r="AC4" s="3913" t="s">
        <v>1772</v>
      </c>
    </row>
    <row r="5" spans="1:29">
      <c r="A5" s="357"/>
      <c r="B5" s="358"/>
      <c r="C5" s="3924" t="s">
        <v>1672</v>
      </c>
      <c r="D5" s="3925"/>
      <c r="E5" s="3922" t="s">
        <v>1673</v>
      </c>
      <c r="F5" s="3923"/>
      <c r="G5" s="3924" t="s">
        <v>1674</v>
      </c>
      <c r="H5" s="3925"/>
      <c r="I5" s="3924" t="s">
        <v>1675</v>
      </c>
      <c r="J5" s="3925"/>
      <c r="K5" s="558"/>
      <c r="L5" s="2712"/>
      <c r="M5" s="2713"/>
      <c r="N5" s="2713"/>
      <c r="O5" s="2713"/>
      <c r="P5" s="3937"/>
      <c r="Q5" s="3938"/>
      <c r="R5" s="3920"/>
      <c r="S5" s="3921"/>
      <c r="T5" s="3920"/>
      <c r="U5" s="3921"/>
      <c r="V5" s="3943"/>
      <c r="W5" s="3943"/>
      <c r="X5" s="1352"/>
      <c r="Y5" s="3920"/>
      <c r="Z5" s="3921"/>
      <c r="AA5" s="3914"/>
      <c r="AB5" s="3914"/>
      <c r="AC5" s="3914"/>
    </row>
    <row r="6" spans="1:29" ht="15" thickBot="1">
      <c r="A6" s="359"/>
      <c r="B6" s="360"/>
      <c r="C6" s="3926" t="s">
        <v>1676</v>
      </c>
      <c r="D6" s="3927"/>
      <c r="E6" s="3928" t="s">
        <v>1676</v>
      </c>
      <c r="F6" s="3929"/>
      <c r="G6" s="3926" t="s">
        <v>1676</v>
      </c>
      <c r="H6" s="3927"/>
      <c r="I6" s="3926" t="s">
        <v>1676</v>
      </c>
      <c r="J6" s="3927"/>
      <c r="K6" s="558" t="s">
        <v>1677</v>
      </c>
      <c r="L6" s="2712"/>
      <c r="M6" s="2713"/>
      <c r="N6" s="2713"/>
      <c r="O6" s="2713"/>
      <c r="P6" s="3939"/>
      <c r="Q6" s="3940"/>
      <c r="R6" s="3920"/>
      <c r="S6" s="3921"/>
      <c r="T6" s="3941"/>
      <c r="U6" s="3942"/>
      <c r="V6" s="3943"/>
      <c r="W6" s="3943"/>
      <c r="X6" s="1352"/>
      <c r="Y6" s="3941"/>
      <c r="Z6" s="3942"/>
      <c r="AA6" s="3915"/>
      <c r="AB6" s="3915"/>
      <c r="AC6" s="3915"/>
    </row>
    <row r="7" spans="1:29" s="108" customFormat="1" ht="15" thickBot="1">
      <c r="A7" s="361" t="s">
        <v>1678</v>
      </c>
      <c r="B7" s="362"/>
      <c r="C7" s="363">
        <f>'数据-取费表'!B2</f>
        <v>45511</v>
      </c>
      <c r="D7" s="364">
        <v>100</v>
      </c>
      <c r="E7" s="365"/>
      <c r="F7" s="366">
        <f>SUMIF(48:48,YEAR(E7)&amp;"-"&amp;MONTH(E7),49:49)</f>
        <v>0</v>
      </c>
      <c r="G7" s="365"/>
      <c r="H7" s="364">
        <f>SUMIF(48:48,YEAR(G7)&amp;"-"&amp;MONTH(G7),49:49)</f>
        <v>0</v>
      </c>
      <c r="I7" s="365"/>
      <c r="J7" s="364">
        <f>SUMIF(48:48,YEAR(I7)&amp;"-"&amp;MONTH(I7),49:49)</f>
        <v>0</v>
      </c>
      <c r="K7" s="559"/>
      <c r="L7" s="2714"/>
      <c r="M7" s="2715"/>
      <c r="N7" s="2715"/>
      <c r="O7" s="2715"/>
      <c r="P7" s="3916" t="s">
        <v>1679</v>
      </c>
      <c r="Q7" s="3944"/>
      <c r="R7" s="699" t="s">
        <v>14</v>
      </c>
      <c r="S7" s="700">
        <f t="shared" ref="S7:S14" si="0">F7</f>
        <v>0</v>
      </c>
      <c r="T7" s="699" t="s">
        <v>14</v>
      </c>
      <c r="U7" s="700">
        <f t="shared" ref="U7:U14" si="1">H7</f>
        <v>0</v>
      </c>
      <c r="V7" s="699" t="s">
        <v>14</v>
      </c>
      <c r="W7" s="700">
        <f t="shared" ref="W7:W14" si="2">J7</f>
        <v>0</v>
      </c>
      <c r="X7" s="701"/>
      <c r="Y7" s="3916" t="s">
        <v>1679</v>
      </c>
      <c r="Z7" s="3917"/>
      <c r="AA7" s="702" t="e">
        <f>D7/F7</f>
        <v>#DIV/0!</v>
      </c>
      <c r="AB7" s="702" t="e">
        <f>D7/H7</f>
        <v>#DIV/0!</v>
      </c>
      <c r="AC7" s="702" t="e">
        <f>D7/J7</f>
        <v>#DIV/0!</v>
      </c>
    </row>
    <row r="8" spans="1:29" s="108" customFormat="1" ht="1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916" t="s">
        <v>1682</v>
      </c>
      <c r="Q8" s="3917"/>
      <c r="R8" s="699" t="s">
        <v>14</v>
      </c>
      <c r="S8" s="700">
        <f t="shared" si="0"/>
        <v>100</v>
      </c>
      <c r="T8" s="699" t="s">
        <v>14</v>
      </c>
      <c r="U8" s="700">
        <f t="shared" si="1"/>
        <v>100</v>
      </c>
      <c r="V8" s="699" t="s">
        <v>14</v>
      </c>
      <c r="W8" s="700">
        <f t="shared" si="2"/>
        <v>100</v>
      </c>
      <c r="X8" s="701"/>
      <c r="Y8" s="3916" t="s">
        <v>1682</v>
      </c>
      <c r="Z8" s="3917"/>
      <c r="AA8" s="702">
        <f t="shared" ref="AA8:AA36" si="3">D8/F8</f>
        <v>1</v>
      </c>
      <c r="AB8" s="702">
        <f t="shared" ref="AB8:AB36" si="4">D8/H8</f>
        <v>1</v>
      </c>
      <c r="AC8" s="702">
        <f t="shared" ref="AC8:AC36" si="5">D8/J8</f>
        <v>1</v>
      </c>
    </row>
    <row r="9" spans="1:29" s="108" customFormat="1" ht="14.4">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948" t="s">
        <v>1685</v>
      </c>
      <c r="Q9" s="1340" t="str">
        <f t="shared" ref="Q9:Q14" si="6">B9</f>
        <v>用途</v>
      </c>
      <c r="R9" s="699" t="s">
        <v>14</v>
      </c>
      <c r="S9" s="700">
        <f t="shared" si="0"/>
        <v>100</v>
      </c>
      <c r="T9" s="699" t="s">
        <v>14</v>
      </c>
      <c r="U9" s="700">
        <f t="shared" si="1"/>
        <v>100</v>
      </c>
      <c r="V9" s="699" t="s">
        <v>14</v>
      </c>
      <c r="W9" s="700">
        <f t="shared" si="2"/>
        <v>100</v>
      </c>
      <c r="X9" s="701"/>
      <c r="Y9" s="3840" t="s">
        <v>1686</v>
      </c>
      <c r="Z9" s="52" t="str">
        <f t="shared" ref="Z9:Z14" si="7">Q9</f>
        <v>用途</v>
      </c>
      <c r="AA9" s="702">
        <f t="shared" si="3"/>
        <v>1</v>
      </c>
      <c r="AB9" s="702">
        <f t="shared" si="4"/>
        <v>1</v>
      </c>
      <c r="AC9" s="702">
        <f t="shared" si="5"/>
        <v>1</v>
      </c>
    </row>
    <row r="10" spans="1:29" s="377" customFormat="1" ht="28.8">
      <c r="A10" s="588"/>
      <c r="B10" s="589" t="s">
        <v>1687</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948"/>
      <c r="Q10" s="1340" t="str">
        <f t="shared" si="6"/>
        <v>土地使用年限（年）</v>
      </c>
      <c r="R10" s="699" t="s">
        <v>14</v>
      </c>
      <c r="S10" s="700">
        <f t="shared" si="0"/>
        <v>100</v>
      </c>
      <c r="T10" s="699" t="s">
        <v>14</v>
      </c>
      <c r="U10" s="700">
        <f t="shared" si="1"/>
        <v>100</v>
      </c>
      <c r="V10" s="699" t="s">
        <v>14</v>
      </c>
      <c r="W10" s="700">
        <f t="shared" si="2"/>
        <v>100</v>
      </c>
      <c r="X10" s="701"/>
      <c r="Y10" s="3840"/>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948"/>
      <c r="Q11" s="1340">
        <f t="shared" si="6"/>
        <v>111</v>
      </c>
      <c r="R11" s="699" t="s">
        <v>14</v>
      </c>
      <c r="S11" s="700">
        <f t="shared" si="0"/>
        <v>100</v>
      </c>
      <c r="T11" s="699" t="s">
        <v>14</v>
      </c>
      <c r="U11" s="700">
        <f t="shared" si="1"/>
        <v>100</v>
      </c>
      <c r="V11" s="699" t="s">
        <v>14</v>
      </c>
      <c r="W11" s="700">
        <f t="shared" si="2"/>
        <v>100</v>
      </c>
      <c r="X11" s="701"/>
      <c r="Y11" s="3840"/>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948"/>
      <c r="Q12" s="1340">
        <f t="shared" si="6"/>
        <v>111</v>
      </c>
      <c r="R12" s="699" t="s">
        <v>14</v>
      </c>
      <c r="S12" s="700">
        <f t="shared" si="0"/>
        <v>100</v>
      </c>
      <c r="T12" s="699" t="s">
        <v>14</v>
      </c>
      <c r="U12" s="700">
        <f t="shared" si="1"/>
        <v>100</v>
      </c>
      <c r="V12" s="699" t="s">
        <v>14</v>
      </c>
      <c r="W12" s="700">
        <f t="shared" si="2"/>
        <v>100</v>
      </c>
      <c r="X12" s="701"/>
      <c r="Y12" s="3840"/>
      <c r="Z12" s="52">
        <f t="shared" si="7"/>
        <v>111</v>
      </c>
      <c r="AA12" s="702">
        <f>D12/F12</f>
        <v>1</v>
      </c>
      <c r="AB12" s="702">
        <f>D12/H12</f>
        <v>1</v>
      </c>
      <c r="AC12" s="702">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948"/>
      <c r="Q13" s="1340">
        <f t="shared" si="6"/>
        <v>111</v>
      </c>
      <c r="R13" s="699" t="s">
        <v>14</v>
      </c>
      <c r="S13" s="700">
        <f t="shared" si="0"/>
        <v>100</v>
      </c>
      <c r="T13" s="699" t="s">
        <v>14</v>
      </c>
      <c r="U13" s="700">
        <f t="shared" si="1"/>
        <v>100</v>
      </c>
      <c r="V13" s="699" t="s">
        <v>14</v>
      </c>
      <c r="W13" s="700">
        <f t="shared" si="2"/>
        <v>100</v>
      </c>
      <c r="X13" s="701"/>
      <c r="Y13" s="3840"/>
      <c r="Z13" s="52">
        <f t="shared" si="7"/>
        <v>111</v>
      </c>
      <c r="AA13" s="702">
        <f t="shared" si="3"/>
        <v>1</v>
      </c>
      <c r="AB13" s="702">
        <f t="shared" si="4"/>
        <v>1</v>
      </c>
      <c r="AC13" s="702">
        <f t="shared" si="5"/>
        <v>1</v>
      </c>
    </row>
    <row r="14" spans="1:29" ht="96.6">
      <c r="A14" s="354" t="s">
        <v>1689</v>
      </c>
      <c r="B14" s="576" t="s">
        <v>1832</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950" t="s">
        <v>1690</v>
      </c>
      <c r="Q14" s="1349" t="str">
        <f t="shared" si="6"/>
        <v>交通便捷度</v>
      </c>
      <c r="R14" s="703" t="s">
        <v>14</v>
      </c>
      <c r="S14" s="704">
        <f t="shared" si="0"/>
        <v>100</v>
      </c>
      <c r="T14" s="703" t="s">
        <v>14</v>
      </c>
      <c r="U14" s="704">
        <f t="shared" si="1"/>
        <v>100</v>
      </c>
      <c r="V14" s="703" t="s">
        <v>14</v>
      </c>
      <c r="W14" s="704">
        <f t="shared" si="2"/>
        <v>100</v>
      </c>
      <c r="X14" s="1352"/>
      <c r="Y14" s="3950" t="s">
        <v>1690</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951"/>
      <c r="Q15" s="1349"/>
      <c r="R15" s="703"/>
      <c r="S15" s="704"/>
      <c r="T15" s="703"/>
      <c r="U15" s="704"/>
      <c r="V15" s="703"/>
      <c r="W15" s="704"/>
      <c r="X15" s="1352"/>
      <c r="Y15" s="3951"/>
      <c r="Z15" s="1353"/>
      <c r="AA15" s="1350">
        <v>1</v>
      </c>
      <c r="AB15" s="1350">
        <v>1</v>
      </c>
      <c r="AC15" s="1350">
        <v>1</v>
      </c>
    </row>
    <row r="16" spans="1:29" ht="41.4">
      <c r="A16" s="357"/>
      <c r="B16" s="578" t="s">
        <v>1811</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951"/>
      <c r="Q16" s="1349" t="str">
        <f>B16</f>
        <v>公共配套设施</v>
      </c>
      <c r="R16" s="703" t="s">
        <v>14</v>
      </c>
      <c r="S16" s="704">
        <f>F16</f>
        <v>100</v>
      </c>
      <c r="T16" s="703" t="s">
        <v>14</v>
      </c>
      <c r="U16" s="704">
        <f>H16</f>
        <v>100</v>
      </c>
      <c r="V16" s="703" t="s">
        <v>14</v>
      </c>
      <c r="W16" s="704">
        <f>J16</f>
        <v>100</v>
      </c>
      <c r="X16" s="1352"/>
      <c r="Y16" s="3951"/>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951"/>
      <c r="Q17" s="1349"/>
      <c r="R17" s="703"/>
      <c r="S17" s="704"/>
      <c r="T17" s="703"/>
      <c r="U17" s="704"/>
      <c r="V17" s="703"/>
      <c r="W17" s="704"/>
      <c r="X17" s="1352"/>
      <c r="Y17" s="3951"/>
      <c r="Z17" s="1353"/>
      <c r="AA17" s="1350">
        <v>1</v>
      </c>
      <c r="AB17" s="1350">
        <v>1</v>
      </c>
      <c r="AC17" s="1350">
        <v>1</v>
      </c>
    </row>
    <row r="18" spans="1:29" ht="41.4">
      <c r="A18" s="357"/>
      <c r="B18" s="580" t="s">
        <v>1812</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951"/>
      <c r="Q18" s="1349" t="str">
        <f>B18</f>
        <v>基础设施水平</v>
      </c>
      <c r="R18" s="703" t="s">
        <v>14</v>
      </c>
      <c r="S18" s="704">
        <f>F18</f>
        <v>100</v>
      </c>
      <c r="T18" s="703" t="s">
        <v>14</v>
      </c>
      <c r="U18" s="704">
        <f>H18</f>
        <v>100</v>
      </c>
      <c r="V18" s="703" t="s">
        <v>14</v>
      </c>
      <c r="W18" s="704">
        <f>J18</f>
        <v>100</v>
      </c>
      <c r="X18" s="1352"/>
      <c r="Y18" s="3951"/>
      <c r="Z18" s="1353" t="str">
        <f>Q18</f>
        <v>基础设施水平</v>
      </c>
      <c r="AA18" s="1350">
        <f>D18/F18</f>
        <v>1</v>
      </c>
      <c r="AB18" s="1350">
        <f>D18/H18</f>
        <v>1</v>
      </c>
      <c r="AC18" s="1350">
        <f>D18/J18</f>
        <v>1</v>
      </c>
    </row>
    <row r="19" spans="1:29" ht="15">
      <c r="A19" s="357"/>
      <c r="B19" s="580"/>
      <c r="C19" s="1898"/>
      <c r="D19" s="400"/>
      <c r="E19" s="1898"/>
      <c r="F19" s="403"/>
      <c r="G19" s="1898"/>
      <c r="H19" s="398"/>
      <c r="I19" s="397"/>
      <c r="J19" s="398"/>
      <c r="K19" s="1127"/>
      <c r="L19" s="2719"/>
      <c r="M19" s="2713"/>
      <c r="N19" s="2713"/>
      <c r="O19" s="2713"/>
      <c r="P19" s="3951"/>
      <c r="Q19" s="1349"/>
      <c r="R19" s="703"/>
      <c r="S19" s="704"/>
      <c r="T19" s="703"/>
      <c r="U19" s="704"/>
      <c r="V19" s="703"/>
      <c r="W19" s="704"/>
      <c r="X19" s="1352"/>
      <c r="Y19" s="3951"/>
      <c r="Z19" s="1353"/>
      <c r="AA19" s="1350">
        <v>1</v>
      </c>
      <c r="AB19" s="1350">
        <v>1</v>
      </c>
      <c r="AC19" s="1350">
        <v>1</v>
      </c>
    </row>
    <row r="20" spans="1:29" ht="55.2">
      <c r="A20" s="357"/>
      <c r="B20" s="578" t="s">
        <v>1833</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951"/>
      <c r="Q20" s="1349" t="str">
        <f>B20</f>
        <v>自然及人文环境</v>
      </c>
      <c r="R20" s="703" t="s">
        <v>14</v>
      </c>
      <c r="S20" s="704">
        <f>F20</f>
        <v>100</v>
      </c>
      <c r="T20" s="703" t="s">
        <v>14</v>
      </c>
      <c r="U20" s="704">
        <f>H20</f>
        <v>100</v>
      </c>
      <c r="V20" s="703" t="s">
        <v>14</v>
      </c>
      <c r="W20" s="704">
        <f>J20</f>
        <v>100</v>
      </c>
      <c r="X20" s="1352"/>
      <c r="Y20" s="3951"/>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951"/>
      <c r="Q21" s="1349"/>
      <c r="R21" s="703"/>
      <c r="S21" s="704"/>
      <c r="T21" s="703"/>
      <c r="U21" s="704"/>
      <c r="V21" s="703"/>
      <c r="W21" s="704"/>
      <c r="X21" s="1352"/>
      <c r="Y21" s="3951"/>
      <c r="Z21" s="1353"/>
      <c r="AA21" s="1350">
        <v>1</v>
      </c>
      <c r="AB21" s="1350">
        <v>1</v>
      </c>
      <c r="AC21" s="1350">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951"/>
      <c r="Q22" s="1349" t="str">
        <f>B22</f>
        <v>楼层</v>
      </c>
      <c r="R22" s="703" t="s">
        <v>14</v>
      </c>
      <c r="S22" s="704">
        <f>F22</f>
        <v>100</v>
      </c>
      <c r="T22" s="703" t="s">
        <v>14</v>
      </c>
      <c r="U22" s="704">
        <f>H22</f>
        <v>100</v>
      </c>
      <c r="V22" s="703" t="s">
        <v>14</v>
      </c>
      <c r="W22" s="704">
        <f>J22</f>
        <v>100</v>
      </c>
      <c r="X22" s="1352"/>
      <c r="Y22" s="3951"/>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951"/>
      <c r="Q23" s="1349">
        <f>B23</f>
        <v>111</v>
      </c>
      <c r="R23" s="703" t="s">
        <v>14</v>
      </c>
      <c r="S23" s="704">
        <f>F23</f>
        <v>100</v>
      </c>
      <c r="T23" s="703" t="s">
        <v>14</v>
      </c>
      <c r="U23" s="704">
        <f>H23</f>
        <v>100</v>
      </c>
      <c r="V23" s="703" t="s">
        <v>14</v>
      </c>
      <c r="W23" s="704">
        <f>J23</f>
        <v>100</v>
      </c>
      <c r="X23" s="1352"/>
      <c r="Y23" s="3951"/>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951"/>
      <c r="Q24" s="1349">
        <f t="shared" ref="Q24:Q36" si="8">B24</f>
        <v>111</v>
      </c>
      <c r="R24" s="703" t="s">
        <v>14</v>
      </c>
      <c r="S24" s="704">
        <f>F24</f>
        <v>100</v>
      </c>
      <c r="T24" s="703" t="s">
        <v>14</v>
      </c>
      <c r="U24" s="704">
        <f>H24</f>
        <v>100</v>
      </c>
      <c r="V24" s="703" t="s">
        <v>14</v>
      </c>
      <c r="W24" s="704">
        <f>J24</f>
        <v>100</v>
      </c>
      <c r="X24" s="1352"/>
      <c r="Y24" s="3951"/>
      <c r="Z24" s="1353">
        <f>Q24</f>
        <v>111</v>
      </c>
      <c r="AA24" s="1350">
        <f t="shared" si="3"/>
        <v>1</v>
      </c>
      <c r="AB24" s="1350">
        <f t="shared" si="4"/>
        <v>1</v>
      </c>
      <c r="AC24" s="1350">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951"/>
      <c r="Q25" s="1340">
        <f t="shared" si="8"/>
        <v>111</v>
      </c>
      <c r="R25" s="699" t="s">
        <v>14</v>
      </c>
      <c r="S25" s="700">
        <f>F25</f>
        <v>100</v>
      </c>
      <c r="T25" s="699" t="s">
        <v>14</v>
      </c>
      <c r="U25" s="700">
        <f>H25</f>
        <v>100</v>
      </c>
      <c r="V25" s="699" t="s">
        <v>14</v>
      </c>
      <c r="W25" s="700">
        <f>J25</f>
        <v>100</v>
      </c>
      <c r="X25" s="701"/>
      <c r="Y25" s="3951"/>
      <c r="Z25" s="52">
        <f>Q25</f>
        <v>111</v>
      </c>
      <c r="AA25" s="1350">
        <f>D25/F25</f>
        <v>1</v>
      </c>
      <c r="AB25" s="1350">
        <f>D25/H25</f>
        <v>1</v>
      </c>
      <c r="AC25" s="1350">
        <f>D25/J25</f>
        <v>1</v>
      </c>
    </row>
    <row r="26" spans="1:29" ht="30">
      <c r="A26" s="599" t="s">
        <v>1693</v>
      </c>
      <c r="B26" s="62" t="s">
        <v>1835</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974" t="s">
        <v>1695</v>
      </c>
      <c r="Q26" s="1349" t="str">
        <f t="shared" si="8"/>
        <v>配套类型</v>
      </c>
      <c r="R26" s="703" t="s">
        <v>14</v>
      </c>
      <c r="S26" s="704">
        <f t="shared" ref="S26:S36" si="9">F26</f>
        <v>0</v>
      </c>
      <c r="T26" s="703" t="s">
        <v>14</v>
      </c>
      <c r="U26" s="704">
        <f t="shared" ref="U26:U36" si="10">H26</f>
        <v>0</v>
      </c>
      <c r="V26" s="703" t="s">
        <v>14</v>
      </c>
      <c r="W26" s="704">
        <f t="shared" ref="W26:W36" si="11">J26</f>
        <v>0</v>
      </c>
      <c r="X26" s="1352"/>
      <c r="Y26" s="3955" t="s">
        <v>1695</v>
      </c>
      <c r="Z26" s="1353" t="str">
        <f t="shared" ref="Z26:Z36" si="12">Q26</f>
        <v>配套类型</v>
      </c>
      <c r="AA26" s="1350" t="e">
        <f t="shared" si="3"/>
        <v>#DIV/0!</v>
      </c>
      <c r="AB26" s="1350" t="e">
        <f t="shared" si="4"/>
        <v>#DIV/0!</v>
      </c>
      <c r="AC26" s="1350"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955"/>
      <c r="Q27" s="705" t="str">
        <f t="shared" si="8"/>
        <v>项目停车位配比</v>
      </c>
      <c r="R27" s="706" t="s">
        <v>14</v>
      </c>
      <c r="S27" s="707">
        <f t="shared" si="9"/>
        <v>100</v>
      </c>
      <c r="T27" s="706" t="s">
        <v>14</v>
      </c>
      <c r="U27" s="707">
        <f t="shared" si="10"/>
        <v>100</v>
      </c>
      <c r="V27" s="706" t="s">
        <v>14</v>
      </c>
      <c r="W27" s="707">
        <f t="shared" si="11"/>
        <v>100</v>
      </c>
      <c r="X27" s="708"/>
      <c r="Y27" s="3955"/>
      <c r="Z27" s="709" t="str">
        <f t="shared" si="12"/>
        <v>项目停车位配比</v>
      </c>
      <c r="AA27" s="1350">
        <f t="shared" si="3"/>
        <v>1</v>
      </c>
      <c r="AB27" s="1350">
        <f t="shared" si="4"/>
        <v>1</v>
      </c>
      <c r="AC27" s="1350">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955"/>
      <c r="Q28" s="1349" t="str">
        <f t="shared" si="8"/>
        <v>公共部分装修</v>
      </c>
      <c r="R28" s="703" t="s">
        <v>14</v>
      </c>
      <c r="S28" s="704">
        <f t="shared" si="9"/>
        <v>100</v>
      </c>
      <c r="T28" s="703" t="s">
        <v>14</v>
      </c>
      <c r="U28" s="704">
        <f t="shared" si="10"/>
        <v>100</v>
      </c>
      <c r="V28" s="703" t="s">
        <v>14</v>
      </c>
      <c r="W28" s="704">
        <f t="shared" si="11"/>
        <v>100</v>
      </c>
      <c r="X28" s="1352"/>
      <c r="Y28" s="3955"/>
      <c r="Z28" s="1353" t="str">
        <f t="shared" si="12"/>
        <v>公共部分装修</v>
      </c>
      <c r="AA28" s="1350">
        <f t="shared" si="3"/>
        <v>1</v>
      </c>
      <c r="AB28" s="1350">
        <f t="shared" si="4"/>
        <v>1</v>
      </c>
      <c r="AC28" s="1350">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955"/>
      <c r="Q29" s="1349" t="str">
        <f t="shared" si="8"/>
        <v>成新率</v>
      </c>
      <c r="R29" s="703" t="s">
        <v>14</v>
      </c>
      <c r="S29" s="704" t="e">
        <f t="shared" si="9"/>
        <v>#N/A</v>
      </c>
      <c r="T29" s="703" t="s">
        <v>14</v>
      </c>
      <c r="U29" s="704" t="e">
        <f t="shared" si="10"/>
        <v>#N/A</v>
      </c>
      <c r="V29" s="703" t="s">
        <v>14</v>
      </c>
      <c r="W29" s="704" t="e">
        <f t="shared" si="11"/>
        <v>#N/A</v>
      </c>
      <c r="X29" s="1352"/>
      <c r="Y29" s="3955"/>
      <c r="Z29" s="1353" t="str">
        <f t="shared" si="12"/>
        <v>成新率</v>
      </c>
      <c r="AA29" s="1350" t="e">
        <f t="shared" si="3"/>
        <v>#N/A</v>
      </c>
      <c r="AB29" s="1350" t="e">
        <f t="shared" si="4"/>
        <v>#N/A</v>
      </c>
      <c r="AC29" s="1350"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955"/>
      <c r="Q30" s="1349" t="str">
        <f t="shared" si="8"/>
        <v>物业等级</v>
      </c>
      <c r="R30" s="703" t="s">
        <v>14</v>
      </c>
      <c r="S30" s="704">
        <f t="shared" si="9"/>
        <v>100</v>
      </c>
      <c r="T30" s="703" t="s">
        <v>14</v>
      </c>
      <c r="U30" s="704">
        <f t="shared" si="10"/>
        <v>100</v>
      </c>
      <c r="V30" s="703" t="s">
        <v>14</v>
      </c>
      <c r="W30" s="704">
        <f t="shared" si="11"/>
        <v>100</v>
      </c>
      <c r="X30" s="1352"/>
      <c r="Y30" s="3955"/>
      <c r="Z30" s="1353" t="str">
        <f t="shared" si="12"/>
        <v>物业等级</v>
      </c>
      <c r="AA30" s="1350">
        <f t="shared" si="3"/>
        <v>1</v>
      </c>
      <c r="AB30" s="1350">
        <f t="shared" si="4"/>
        <v>1</v>
      </c>
      <c r="AC30" s="1350">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955"/>
      <c r="Q31" s="1340" t="str">
        <f t="shared" si="8"/>
        <v>停车位面积</v>
      </c>
      <c r="R31" s="699" t="s">
        <v>14</v>
      </c>
      <c r="S31" s="700" t="e">
        <f t="shared" si="9"/>
        <v>#N/A</v>
      </c>
      <c r="T31" s="699" t="s">
        <v>14</v>
      </c>
      <c r="U31" s="700" t="e">
        <f t="shared" si="10"/>
        <v>#N/A</v>
      </c>
      <c r="V31" s="699" t="s">
        <v>14</v>
      </c>
      <c r="W31" s="700" t="e">
        <f t="shared" si="11"/>
        <v>#N/A</v>
      </c>
      <c r="X31" s="701"/>
      <c r="Y31" s="3955"/>
      <c r="Z31" s="52" t="str">
        <f t="shared" si="12"/>
        <v>停车位面积</v>
      </c>
      <c r="AA31" s="702" t="e">
        <f t="shared" si="3"/>
        <v>#N/A</v>
      </c>
      <c r="AB31" s="702" t="e">
        <f t="shared" si="4"/>
        <v>#N/A</v>
      </c>
      <c r="AC31" s="702"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955" t="s">
        <v>1695</v>
      </c>
      <c r="Q32" s="1349" t="str">
        <f t="shared" si="8"/>
        <v>车位类型</v>
      </c>
      <c r="R32" s="703" t="s">
        <v>14</v>
      </c>
      <c r="S32" s="704">
        <f t="shared" si="9"/>
        <v>100</v>
      </c>
      <c r="T32" s="703" t="s">
        <v>14</v>
      </c>
      <c r="U32" s="704">
        <f t="shared" si="10"/>
        <v>100</v>
      </c>
      <c r="V32" s="703" t="s">
        <v>14</v>
      </c>
      <c r="W32" s="704">
        <f t="shared" si="11"/>
        <v>100</v>
      </c>
      <c r="X32" s="1352"/>
      <c r="Y32" s="3955" t="s">
        <v>1695</v>
      </c>
      <c r="Z32" s="1353" t="str">
        <f t="shared" si="12"/>
        <v>车位类型</v>
      </c>
      <c r="AA32" s="1350">
        <f t="shared" si="3"/>
        <v>1</v>
      </c>
      <c r="AB32" s="1350">
        <f t="shared" si="4"/>
        <v>1</v>
      </c>
      <c r="AC32" s="1350">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955"/>
      <c r="Q33" s="1349" t="str">
        <f t="shared" si="8"/>
        <v>是否直接入户</v>
      </c>
      <c r="R33" s="703" t="s">
        <v>14</v>
      </c>
      <c r="S33" s="704">
        <f t="shared" si="9"/>
        <v>100</v>
      </c>
      <c r="T33" s="703" t="s">
        <v>14</v>
      </c>
      <c r="U33" s="704">
        <f t="shared" si="10"/>
        <v>100</v>
      </c>
      <c r="V33" s="703" t="s">
        <v>14</v>
      </c>
      <c r="W33" s="704">
        <f t="shared" si="11"/>
        <v>100</v>
      </c>
      <c r="X33" s="1352"/>
      <c r="Y33" s="3955"/>
      <c r="Z33" s="1353" t="str">
        <f t="shared" si="12"/>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955"/>
      <c r="Q34" s="1349">
        <f t="shared" si="8"/>
        <v>111</v>
      </c>
      <c r="R34" s="703" t="s">
        <v>14</v>
      </c>
      <c r="S34" s="704">
        <f t="shared" si="9"/>
        <v>100</v>
      </c>
      <c r="T34" s="703" t="s">
        <v>14</v>
      </c>
      <c r="U34" s="704">
        <f t="shared" si="10"/>
        <v>100</v>
      </c>
      <c r="V34" s="703" t="s">
        <v>14</v>
      </c>
      <c r="W34" s="704">
        <f t="shared" si="11"/>
        <v>100</v>
      </c>
      <c r="X34" s="1352"/>
      <c r="Y34" s="3955"/>
      <c r="Z34" s="1353">
        <f t="shared" si="12"/>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955"/>
      <c r="Q35" s="705">
        <f t="shared" si="8"/>
        <v>111</v>
      </c>
      <c r="R35" s="706" t="s">
        <v>14</v>
      </c>
      <c r="S35" s="707">
        <f t="shared" si="9"/>
        <v>100</v>
      </c>
      <c r="T35" s="706" t="s">
        <v>14</v>
      </c>
      <c r="U35" s="707">
        <f t="shared" si="10"/>
        <v>100</v>
      </c>
      <c r="V35" s="706" t="s">
        <v>14</v>
      </c>
      <c r="W35" s="707">
        <f t="shared" si="11"/>
        <v>100</v>
      </c>
      <c r="X35" s="708"/>
      <c r="Y35" s="3955"/>
      <c r="Z35" s="709">
        <f t="shared" si="12"/>
        <v>111</v>
      </c>
      <c r="AA35" s="1350">
        <f t="shared" si="3"/>
        <v>1</v>
      </c>
      <c r="AB35" s="1350">
        <f t="shared" si="4"/>
        <v>1</v>
      </c>
      <c r="AC35" s="1350">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955"/>
      <c r="Q36" s="1349">
        <f t="shared" si="8"/>
        <v>111</v>
      </c>
      <c r="R36" s="703" t="s">
        <v>14</v>
      </c>
      <c r="S36" s="704">
        <f t="shared" si="9"/>
        <v>100</v>
      </c>
      <c r="T36" s="703" t="s">
        <v>14</v>
      </c>
      <c r="U36" s="704">
        <f t="shared" si="10"/>
        <v>100</v>
      </c>
      <c r="V36" s="703" t="s">
        <v>14</v>
      </c>
      <c r="W36" s="704">
        <f t="shared" si="11"/>
        <v>100</v>
      </c>
      <c r="X36" s="1352"/>
      <c r="Y36" s="3955"/>
      <c r="Z36" s="1353">
        <f t="shared" si="12"/>
        <v>111</v>
      </c>
      <c r="AA36" s="1350">
        <f t="shared" si="3"/>
        <v>1</v>
      </c>
      <c r="AB36" s="1350">
        <f t="shared" si="4"/>
        <v>1</v>
      </c>
      <c r="AC36" s="1350">
        <f t="shared" si="5"/>
        <v>1</v>
      </c>
    </row>
    <row r="37" spans="1:29" ht="14.4">
      <c r="A37" s="429" t="s">
        <v>1843</v>
      </c>
      <c r="B37" s="1970" t="s">
        <v>3354</v>
      </c>
      <c r="C37" s="1151" t="s">
        <v>0</v>
      </c>
      <c r="D37" s="1152"/>
      <c r="E37" s="1153"/>
      <c r="F37" s="1154"/>
      <c r="G37" s="1155"/>
      <c r="H37" s="1156"/>
      <c r="I37" s="1153"/>
      <c r="J37" s="1156"/>
      <c r="K37" s="567"/>
      <c r="L37" s="2721"/>
      <c r="M37" s="2722"/>
      <c r="N37" s="2713"/>
      <c r="O37" s="2722"/>
      <c r="P37" s="3948" t="str">
        <f>A37</f>
        <v>成交单价</v>
      </c>
      <c r="Q37" s="3948"/>
      <c r="R37" s="3949">
        <f>E37</f>
        <v>0</v>
      </c>
      <c r="S37" s="3949"/>
      <c r="T37" s="3949">
        <f>G37</f>
        <v>0</v>
      </c>
      <c r="U37" s="3949"/>
      <c r="V37" s="3949">
        <f>I37</f>
        <v>0</v>
      </c>
      <c r="W37" s="3949"/>
      <c r="X37" s="688"/>
      <c r="Y37" s="710"/>
      <c r="Z37" s="688"/>
      <c r="AA37" s="688"/>
      <c r="AB37" s="688"/>
      <c r="AC37" s="688"/>
    </row>
    <row r="38" spans="1:29" ht="15" thickBot="1">
      <c r="A38" s="436" t="s">
        <v>1844</v>
      </c>
      <c r="B38" s="437"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948" t="str">
        <f>A38</f>
        <v>比较价值（元/平方米）</v>
      </c>
      <c r="Q38" s="3948"/>
      <c r="R38" s="3949" t="e">
        <f>IF(F1="售价",ROUND(PRODUCT(R37,AA7:AA36),0),ROUND(PRODUCT(R37,AA7:AA36),1))</f>
        <v>#DIV/0!</v>
      </c>
      <c r="S38" s="3949"/>
      <c r="T38" s="3949" t="e">
        <f>IF(F1="售价",ROUND(PRODUCT(T37,AB7:AB36),0),ROUND(PRODUCT(T37,AB7:AB36),1))</f>
        <v>#DIV/0!</v>
      </c>
      <c r="U38" s="3949"/>
      <c r="V38" s="3949" t="e">
        <f>IF(F1="售价",ROUND(PRODUCT(V37,AC7:AC36),0),ROUND(PRODUCT(V37,AC7:AC36),1))</f>
        <v>#DIV/0!</v>
      </c>
      <c r="W38" s="3949"/>
      <c r="X38" s="688"/>
      <c r="Y38" s="688"/>
      <c r="Z38" s="688"/>
      <c r="AA38" s="688"/>
      <c r="AB38" s="688"/>
      <c r="AC38" s="688"/>
    </row>
    <row r="39" spans="1:29" ht="15" thickBot="1">
      <c r="A39" s="440" t="s">
        <v>1845</v>
      </c>
      <c r="B39" s="441"/>
      <c r="C39" s="1160" t="e">
        <f>R39</f>
        <v>#DIV/0!</v>
      </c>
      <c r="D39" s="1160"/>
      <c r="E39" s="1160"/>
      <c r="F39" s="1160"/>
      <c r="G39" s="1160"/>
      <c r="H39" s="1160"/>
      <c r="I39" s="1160"/>
      <c r="J39" s="1160"/>
      <c r="K39" s="568"/>
      <c r="L39" s="2721"/>
      <c r="M39" s="2722"/>
      <c r="N39" s="2722"/>
      <c r="O39" s="2722"/>
      <c r="P39" s="3945" t="str">
        <f>A39</f>
        <v>估价对象XX用房的比较价值（楼面单价，元/平方米）</v>
      </c>
      <c r="Q39" s="3946"/>
      <c r="R39" s="3975" t="e">
        <f>IF(F1="售价",ROUND(IF(D38="简单平均",AVERAGE(R38:W38),R38*F38+T38*H38+V38*J38),0),ROUND(IF(D38="简单平均",AVERAGE(R38:V38),R38*F38+T38*H38+V38*J38),1))</f>
        <v>#DIV/0!</v>
      </c>
      <c r="S39" s="3975"/>
      <c r="T39" s="3975"/>
      <c r="U39" s="3975"/>
      <c r="V39" s="3975"/>
      <c r="W39" s="3975"/>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6" customFormat="1" ht="14.4">
      <c r="A48" s="453" t="s">
        <v>1850</v>
      </c>
      <c r="B48" s="454"/>
      <c r="C48" s="1181" t="str">
        <f>YEAR(C7)&amp;"-"&amp;MONTH(C7)</f>
        <v>2024-8</v>
      </c>
      <c r="D48" s="1182">
        <f>EDATE(C48,-1)</f>
        <v>45474</v>
      </c>
      <c r="E48" s="1182">
        <f t="shared" ref="E48:O48" si="13">EDATE(D48,-1)</f>
        <v>45444</v>
      </c>
      <c r="F48" s="1182">
        <f t="shared" si="13"/>
        <v>45413</v>
      </c>
      <c r="G48" s="1182">
        <f t="shared" si="13"/>
        <v>45383</v>
      </c>
      <c r="H48" s="1182">
        <f t="shared" si="13"/>
        <v>45352</v>
      </c>
      <c r="I48" s="1182">
        <f t="shared" si="13"/>
        <v>45323</v>
      </c>
      <c r="J48" s="1182">
        <f t="shared" si="13"/>
        <v>45292</v>
      </c>
      <c r="K48" s="1182">
        <f t="shared" si="13"/>
        <v>45261</v>
      </c>
      <c r="L48" s="1182">
        <f t="shared" si="13"/>
        <v>45231</v>
      </c>
      <c r="M48" s="1182">
        <f t="shared" si="13"/>
        <v>45200</v>
      </c>
      <c r="N48" s="1182">
        <f t="shared" si="13"/>
        <v>45170</v>
      </c>
      <c r="O48" s="1182">
        <f t="shared" si="13"/>
        <v>45139</v>
      </c>
      <c r="P48" s="2756"/>
      <c r="Q48" s="2738"/>
      <c r="R48" s="2738"/>
      <c r="S48" s="2738"/>
      <c r="T48" s="2738"/>
      <c r="U48" s="2738"/>
      <c r="V48" s="2738"/>
      <c r="W48" s="2738"/>
      <c r="X48" s="2738"/>
      <c r="Y48" s="2738"/>
      <c r="Z48" s="2738"/>
      <c r="AA48" s="2738"/>
      <c r="AB48" s="2738"/>
      <c r="AC48" s="2738"/>
    </row>
    <row r="49" spans="1:29" s="108" customFormat="1">
      <c r="A49" s="457"/>
      <c r="B49" s="458"/>
      <c r="C49" s="1174">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 thickBot="1">
      <c r="A50" s="463" t="s">
        <v>1715</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4.4">
      <c r="A51" s="469" t="s">
        <v>1680</v>
      </c>
      <c r="B51" s="458"/>
      <c r="C51" s="470" t="s">
        <v>1775</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4.4"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ht="14.4">
      <c r="A53" s="475" t="s">
        <v>1718</v>
      </c>
      <c r="B53" s="476" t="s">
        <v>1684</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4.4"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9.4" thickTop="1">
      <c r="A55" s="482"/>
      <c r="B55" s="486" t="s">
        <v>1687</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4.4"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4.4"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4.4"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4.4"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4.4"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4.4"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4.4"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 thickTop="1">
      <c r="A65" s="482"/>
      <c r="B65" s="486" t="s">
        <v>1726</v>
      </c>
      <c r="C65" s="526" t="s">
        <v>1720</v>
      </c>
      <c r="D65" s="526" t="s">
        <v>1721</v>
      </c>
      <c r="E65" s="526" t="s">
        <v>1722</v>
      </c>
      <c r="F65" s="526" t="s">
        <v>1723</v>
      </c>
      <c r="G65" s="526" t="s">
        <v>1724</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 thickTop="1">
      <c r="A67" s="482"/>
      <c r="B67" s="494" t="s">
        <v>1812</v>
      </c>
      <c r="C67" s="607" t="s">
        <v>1798</v>
      </c>
      <c r="D67" s="607" t="s">
        <v>1799</v>
      </c>
      <c r="E67" s="607" t="s">
        <v>1800</v>
      </c>
      <c r="F67" s="607" t="s">
        <v>1801</v>
      </c>
      <c r="G67" s="607" t="s">
        <v>1802</v>
      </c>
      <c r="H67" s="487"/>
      <c r="I67" s="487"/>
      <c r="J67" s="487"/>
      <c r="K67" s="487"/>
      <c r="L67" s="487"/>
      <c r="M67" s="1126"/>
      <c r="N67" s="2751"/>
      <c r="O67" s="2751"/>
      <c r="P67" s="2759"/>
      <c r="Q67" s="2736"/>
      <c r="R67" s="2722"/>
      <c r="S67" s="2722"/>
      <c r="T67" s="2722"/>
      <c r="U67" s="2722"/>
      <c r="V67" s="2722"/>
      <c r="W67" s="2722"/>
      <c r="X67" s="2722"/>
      <c r="Y67" s="2722"/>
      <c r="Z67" s="2722"/>
      <c r="AA67" s="2722"/>
      <c r="AB67" s="2722"/>
      <c r="AC67" s="2722"/>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 thickTop="1">
      <c r="A69" s="482"/>
      <c r="B69" s="486" t="s">
        <v>1732</v>
      </c>
      <c r="C69" s="526" t="s">
        <v>1720</v>
      </c>
      <c r="D69" s="526" t="s">
        <v>1721</v>
      </c>
      <c r="E69" s="526" t="s">
        <v>1722</v>
      </c>
      <c r="F69" s="526" t="s">
        <v>1723</v>
      </c>
      <c r="G69" s="526" t="s">
        <v>1724</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 thickTop="1">
      <c r="A71" s="482"/>
      <c r="B71" s="486" t="s">
        <v>1851</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4.4"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4.4"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4.4"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4.4"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4.4"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4.4"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9.4" thickTop="1">
      <c r="A79" s="475" t="s">
        <v>1693</v>
      </c>
      <c r="B79" s="476" t="s">
        <v>1852</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 t="shared" ref="D80:M80" si="14">C80-$K26</f>
        <v>100</v>
      </c>
      <c r="E80" s="492">
        <f t="shared" si="14"/>
        <v>100</v>
      </c>
      <c r="F80" s="492">
        <f t="shared" si="14"/>
        <v>100</v>
      </c>
      <c r="G80" s="492">
        <f t="shared" si="14"/>
        <v>100</v>
      </c>
      <c r="H80" s="492">
        <f t="shared" si="14"/>
        <v>100</v>
      </c>
      <c r="I80" s="492">
        <f t="shared" si="14"/>
        <v>100</v>
      </c>
      <c r="J80" s="492">
        <f t="shared" si="14"/>
        <v>100</v>
      </c>
      <c r="K80" s="492">
        <f t="shared" si="14"/>
        <v>100</v>
      </c>
      <c r="L80" s="492">
        <f t="shared" si="14"/>
        <v>100</v>
      </c>
      <c r="M80" s="493">
        <f t="shared" si="14"/>
        <v>100</v>
      </c>
      <c r="N80" s="2751"/>
      <c r="O80" s="2751"/>
      <c r="P80" s="2759"/>
      <c r="Q80" s="2736"/>
      <c r="R80" s="2722"/>
      <c r="S80" s="2722"/>
      <c r="T80" s="2722"/>
      <c r="U80" s="2722"/>
      <c r="V80" s="2722"/>
      <c r="W80" s="2722"/>
      <c r="X80" s="2722"/>
      <c r="Y80" s="2722"/>
      <c r="Z80" s="2722"/>
      <c r="AA80" s="2722"/>
      <c r="AB80" s="2722"/>
      <c r="AC80" s="2722"/>
    </row>
    <row r="81" spans="1:29" ht="15" thickTop="1">
      <c r="A81" s="482"/>
      <c r="B81" s="486" t="s">
        <v>1853</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4.4"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1739</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4.4" thickBot="1">
      <c r="A84" s="482"/>
      <c r="B84" s="491"/>
      <c r="C84" s="492">
        <v>100</v>
      </c>
      <c r="D84" s="492">
        <f t="shared" ref="D84:M84" si="15">C84-$K28</f>
        <v>100</v>
      </c>
      <c r="E84" s="492">
        <f t="shared" si="15"/>
        <v>100</v>
      </c>
      <c r="F84" s="492">
        <f t="shared" si="15"/>
        <v>100</v>
      </c>
      <c r="G84" s="492">
        <f t="shared" si="15"/>
        <v>100</v>
      </c>
      <c r="H84" s="492">
        <f t="shared" si="15"/>
        <v>100</v>
      </c>
      <c r="I84" s="492">
        <f t="shared" si="15"/>
        <v>100</v>
      </c>
      <c r="J84" s="492">
        <f t="shared" si="15"/>
        <v>100</v>
      </c>
      <c r="K84" s="492">
        <f t="shared" si="15"/>
        <v>100</v>
      </c>
      <c r="L84" s="492">
        <f t="shared" si="15"/>
        <v>100</v>
      </c>
      <c r="M84" s="493">
        <f t="shared" si="15"/>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4.4" thickBot="1">
      <c r="A87" s="482"/>
      <c r="B87" s="491"/>
      <c r="C87" s="530">
        <v>100</v>
      </c>
      <c r="D87" s="492">
        <f>C87+$K$29</f>
        <v>100</v>
      </c>
      <c r="E87" s="492">
        <f t="shared" ref="E87:M87" si="16">D87+$K$29</f>
        <v>100</v>
      </c>
      <c r="F87" s="492">
        <f t="shared" si="16"/>
        <v>100</v>
      </c>
      <c r="G87" s="492">
        <f t="shared" si="16"/>
        <v>100</v>
      </c>
      <c r="H87" s="492">
        <f t="shared" si="16"/>
        <v>100</v>
      </c>
      <c r="I87" s="492">
        <f t="shared" si="16"/>
        <v>100</v>
      </c>
      <c r="J87" s="492">
        <f t="shared" si="16"/>
        <v>100</v>
      </c>
      <c r="K87" s="492">
        <f t="shared" si="16"/>
        <v>100</v>
      </c>
      <c r="L87" s="492">
        <f t="shared" si="16"/>
        <v>100</v>
      </c>
      <c r="M87" s="492">
        <f t="shared" si="16"/>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1855</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4.4" thickBot="1">
      <c r="A89" s="482"/>
      <c r="B89" s="491"/>
      <c r="C89" s="530">
        <v>100</v>
      </c>
      <c r="D89" s="492">
        <f t="shared" ref="D89:M89" si="17">C89+$K30</f>
        <v>100</v>
      </c>
      <c r="E89" s="492">
        <f t="shared" si="17"/>
        <v>100</v>
      </c>
      <c r="F89" s="492">
        <f t="shared" si="17"/>
        <v>100</v>
      </c>
      <c r="G89" s="492">
        <f t="shared" si="17"/>
        <v>100</v>
      </c>
      <c r="H89" s="492">
        <f t="shared" si="17"/>
        <v>100</v>
      </c>
      <c r="I89" s="492">
        <f t="shared" si="17"/>
        <v>100</v>
      </c>
      <c r="J89" s="492">
        <f t="shared" si="17"/>
        <v>100</v>
      </c>
      <c r="K89" s="492">
        <f t="shared" si="17"/>
        <v>100</v>
      </c>
      <c r="L89" s="492">
        <f t="shared" si="17"/>
        <v>100</v>
      </c>
      <c r="M89" s="492">
        <f t="shared" si="17"/>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1856</v>
      </c>
      <c r="C90" s="526" t="str">
        <f>C91&amp;"(含)"&amp;"-"&amp;D91</f>
        <v>(含)-</v>
      </c>
      <c r="D90" s="526" t="str">
        <f t="shared" ref="D90:L90" si="18">D91&amp;"(含)"&amp;"-"&amp;E91</f>
        <v>(含)-</v>
      </c>
      <c r="E90" s="526" t="str">
        <f t="shared" si="18"/>
        <v>(含)-</v>
      </c>
      <c r="F90" s="526" t="str">
        <f t="shared" si="18"/>
        <v>(含)-</v>
      </c>
      <c r="G90" s="526" t="str">
        <f t="shared" si="18"/>
        <v>(含)-</v>
      </c>
      <c r="H90" s="526" t="str">
        <f t="shared" si="18"/>
        <v>(含)-</v>
      </c>
      <c r="I90" s="526" t="str">
        <f t="shared" si="18"/>
        <v>(含)-</v>
      </c>
      <c r="J90" s="526" t="str">
        <f t="shared" si="18"/>
        <v>(含)-</v>
      </c>
      <c r="K90" s="526" t="str">
        <f t="shared" si="18"/>
        <v>(含)-</v>
      </c>
      <c r="L90" s="526" t="str">
        <f t="shared" si="18"/>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1857</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492">
        <v>100</v>
      </c>
      <c r="D94" s="492">
        <f t="shared" ref="D94:M94" si="19">C94-$K32</f>
        <v>100</v>
      </c>
      <c r="E94" s="492">
        <f t="shared" si="19"/>
        <v>100</v>
      </c>
      <c r="F94" s="492">
        <f t="shared" si="19"/>
        <v>100</v>
      </c>
      <c r="G94" s="492">
        <f t="shared" si="19"/>
        <v>100</v>
      </c>
      <c r="H94" s="492">
        <f t="shared" si="19"/>
        <v>100</v>
      </c>
      <c r="I94" s="492">
        <f t="shared" si="19"/>
        <v>100</v>
      </c>
      <c r="J94" s="492">
        <f t="shared" si="19"/>
        <v>100</v>
      </c>
      <c r="K94" s="492">
        <f t="shared" si="19"/>
        <v>100</v>
      </c>
      <c r="L94" s="492">
        <f t="shared" si="19"/>
        <v>100</v>
      </c>
      <c r="M94" s="493">
        <f t="shared" si="19"/>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1858</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4.4"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4.4"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4.4"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4.4"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4.4"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7:F36 H7:H36 J7:J36">
    <cfRule type="cellIs" dxfId="4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109375" style="356" customWidth="1"/>
    <col min="5" max="5" width="14.33203125" style="356" customWidth="1"/>
    <col min="6" max="6" width="12.109375" style="356" customWidth="1"/>
    <col min="7" max="7" width="14.44140625" style="356" customWidth="1"/>
    <col min="8" max="8" width="12.109375" style="356" customWidth="1"/>
    <col min="9" max="9" width="14.44140625" style="356" customWidth="1"/>
    <col min="10" max="10" width="12.109375" style="356" customWidth="1"/>
    <col min="11" max="11" width="12.109375" style="443" customWidth="1"/>
    <col min="12" max="12" width="12.109375" style="444" customWidth="1"/>
    <col min="13" max="15" width="12.109375" style="356" customWidth="1"/>
    <col min="16" max="16" width="4.77734375" style="356" customWidth="1"/>
    <col min="17" max="17" width="19.44140625" style="356" customWidth="1"/>
    <col min="18" max="22" width="6.109375" style="356" customWidth="1"/>
    <col min="23" max="23" width="5.77734375" style="356" customWidth="1"/>
    <col min="24" max="24" width="4.1093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1830</v>
      </c>
      <c r="B1" s="1220" t="s">
        <v>3334</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1463</v>
      </c>
      <c r="B3" s="557" t="e">
        <f>IF(C2="——",C37,ROUND(B2*10000/D3,0))</f>
        <v>#DIV/0!</v>
      </c>
      <c r="C3" s="353" t="s">
        <v>1767</v>
      </c>
      <c r="D3" s="352">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4" t="s">
        <v>1768</v>
      </c>
      <c r="B4" s="355"/>
      <c r="C4" s="3931" t="s">
        <v>1769</v>
      </c>
      <c r="D4" s="3932"/>
      <c r="E4" s="3933" t="s">
        <v>1770</v>
      </c>
      <c r="F4" s="3934"/>
      <c r="G4" s="3931" t="s">
        <v>1771</v>
      </c>
      <c r="H4" s="3932"/>
      <c r="I4" s="3931" t="s">
        <v>1772</v>
      </c>
      <c r="J4" s="3932"/>
      <c r="K4" s="558" t="s">
        <v>1773</v>
      </c>
      <c r="L4" s="2712"/>
      <c r="M4" s="2713"/>
      <c r="N4" s="2713"/>
      <c r="O4" s="2713"/>
      <c r="P4" s="3935" t="s">
        <v>1774</v>
      </c>
      <c r="Q4" s="3936"/>
      <c r="R4" s="3918" t="s">
        <v>1770</v>
      </c>
      <c r="S4" s="3919"/>
      <c r="T4" s="3918" t="s">
        <v>1771</v>
      </c>
      <c r="U4" s="3919"/>
      <c r="V4" s="3943" t="s">
        <v>1772</v>
      </c>
      <c r="W4" s="3943"/>
      <c r="X4" s="1352"/>
      <c r="Y4" s="3918" t="s">
        <v>1774</v>
      </c>
      <c r="Z4" s="3919"/>
      <c r="AA4" s="3913" t="s">
        <v>1770</v>
      </c>
      <c r="AB4" s="3914" t="s">
        <v>1771</v>
      </c>
      <c r="AC4" s="3913" t="s">
        <v>1772</v>
      </c>
    </row>
    <row r="5" spans="1:29">
      <c r="A5" s="357"/>
      <c r="B5" s="358"/>
      <c r="C5" s="3924" t="s">
        <v>1672</v>
      </c>
      <c r="D5" s="3925"/>
      <c r="E5" s="3922" t="s">
        <v>1673</v>
      </c>
      <c r="F5" s="3923"/>
      <c r="G5" s="3924" t="s">
        <v>1674</v>
      </c>
      <c r="H5" s="3925"/>
      <c r="I5" s="3924" t="s">
        <v>1675</v>
      </c>
      <c r="J5" s="3925"/>
      <c r="K5" s="558"/>
      <c r="L5" s="2712"/>
      <c r="M5" s="2713"/>
      <c r="N5" s="2713"/>
      <c r="O5" s="2713"/>
      <c r="P5" s="3937"/>
      <c r="Q5" s="3938"/>
      <c r="R5" s="3920"/>
      <c r="S5" s="3921"/>
      <c r="T5" s="3920"/>
      <c r="U5" s="3921"/>
      <c r="V5" s="3943"/>
      <c r="W5" s="3943"/>
      <c r="X5" s="1352"/>
      <c r="Y5" s="3920"/>
      <c r="Z5" s="3921"/>
      <c r="AA5" s="3914"/>
      <c r="AB5" s="3914"/>
      <c r="AC5" s="3914"/>
    </row>
    <row r="6" spans="1:29" ht="15" thickBot="1">
      <c r="A6" s="359"/>
      <c r="B6" s="360"/>
      <c r="C6" s="3926" t="s">
        <v>1676</v>
      </c>
      <c r="D6" s="3927"/>
      <c r="E6" s="3928" t="s">
        <v>1676</v>
      </c>
      <c r="F6" s="3929"/>
      <c r="G6" s="3926" t="s">
        <v>1676</v>
      </c>
      <c r="H6" s="3927"/>
      <c r="I6" s="3926" t="s">
        <v>1676</v>
      </c>
      <c r="J6" s="3927"/>
      <c r="K6" s="558" t="s">
        <v>1677</v>
      </c>
      <c r="L6" s="2712"/>
      <c r="M6" s="2713"/>
      <c r="N6" s="2713"/>
      <c r="O6" s="2713"/>
      <c r="P6" s="3939"/>
      <c r="Q6" s="3940"/>
      <c r="R6" s="3920"/>
      <c r="S6" s="3921"/>
      <c r="T6" s="3941"/>
      <c r="U6" s="3942"/>
      <c r="V6" s="3943"/>
      <c r="W6" s="3943"/>
      <c r="X6" s="1352"/>
      <c r="Y6" s="3941"/>
      <c r="Z6" s="3942"/>
      <c r="AA6" s="3915"/>
      <c r="AB6" s="3915"/>
      <c r="AC6" s="3915"/>
    </row>
    <row r="7" spans="1:29" s="108" customFormat="1" ht="15" thickBot="1">
      <c r="A7" s="361" t="s">
        <v>1678</v>
      </c>
      <c r="B7" s="362"/>
      <c r="C7" s="363">
        <f>'数据-取费表'!B2</f>
        <v>45511</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916" t="s">
        <v>1679</v>
      </c>
      <c r="Q7" s="3944"/>
      <c r="R7" s="699" t="s">
        <v>14</v>
      </c>
      <c r="S7" s="700">
        <f t="shared" ref="S7:S14" si="0">F7</f>
        <v>0</v>
      </c>
      <c r="T7" s="699" t="s">
        <v>14</v>
      </c>
      <c r="U7" s="700">
        <f t="shared" ref="U7:U14" si="1">H7</f>
        <v>0</v>
      </c>
      <c r="V7" s="699" t="s">
        <v>14</v>
      </c>
      <c r="W7" s="700">
        <f t="shared" ref="W7:W14" si="2">J7</f>
        <v>0</v>
      </c>
      <c r="X7" s="701"/>
      <c r="Y7" s="3916" t="s">
        <v>1679</v>
      </c>
      <c r="Z7" s="3917"/>
      <c r="AA7" s="702" t="e">
        <f>D7/F7</f>
        <v>#DIV/0!</v>
      </c>
      <c r="AB7" s="702" t="e">
        <f>D7/H7</f>
        <v>#DIV/0!</v>
      </c>
      <c r="AC7" s="702" t="e">
        <f>D7/J7</f>
        <v>#DIV/0!</v>
      </c>
    </row>
    <row r="8" spans="1:29" s="108" customFormat="1" ht="1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916" t="s">
        <v>1682</v>
      </c>
      <c r="Q8" s="3917"/>
      <c r="R8" s="699" t="s">
        <v>14</v>
      </c>
      <c r="S8" s="700">
        <f t="shared" si="0"/>
        <v>100</v>
      </c>
      <c r="T8" s="699" t="s">
        <v>14</v>
      </c>
      <c r="U8" s="700">
        <f t="shared" si="1"/>
        <v>100</v>
      </c>
      <c r="V8" s="699" t="s">
        <v>14</v>
      </c>
      <c r="W8" s="700">
        <f t="shared" si="2"/>
        <v>100</v>
      </c>
      <c r="X8" s="701"/>
      <c r="Y8" s="3916" t="s">
        <v>1682</v>
      </c>
      <c r="Z8" s="3917"/>
      <c r="AA8" s="702">
        <f t="shared" ref="AA8:AA34" si="3">D8/F8</f>
        <v>1</v>
      </c>
      <c r="AB8" s="702">
        <f t="shared" ref="AB8:AB34" si="4">D8/H8</f>
        <v>1</v>
      </c>
      <c r="AC8" s="702">
        <f t="shared" ref="AC8:AC34" si="5">D8/J8</f>
        <v>1</v>
      </c>
    </row>
    <row r="9" spans="1:29" s="108" customFormat="1" ht="14.4">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948" t="s">
        <v>1685</v>
      </c>
      <c r="Q9" s="1340" t="str">
        <f t="shared" ref="Q9:Q14" si="6">B9</f>
        <v>用途</v>
      </c>
      <c r="R9" s="699" t="s">
        <v>14</v>
      </c>
      <c r="S9" s="700">
        <f t="shared" si="0"/>
        <v>100</v>
      </c>
      <c r="T9" s="699" t="s">
        <v>14</v>
      </c>
      <c r="U9" s="700">
        <f t="shared" si="1"/>
        <v>100</v>
      </c>
      <c r="V9" s="699" t="s">
        <v>14</v>
      </c>
      <c r="W9" s="700">
        <f t="shared" si="2"/>
        <v>100</v>
      </c>
      <c r="X9" s="701"/>
      <c r="Y9" s="3840" t="s">
        <v>1686</v>
      </c>
      <c r="Z9" s="52" t="str">
        <f t="shared" ref="Z9:Z14" si="7">Q9</f>
        <v>用途</v>
      </c>
      <c r="AA9" s="702">
        <f t="shared" si="3"/>
        <v>1</v>
      </c>
      <c r="AB9" s="702">
        <f t="shared" si="4"/>
        <v>1</v>
      </c>
      <c r="AC9" s="702">
        <f t="shared" si="5"/>
        <v>1</v>
      </c>
    </row>
    <row r="10" spans="1:29" s="377" customFormat="1" ht="28.8">
      <c r="A10" s="373"/>
      <c r="B10" s="374" t="s">
        <v>1687</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948"/>
      <c r="Q10" s="1340" t="str">
        <f t="shared" si="6"/>
        <v>土地使用年限（年）</v>
      </c>
      <c r="R10" s="699" t="s">
        <v>14</v>
      </c>
      <c r="S10" s="700">
        <f t="shared" si="0"/>
        <v>100</v>
      </c>
      <c r="T10" s="699" t="s">
        <v>14</v>
      </c>
      <c r="U10" s="700">
        <f t="shared" si="1"/>
        <v>100</v>
      </c>
      <c r="V10" s="699" t="s">
        <v>14</v>
      </c>
      <c r="W10" s="700">
        <f t="shared" si="2"/>
        <v>100</v>
      </c>
      <c r="X10" s="701"/>
      <c r="Y10" s="3840"/>
      <c r="Z10" s="52"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948"/>
      <c r="Q11" s="1340">
        <f t="shared" si="6"/>
        <v>111</v>
      </c>
      <c r="R11" s="699" t="s">
        <v>14</v>
      </c>
      <c r="S11" s="700">
        <f t="shared" si="0"/>
        <v>100</v>
      </c>
      <c r="T11" s="699" t="s">
        <v>14</v>
      </c>
      <c r="U11" s="700">
        <f t="shared" si="1"/>
        <v>100</v>
      </c>
      <c r="V11" s="699" t="s">
        <v>14</v>
      </c>
      <c r="W11" s="700">
        <f t="shared" si="2"/>
        <v>100</v>
      </c>
      <c r="X11" s="701"/>
      <c r="Y11" s="3840"/>
      <c r="Z11" s="52">
        <f t="shared" si="7"/>
        <v>111</v>
      </c>
      <c r="AA11" s="702">
        <f t="shared" si="3"/>
        <v>1</v>
      </c>
      <c r="AB11" s="702">
        <f t="shared" si="4"/>
        <v>1</v>
      </c>
      <c r="AC11" s="702">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948"/>
      <c r="Q12" s="1340">
        <f t="shared" si="6"/>
        <v>111</v>
      </c>
      <c r="R12" s="699" t="s">
        <v>14</v>
      </c>
      <c r="S12" s="700">
        <f t="shared" si="0"/>
        <v>100</v>
      </c>
      <c r="T12" s="699" t="s">
        <v>14</v>
      </c>
      <c r="U12" s="700">
        <f t="shared" si="1"/>
        <v>100</v>
      </c>
      <c r="V12" s="699" t="s">
        <v>14</v>
      </c>
      <c r="W12" s="700">
        <f t="shared" si="2"/>
        <v>100</v>
      </c>
      <c r="X12" s="701"/>
      <c r="Y12" s="3840"/>
      <c r="Z12" s="52">
        <f t="shared" si="7"/>
        <v>111</v>
      </c>
      <c r="AA12" s="702">
        <f>D12/F12</f>
        <v>1</v>
      </c>
      <c r="AB12" s="702">
        <f>D12/H12</f>
        <v>1</v>
      </c>
      <c r="AC12" s="702">
        <f>D12/J12</f>
        <v>1</v>
      </c>
    </row>
    <row r="13" spans="1:29" ht="15.6"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948"/>
      <c r="Q13" s="1340">
        <f t="shared" si="6"/>
        <v>111</v>
      </c>
      <c r="R13" s="699" t="s">
        <v>14</v>
      </c>
      <c r="S13" s="700">
        <f t="shared" si="0"/>
        <v>100</v>
      </c>
      <c r="T13" s="699" t="s">
        <v>14</v>
      </c>
      <c r="U13" s="700">
        <f t="shared" si="1"/>
        <v>100</v>
      </c>
      <c r="V13" s="699" t="s">
        <v>14</v>
      </c>
      <c r="W13" s="700">
        <f t="shared" si="2"/>
        <v>100</v>
      </c>
      <c r="X13" s="701"/>
      <c r="Y13" s="3840"/>
      <c r="Z13" s="52">
        <f t="shared" si="7"/>
        <v>111</v>
      </c>
      <c r="AA13" s="702">
        <f t="shared" si="3"/>
        <v>1</v>
      </c>
      <c r="AB13" s="702">
        <f t="shared" si="4"/>
        <v>1</v>
      </c>
      <c r="AC13" s="702">
        <f t="shared" si="5"/>
        <v>1</v>
      </c>
    </row>
    <row r="14" spans="1:29" ht="96.6">
      <c r="A14" s="390" t="s">
        <v>1689</v>
      </c>
      <c r="B14" s="61" t="s">
        <v>1832</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950" t="s">
        <v>1690</v>
      </c>
      <c r="Q14" s="1349" t="str">
        <f t="shared" si="6"/>
        <v>交通便捷度</v>
      </c>
      <c r="R14" s="703" t="s">
        <v>14</v>
      </c>
      <c r="S14" s="704">
        <f t="shared" si="0"/>
        <v>100</v>
      </c>
      <c r="T14" s="703" t="s">
        <v>14</v>
      </c>
      <c r="U14" s="704">
        <f t="shared" si="1"/>
        <v>100</v>
      </c>
      <c r="V14" s="703" t="s">
        <v>14</v>
      </c>
      <c r="W14" s="704">
        <f t="shared" si="2"/>
        <v>100</v>
      </c>
      <c r="X14" s="1352"/>
      <c r="Y14" s="3950" t="s">
        <v>1690</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951"/>
      <c r="Q15" s="1349"/>
      <c r="R15" s="703"/>
      <c r="S15" s="704"/>
      <c r="T15" s="703"/>
      <c r="U15" s="704"/>
      <c r="V15" s="703"/>
      <c r="W15" s="704"/>
      <c r="X15" s="1352"/>
      <c r="Y15" s="3951"/>
      <c r="Z15" s="1353"/>
      <c r="AA15" s="1350">
        <v>1</v>
      </c>
      <c r="AB15" s="1350">
        <v>1</v>
      </c>
      <c r="AC15" s="1350">
        <v>1</v>
      </c>
    </row>
    <row r="16" spans="1:29" ht="41.4">
      <c r="A16" s="378"/>
      <c r="B16" s="401" t="s">
        <v>1811</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951"/>
      <c r="Q16" s="1349" t="str">
        <f>B16</f>
        <v>公共配套设施</v>
      </c>
      <c r="R16" s="703" t="s">
        <v>14</v>
      </c>
      <c r="S16" s="704">
        <f>F16</f>
        <v>100</v>
      </c>
      <c r="T16" s="703" t="s">
        <v>14</v>
      </c>
      <c r="U16" s="704">
        <f>H16</f>
        <v>100</v>
      </c>
      <c r="V16" s="703" t="s">
        <v>14</v>
      </c>
      <c r="W16" s="704">
        <f>J16</f>
        <v>100</v>
      </c>
      <c r="X16" s="1352"/>
      <c r="Y16" s="3951"/>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951"/>
      <c r="Q17" s="1349"/>
      <c r="R17" s="703"/>
      <c r="S17" s="704"/>
      <c r="T17" s="703"/>
      <c r="U17" s="704"/>
      <c r="V17" s="703"/>
      <c r="W17" s="704"/>
      <c r="X17" s="1352"/>
      <c r="Y17" s="3951"/>
      <c r="Z17" s="1353"/>
      <c r="AA17" s="1350">
        <v>1</v>
      </c>
      <c r="AB17" s="1350">
        <v>1</v>
      </c>
      <c r="AC17" s="1350">
        <v>1</v>
      </c>
    </row>
    <row r="18" spans="1:29" ht="41.4">
      <c r="A18" s="378"/>
      <c r="B18" s="1128" t="s">
        <v>1812</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951"/>
      <c r="Q18" s="1349" t="str">
        <f>B18</f>
        <v>基础设施水平</v>
      </c>
      <c r="R18" s="703" t="s">
        <v>14</v>
      </c>
      <c r="S18" s="704">
        <f>F18</f>
        <v>100</v>
      </c>
      <c r="T18" s="703" t="s">
        <v>14</v>
      </c>
      <c r="U18" s="704">
        <f>H18</f>
        <v>100</v>
      </c>
      <c r="V18" s="703" t="s">
        <v>14</v>
      </c>
      <c r="W18" s="704">
        <f>J18</f>
        <v>100</v>
      </c>
      <c r="X18" s="1352"/>
      <c r="Y18" s="3951"/>
      <c r="Z18" s="1353" t="str">
        <f>Q18</f>
        <v>基础设施水平</v>
      </c>
      <c r="AA18" s="1350">
        <f>D18/F18</f>
        <v>1</v>
      </c>
      <c r="AB18" s="1350">
        <f>D18/H18</f>
        <v>1</v>
      </c>
      <c r="AC18" s="1350">
        <f>D18/J18</f>
        <v>1</v>
      </c>
    </row>
    <row r="19" spans="1:29" ht="15">
      <c r="A19" s="378"/>
      <c r="B19" s="1128"/>
      <c r="C19" s="1898"/>
      <c r="D19" s="400"/>
      <c r="E19" s="1898"/>
      <c r="F19" s="403"/>
      <c r="G19" s="1898"/>
      <c r="H19" s="398"/>
      <c r="I19" s="397"/>
      <c r="J19" s="398"/>
      <c r="K19" s="1127"/>
      <c r="L19" s="2719"/>
      <c r="M19" s="2713"/>
      <c r="N19" s="2713"/>
      <c r="O19" s="2771"/>
      <c r="P19" s="3951"/>
      <c r="Q19" s="1349"/>
      <c r="R19" s="703"/>
      <c r="S19" s="704"/>
      <c r="T19" s="703"/>
      <c r="U19" s="704"/>
      <c r="V19" s="703"/>
      <c r="W19" s="704"/>
      <c r="X19" s="1352"/>
      <c r="Y19" s="3951"/>
      <c r="Z19" s="1353"/>
      <c r="AA19" s="1350">
        <v>1</v>
      </c>
      <c r="AB19" s="1350">
        <v>1</v>
      </c>
      <c r="AC19" s="1350">
        <v>1</v>
      </c>
    </row>
    <row r="20" spans="1:29" ht="55.2">
      <c r="A20" s="378"/>
      <c r="B20" s="401" t="s">
        <v>1833</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951"/>
      <c r="Q20" s="1349" t="str">
        <f>B20</f>
        <v>自然及人文环境</v>
      </c>
      <c r="R20" s="703" t="s">
        <v>14</v>
      </c>
      <c r="S20" s="704">
        <f>F20</f>
        <v>100</v>
      </c>
      <c r="T20" s="703" t="s">
        <v>14</v>
      </c>
      <c r="U20" s="704">
        <f>H20</f>
        <v>100</v>
      </c>
      <c r="V20" s="703" t="s">
        <v>14</v>
      </c>
      <c r="W20" s="704">
        <f>J20</f>
        <v>100</v>
      </c>
      <c r="X20" s="1352"/>
      <c r="Y20" s="3951"/>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951"/>
      <c r="Q21" s="1349"/>
      <c r="R21" s="703"/>
      <c r="S21" s="704"/>
      <c r="T21" s="703"/>
      <c r="U21" s="704"/>
      <c r="V21" s="703"/>
      <c r="W21" s="704"/>
      <c r="X21" s="1352"/>
      <c r="Y21" s="3951"/>
      <c r="Z21" s="1353"/>
      <c r="AA21" s="1350">
        <v>1</v>
      </c>
      <c r="AB21" s="1350">
        <v>1</v>
      </c>
      <c r="AC21" s="1350">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951"/>
      <c r="Q22" s="1349" t="str">
        <f>B22</f>
        <v>楼层</v>
      </c>
      <c r="R22" s="703" t="s">
        <v>14</v>
      </c>
      <c r="S22" s="704">
        <f>F22</f>
        <v>100</v>
      </c>
      <c r="T22" s="703" t="s">
        <v>14</v>
      </c>
      <c r="U22" s="704">
        <f>H22</f>
        <v>100</v>
      </c>
      <c r="V22" s="703" t="s">
        <v>14</v>
      </c>
      <c r="W22" s="704">
        <f>J22</f>
        <v>100</v>
      </c>
      <c r="X22" s="1352"/>
      <c r="Y22" s="3951"/>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951"/>
      <c r="Q23" s="1349">
        <f>B23</f>
        <v>111</v>
      </c>
      <c r="R23" s="703" t="s">
        <v>14</v>
      </c>
      <c r="S23" s="704">
        <f>F23</f>
        <v>100</v>
      </c>
      <c r="T23" s="703" t="s">
        <v>14</v>
      </c>
      <c r="U23" s="704">
        <f>H23</f>
        <v>100</v>
      </c>
      <c r="V23" s="703" t="s">
        <v>14</v>
      </c>
      <c r="W23" s="704">
        <f>J23</f>
        <v>100</v>
      </c>
      <c r="X23" s="1352"/>
      <c r="Y23" s="3951"/>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951"/>
      <c r="Q24" s="1349">
        <f t="shared" ref="Q24:Q34" si="8">B24</f>
        <v>111</v>
      </c>
      <c r="R24" s="703" t="s">
        <v>14</v>
      </c>
      <c r="S24" s="704">
        <f>F24</f>
        <v>100</v>
      </c>
      <c r="T24" s="703" t="s">
        <v>14</v>
      </c>
      <c r="U24" s="704">
        <f>H24</f>
        <v>100</v>
      </c>
      <c r="V24" s="703" t="s">
        <v>14</v>
      </c>
      <c r="W24" s="704">
        <f>J24</f>
        <v>100</v>
      </c>
      <c r="X24" s="1352"/>
      <c r="Y24" s="3951"/>
      <c r="Z24" s="1353">
        <f>Q24</f>
        <v>111</v>
      </c>
      <c r="AA24" s="1350">
        <f t="shared" si="3"/>
        <v>1</v>
      </c>
      <c r="AB24" s="1350">
        <f t="shared" si="4"/>
        <v>1</v>
      </c>
      <c r="AC24" s="1350">
        <f t="shared" si="5"/>
        <v>1</v>
      </c>
    </row>
    <row r="25" spans="1:29" s="108" customFormat="1" ht="15.6"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951"/>
      <c r="Q25" s="1340">
        <f t="shared" si="8"/>
        <v>111</v>
      </c>
      <c r="R25" s="699" t="s">
        <v>14</v>
      </c>
      <c r="S25" s="700">
        <f>F25</f>
        <v>100</v>
      </c>
      <c r="T25" s="699" t="s">
        <v>14</v>
      </c>
      <c r="U25" s="700">
        <f>H25</f>
        <v>100</v>
      </c>
      <c r="V25" s="699" t="s">
        <v>14</v>
      </c>
      <c r="W25" s="700">
        <f>J25</f>
        <v>100</v>
      </c>
      <c r="X25" s="701"/>
      <c r="Y25" s="3951"/>
      <c r="Z25" s="52">
        <f>Q25</f>
        <v>111</v>
      </c>
      <c r="AA25" s="1350">
        <f>D25/F25</f>
        <v>1</v>
      </c>
      <c r="AB25" s="1350">
        <f>D25/H25</f>
        <v>1</v>
      </c>
      <c r="AC25" s="1350">
        <f>D25/J25</f>
        <v>1</v>
      </c>
    </row>
    <row r="26" spans="1:29" ht="30">
      <c r="A26" s="416" t="s">
        <v>1693</v>
      </c>
      <c r="B26" s="63" t="s">
        <v>1837</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974" t="s">
        <v>1695</v>
      </c>
      <c r="Q26" s="1349" t="str">
        <f t="shared" si="8"/>
        <v>公共部分装修</v>
      </c>
      <c r="R26" s="703" t="s">
        <v>14</v>
      </c>
      <c r="S26" s="704">
        <f t="shared" ref="S26:S34" si="9">F26</f>
        <v>100</v>
      </c>
      <c r="T26" s="703" t="s">
        <v>14</v>
      </c>
      <c r="U26" s="704">
        <f t="shared" ref="U26:U34" si="10">H26</f>
        <v>100</v>
      </c>
      <c r="V26" s="703" t="s">
        <v>14</v>
      </c>
      <c r="W26" s="704">
        <f t="shared" ref="W26:W34" si="11">J26</f>
        <v>100</v>
      </c>
      <c r="X26" s="1352"/>
      <c r="Y26" s="3955" t="s">
        <v>1695</v>
      </c>
      <c r="Z26" s="1353" t="str">
        <f t="shared" ref="Z26:Z34" si="12">Q26</f>
        <v>公共部分装修</v>
      </c>
      <c r="AA26" s="1350">
        <f t="shared" si="3"/>
        <v>1</v>
      </c>
      <c r="AB26" s="1350">
        <f t="shared" si="4"/>
        <v>1</v>
      </c>
      <c r="AC26" s="1350">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955"/>
      <c r="Q27" s="705" t="str">
        <f t="shared" si="8"/>
        <v>成新率</v>
      </c>
      <c r="R27" s="706" t="s">
        <v>14</v>
      </c>
      <c r="S27" s="707" t="e">
        <f t="shared" si="9"/>
        <v>#N/A</v>
      </c>
      <c r="T27" s="706" t="s">
        <v>14</v>
      </c>
      <c r="U27" s="707" t="e">
        <f t="shared" si="10"/>
        <v>#N/A</v>
      </c>
      <c r="V27" s="706" t="s">
        <v>14</v>
      </c>
      <c r="W27" s="707" t="e">
        <f t="shared" si="11"/>
        <v>#N/A</v>
      </c>
      <c r="X27" s="708"/>
      <c r="Y27" s="3955"/>
      <c r="Z27" s="709" t="str">
        <f t="shared" si="12"/>
        <v>成新率</v>
      </c>
      <c r="AA27" s="1350" t="e">
        <f t="shared" si="3"/>
        <v>#N/A</v>
      </c>
      <c r="AB27" s="1350" t="e">
        <f t="shared" si="4"/>
        <v>#N/A</v>
      </c>
      <c r="AC27" s="1350"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955"/>
      <c r="Q28" s="1349" t="str">
        <f t="shared" si="8"/>
        <v>物业等级</v>
      </c>
      <c r="R28" s="703" t="s">
        <v>14</v>
      </c>
      <c r="S28" s="704">
        <f t="shared" si="9"/>
        <v>100</v>
      </c>
      <c r="T28" s="703" t="s">
        <v>14</v>
      </c>
      <c r="U28" s="704">
        <f t="shared" si="10"/>
        <v>100</v>
      </c>
      <c r="V28" s="703" t="s">
        <v>14</v>
      </c>
      <c r="W28" s="704">
        <f t="shared" si="11"/>
        <v>100</v>
      </c>
      <c r="X28" s="1352"/>
      <c r="Y28" s="3955"/>
      <c r="Z28" s="1353" t="str">
        <f t="shared" si="12"/>
        <v>物业等级</v>
      </c>
      <c r="AA28" s="1350">
        <f t="shared" si="3"/>
        <v>1</v>
      </c>
      <c r="AB28" s="1350">
        <f t="shared" si="4"/>
        <v>1</v>
      </c>
      <c r="AC28" s="1350">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955"/>
      <c r="Q29" s="1349" t="str">
        <f t="shared" si="8"/>
        <v>有无电梯</v>
      </c>
      <c r="R29" s="703" t="s">
        <v>14</v>
      </c>
      <c r="S29" s="704">
        <f t="shared" si="9"/>
        <v>100</v>
      </c>
      <c r="T29" s="703" t="s">
        <v>14</v>
      </c>
      <c r="U29" s="704">
        <f t="shared" si="10"/>
        <v>100</v>
      </c>
      <c r="V29" s="703" t="s">
        <v>14</v>
      </c>
      <c r="W29" s="704">
        <f t="shared" si="11"/>
        <v>100</v>
      </c>
      <c r="X29" s="1352"/>
      <c r="Y29" s="3955"/>
      <c r="Z29" s="1353" t="str">
        <f t="shared" si="12"/>
        <v>有无电梯</v>
      </c>
      <c r="AA29" s="1350">
        <f t="shared" si="3"/>
        <v>1</v>
      </c>
      <c r="AB29" s="1350">
        <f t="shared" si="4"/>
        <v>1</v>
      </c>
      <c r="AC29" s="1350">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955"/>
      <c r="Q30" s="1349" t="str">
        <f t="shared" si="8"/>
        <v>建筑面积</v>
      </c>
      <c r="R30" s="703" t="s">
        <v>14</v>
      </c>
      <c r="S30" s="704" t="e">
        <f t="shared" si="9"/>
        <v>#N/A</v>
      </c>
      <c r="T30" s="703" t="s">
        <v>14</v>
      </c>
      <c r="U30" s="704" t="e">
        <f t="shared" si="10"/>
        <v>#N/A</v>
      </c>
      <c r="V30" s="703" t="s">
        <v>14</v>
      </c>
      <c r="W30" s="704" t="e">
        <f t="shared" si="11"/>
        <v>#N/A</v>
      </c>
      <c r="X30" s="1352"/>
      <c r="Y30" s="3955"/>
      <c r="Z30" s="1353" t="str">
        <f t="shared" si="12"/>
        <v>建筑面积</v>
      </c>
      <c r="AA30" s="1350" t="e">
        <f t="shared" si="3"/>
        <v>#N/A</v>
      </c>
      <c r="AB30" s="1350" t="e">
        <f t="shared" si="4"/>
        <v>#N/A</v>
      </c>
      <c r="AC30" s="1350"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955"/>
      <c r="Q31" s="1340" t="str">
        <f t="shared" si="8"/>
        <v>是否封闭</v>
      </c>
      <c r="R31" s="699" t="s">
        <v>14</v>
      </c>
      <c r="S31" s="700">
        <f t="shared" si="9"/>
        <v>100</v>
      </c>
      <c r="T31" s="699" t="s">
        <v>14</v>
      </c>
      <c r="U31" s="700">
        <f t="shared" si="10"/>
        <v>100</v>
      </c>
      <c r="V31" s="699" t="s">
        <v>14</v>
      </c>
      <c r="W31" s="700">
        <f t="shared" si="11"/>
        <v>100</v>
      </c>
      <c r="X31" s="701"/>
      <c r="Y31" s="3955"/>
      <c r="Z31" s="52" t="str">
        <f t="shared" si="12"/>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955" t="s">
        <v>1695</v>
      </c>
      <c r="Q32" s="1349">
        <f t="shared" si="8"/>
        <v>111</v>
      </c>
      <c r="R32" s="703" t="s">
        <v>14</v>
      </c>
      <c r="S32" s="704">
        <f t="shared" si="9"/>
        <v>100</v>
      </c>
      <c r="T32" s="703" t="s">
        <v>14</v>
      </c>
      <c r="U32" s="704">
        <f t="shared" si="10"/>
        <v>100</v>
      </c>
      <c r="V32" s="703" t="s">
        <v>14</v>
      </c>
      <c r="W32" s="704">
        <f t="shared" si="11"/>
        <v>100</v>
      </c>
      <c r="X32" s="1352"/>
      <c r="Y32" s="3955" t="s">
        <v>1695</v>
      </c>
      <c r="Z32" s="1353">
        <f t="shared" si="12"/>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955"/>
      <c r="Q33" s="1349">
        <f t="shared" si="8"/>
        <v>111</v>
      </c>
      <c r="R33" s="703" t="s">
        <v>14</v>
      </c>
      <c r="S33" s="704">
        <f t="shared" si="9"/>
        <v>100</v>
      </c>
      <c r="T33" s="703" t="s">
        <v>14</v>
      </c>
      <c r="U33" s="704">
        <f t="shared" si="10"/>
        <v>100</v>
      </c>
      <c r="V33" s="703" t="s">
        <v>14</v>
      </c>
      <c r="W33" s="704">
        <f t="shared" si="11"/>
        <v>100</v>
      </c>
      <c r="X33" s="1352"/>
      <c r="Y33" s="3955"/>
      <c r="Z33" s="1353">
        <f t="shared" si="12"/>
        <v>111</v>
      </c>
      <c r="AA33" s="1350">
        <f t="shared" si="3"/>
        <v>1</v>
      </c>
      <c r="AB33" s="1350">
        <f t="shared" si="4"/>
        <v>1</v>
      </c>
      <c r="AC33" s="1350">
        <f t="shared" si="5"/>
        <v>1</v>
      </c>
    </row>
    <row r="34" spans="1:30" ht="15.6"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955"/>
      <c r="Q34" s="1349">
        <f t="shared" si="8"/>
        <v>111</v>
      </c>
      <c r="R34" s="703" t="s">
        <v>14</v>
      </c>
      <c r="S34" s="704">
        <f t="shared" si="9"/>
        <v>100</v>
      </c>
      <c r="T34" s="703" t="s">
        <v>14</v>
      </c>
      <c r="U34" s="704">
        <f t="shared" si="10"/>
        <v>100</v>
      </c>
      <c r="V34" s="703" t="s">
        <v>14</v>
      </c>
      <c r="W34" s="704">
        <f t="shared" si="11"/>
        <v>100</v>
      </c>
      <c r="X34" s="1352"/>
      <c r="Y34" s="3955"/>
      <c r="Z34" s="1353">
        <f t="shared" si="12"/>
        <v>111</v>
      </c>
      <c r="AA34" s="1350">
        <f t="shared" si="3"/>
        <v>1</v>
      </c>
      <c r="AB34" s="1350">
        <f t="shared" si="4"/>
        <v>1</v>
      </c>
      <c r="AC34" s="1350">
        <f t="shared" si="5"/>
        <v>1</v>
      </c>
    </row>
    <row r="35" spans="1:30" ht="14.4">
      <c r="A35" s="429" t="s">
        <v>1707</v>
      </c>
      <c r="B35" s="430"/>
      <c r="C35" s="1151" t="s">
        <v>0</v>
      </c>
      <c r="D35" s="1152"/>
      <c r="E35" s="1153"/>
      <c r="F35" s="1154"/>
      <c r="G35" s="1155"/>
      <c r="H35" s="1156"/>
      <c r="I35" s="1153"/>
      <c r="J35" s="1156"/>
      <c r="K35" s="712"/>
      <c r="L35" s="2721"/>
      <c r="M35" s="2722"/>
      <c r="N35" s="2713"/>
      <c r="O35" s="2722"/>
      <c r="P35" s="3948" t="str">
        <f>A35</f>
        <v>成交单价（元/平方米）</v>
      </c>
      <c r="Q35" s="3948"/>
      <c r="R35" s="3949">
        <f>E35</f>
        <v>0</v>
      </c>
      <c r="S35" s="3949"/>
      <c r="T35" s="3949">
        <f>G35</f>
        <v>0</v>
      </c>
      <c r="U35" s="3949"/>
      <c r="V35" s="3949">
        <f>I35</f>
        <v>0</v>
      </c>
      <c r="W35" s="3949"/>
      <c r="X35" s="688"/>
      <c r="Y35" s="710"/>
      <c r="Z35" s="688"/>
      <c r="AA35" s="688"/>
      <c r="AB35" s="688"/>
      <c r="AC35" s="688"/>
    </row>
    <row r="36" spans="1:30" ht="15" thickBot="1">
      <c r="A36" s="436" t="s">
        <v>1792</v>
      </c>
      <c r="B36" s="437"/>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948" t="str">
        <f>A36</f>
        <v>比较价值（元/平方米）</v>
      </c>
      <c r="Q36" s="3948"/>
      <c r="R36" s="3949" t="e">
        <f>IF(F1="售价",ROUND(PRODUCT(R35,AA7:AA34),0),ROUND(PRODUCT(R35,AA7:AA34),1))</f>
        <v>#DIV/0!</v>
      </c>
      <c r="S36" s="3949"/>
      <c r="T36" s="3949" t="e">
        <f>IF(F1="售价",ROUND(PRODUCT(T35,AB7:AB34),0),ROUND(PRODUCT(T35,AB7:AB34),1))</f>
        <v>#DIV/0!</v>
      </c>
      <c r="U36" s="3949"/>
      <c r="V36" s="3949" t="e">
        <f>IF(F1="售价",ROUND(PRODUCT(V35,AC7:AC34),0),ROUND(PRODUCT(V35,AC7:AC34),1))</f>
        <v>#DIV/0!</v>
      </c>
      <c r="W36" s="3949"/>
      <c r="X36" s="688"/>
      <c r="Y36" s="688"/>
      <c r="Z36" s="688"/>
      <c r="AA36" s="688"/>
      <c r="AB36" s="688"/>
      <c r="AC36" s="688"/>
    </row>
    <row r="37" spans="1:30" ht="15" thickBot="1">
      <c r="A37" s="440" t="s">
        <v>1793</v>
      </c>
      <c r="B37" s="441"/>
      <c r="C37" s="1160" t="e">
        <f>R37</f>
        <v>#DIV/0!</v>
      </c>
      <c r="D37" s="1160"/>
      <c r="E37" s="1160"/>
      <c r="F37" s="1160"/>
      <c r="G37" s="1160"/>
      <c r="H37" s="1160"/>
      <c r="I37" s="1160"/>
      <c r="J37" s="1160"/>
      <c r="K37" s="713"/>
      <c r="L37" s="2721"/>
      <c r="M37" s="2722"/>
      <c r="N37" s="2722"/>
      <c r="O37" s="2722"/>
      <c r="P37" s="3945" t="str">
        <f>A37</f>
        <v>估价对象XX用房的比较价值（楼面单价，元/平方米）</v>
      </c>
      <c r="Q37" s="3946"/>
      <c r="R37" s="3975" t="e">
        <f>IF(F1="售价",ROUND(IF(D36="简单平均",AVERAGE(R36:W36),R36*F36+T36*H36+V36*J36),0),ROUND(IF(D36="简单平均",AVERAGE(R36:V36),R36*F36+T36*H36+V36*J36),1))</f>
        <v>#DIV/0!</v>
      </c>
      <c r="S37" s="3975"/>
      <c r="T37" s="3975"/>
      <c r="U37" s="3975"/>
      <c r="V37" s="3975"/>
      <c r="W37" s="3975"/>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6" customFormat="1" ht="14.4">
      <c r="A46" s="453" t="s">
        <v>1678</v>
      </c>
      <c r="B46" s="454"/>
      <c r="C46" s="1181" t="str">
        <f>YEAR(C7)&amp;"-"&amp;MONTH(C7)</f>
        <v>2024-8</v>
      </c>
      <c r="D46" s="1182">
        <f>EDATE(C46,-1)</f>
        <v>45474</v>
      </c>
      <c r="E46" s="1182">
        <f t="shared" ref="E46:O46" si="13">EDATE(D46,-1)</f>
        <v>45444</v>
      </c>
      <c r="F46" s="1182">
        <f t="shared" si="13"/>
        <v>45413</v>
      </c>
      <c r="G46" s="1182">
        <f t="shared" si="13"/>
        <v>45383</v>
      </c>
      <c r="H46" s="1182">
        <f t="shared" si="13"/>
        <v>45352</v>
      </c>
      <c r="I46" s="1182">
        <f t="shared" si="13"/>
        <v>45323</v>
      </c>
      <c r="J46" s="1182">
        <f t="shared" si="13"/>
        <v>45292</v>
      </c>
      <c r="K46" s="1182">
        <f t="shared" si="13"/>
        <v>45261</v>
      </c>
      <c r="L46" s="1182">
        <f t="shared" si="13"/>
        <v>45231</v>
      </c>
      <c r="M46" s="1182">
        <f t="shared" si="13"/>
        <v>45200</v>
      </c>
      <c r="N46" s="1182">
        <f t="shared" si="13"/>
        <v>45170</v>
      </c>
      <c r="O46" s="1182">
        <f t="shared" si="13"/>
        <v>45139</v>
      </c>
      <c r="P46" s="2773"/>
      <c r="Q46" s="2738"/>
      <c r="R46" s="2738"/>
      <c r="S46" s="2738"/>
      <c r="T46" s="2738"/>
      <c r="U46" s="2738"/>
      <c r="V46" s="2738"/>
      <c r="W46" s="2738"/>
      <c r="X46" s="2738"/>
      <c r="Y46" s="2738"/>
      <c r="Z46" s="2738"/>
      <c r="AA46" s="2738"/>
      <c r="AB46" s="2738"/>
      <c r="AC46" s="2738"/>
      <c r="AD46" s="2738"/>
    </row>
    <row r="47" spans="1:30" s="108" customFormat="1">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 thickBot="1">
      <c r="A48" s="463" t="s">
        <v>1715</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4.4">
      <c r="A49" s="469" t="s">
        <v>1680</v>
      </c>
      <c r="B49" s="458"/>
      <c r="C49" s="470" t="s">
        <v>1775</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ht="14.4">
      <c r="A51" s="475" t="s">
        <v>1718</v>
      </c>
      <c r="B51" s="476" t="s">
        <v>1684</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9.4" thickTop="1">
      <c r="A53" s="482"/>
      <c r="B53" s="486" t="s">
        <v>1687</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4.4"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4.4"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4.4"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9.4" thickTop="1">
      <c r="A63" s="482"/>
      <c r="B63" s="486" t="s">
        <v>1862</v>
      </c>
      <c r="C63" s="526" t="s">
        <v>1720</v>
      </c>
      <c r="D63" s="526" t="s">
        <v>1721</v>
      </c>
      <c r="E63" s="526" t="s">
        <v>1722</v>
      </c>
      <c r="F63" s="526" t="s">
        <v>1723</v>
      </c>
      <c r="G63" s="526" t="s">
        <v>1724</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 thickTop="1">
      <c r="A65" s="482"/>
      <c r="B65" s="494" t="s">
        <v>1812</v>
      </c>
      <c r="C65" s="607" t="s">
        <v>1798</v>
      </c>
      <c r="D65" s="607" t="s">
        <v>1799</v>
      </c>
      <c r="E65" s="607" t="s">
        <v>1800</v>
      </c>
      <c r="F65" s="607" t="s">
        <v>1801</v>
      </c>
      <c r="G65" s="607" t="s">
        <v>1802</v>
      </c>
      <c r="H65" s="487"/>
      <c r="I65" s="487"/>
      <c r="J65" s="487"/>
      <c r="K65" s="487"/>
      <c r="L65" s="487"/>
      <c r="M65" s="1126"/>
      <c r="N65" s="2751"/>
      <c r="O65" s="2751"/>
      <c r="P65" s="2775"/>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 thickTop="1">
      <c r="A67" s="482"/>
      <c r="B67" s="486" t="s">
        <v>1732</v>
      </c>
      <c r="C67" s="526" t="s">
        <v>1720</v>
      </c>
      <c r="D67" s="526" t="s">
        <v>1721</v>
      </c>
      <c r="E67" s="526" t="s">
        <v>1722</v>
      </c>
      <c r="F67" s="526" t="s">
        <v>1723</v>
      </c>
      <c r="G67" s="526" t="s">
        <v>1724</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 thickTop="1">
      <c r="A69" s="482"/>
      <c r="B69" s="486" t="s">
        <v>1851</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4.4"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1693</v>
      </c>
      <c r="B77" s="476" t="s">
        <v>1739</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4">C78-$K26</f>
        <v>100</v>
      </c>
      <c r="E78" s="492">
        <f t="shared" si="14"/>
        <v>100</v>
      </c>
      <c r="F78" s="492">
        <f t="shared" si="14"/>
        <v>100</v>
      </c>
      <c r="G78" s="492">
        <f t="shared" si="14"/>
        <v>100</v>
      </c>
      <c r="H78" s="492">
        <f t="shared" si="14"/>
        <v>100</v>
      </c>
      <c r="I78" s="492">
        <f t="shared" si="14"/>
        <v>100</v>
      </c>
      <c r="J78" s="492">
        <f t="shared" si="14"/>
        <v>100</v>
      </c>
      <c r="K78" s="492">
        <f t="shared" si="14"/>
        <v>100</v>
      </c>
      <c r="L78" s="492">
        <f t="shared" si="14"/>
        <v>100</v>
      </c>
      <c r="M78" s="493">
        <f t="shared" si="14"/>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5">C81+$K27</f>
        <v>100</v>
      </c>
      <c r="E81" s="492">
        <f t="shared" si="15"/>
        <v>100</v>
      </c>
      <c r="F81" s="492">
        <f t="shared" si="15"/>
        <v>100</v>
      </c>
      <c r="G81" s="492">
        <f t="shared" si="15"/>
        <v>100</v>
      </c>
      <c r="H81" s="492">
        <f t="shared" si="15"/>
        <v>100</v>
      </c>
      <c r="I81" s="492">
        <f t="shared" si="15"/>
        <v>100</v>
      </c>
      <c r="J81" s="492">
        <f t="shared" si="15"/>
        <v>100</v>
      </c>
      <c r="K81" s="492">
        <f t="shared" si="15"/>
        <v>100</v>
      </c>
      <c r="L81" s="492">
        <f t="shared" si="15"/>
        <v>100</v>
      </c>
      <c r="M81" s="492">
        <f t="shared" si="15"/>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1855</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6">C83-$K28</f>
        <v>100</v>
      </c>
      <c r="E83" s="492">
        <f t="shared" si="16"/>
        <v>100</v>
      </c>
      <c r="F83" s="492">
        <f t="shared" si="16"/>
        <v>100</v>
      </c>
      <c r="G83" s="492">
        <f t="shared" si="16"/>
        <v>100</v>
      </c>
      <c r="H83" s="492">
        <f t="shared" si="16"/>
        <v>100</v>
      </c>
      <c r="I83" s="492">
        <f t="shared" si="16"/>
        <v>100</v>
      </c>
      <c r="J83" s="492">
        <f t="shared" si="16"/>
        <v>100</v>
      </c>
      <c r="K83" s="492">
        <f t="shared" si="16"/>
        <v>100</v>
      </c>
      <c r="L83" s="492">
        <f t="shared" si="16"/>
        <v>100</v>
      </c>
      <c r="M83" s="493">
        <f t="shared" si="16"/>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1863</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17">C85+$K29</f>
        <v>100</v>
      </c>
      <c r="E85" s="492">
        <f t="shared" si="17"/>
        <v>100</v>
      </c>
      <c r="F85" s="492">
        <f t="shared" si="17"/>
        <v>100</v>
      </c>
      <c r="G85" s="492">
        <f t="shared" si="17"/>
        <v>100</v>
      </c>
      <c r="H85" s="492">
        <f t="shared" si="17"/>
        <v>100</v>
      </c>
      <c r="I85" s="492">
        <f t="shared" si="17"/>
        <v>100</v>
      </c>
      <c r="J85" s="492">
        <f t="shared" si="17"/>
        <v>100</v>
      </c>
      <c r="K85" s="492">
        <f t="shared" si="17"/>
        <v>100</v>
      </c>
      <c r="L85" s="492">
        <f t="shared" si="17"/>
        <v>100</v>
      </c>
      <c r="M85" s="492">
        <f t="shared" si="17"/>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1864</v>
      </c>
      <c r="C86" s="526" t="str">
        <f t="shared" ref="C86:L86" si="18">C87&amp;"(含)"&amp;"-"&amp;D87</f>
        <v>(含)-</v>
      </c>
      <c r="D86" s="526" t="str">
        <f t="shared" si="18"/>
        <v>(含)-</v>
      </c>
      <c r="E86" s="526" t="str">
        <f t="shared" si="18"/>
        <v>(含)-</v>
      </c>
      <c r="F86" s="526" t="str">
        <f t="shared" si="18"/>
        <v>(含)-</v>
      </c>
      <c r="G86" s="526" t="str">
        <f t="shared" si="18"/>
        <v>(含)-</v>
      </c>
      <c r="H86" s="526" t="str">
        <f t="shared" si="18"/>
        <v>(含)-</v>
      </c>
      <c r="I86" s="526" t="str">
        <f t="shared" si="18"/>
        <v>(含)-</v>
      </c>
      <c r="J86" s="526" t="str">
        <f t="shared" si="18"/>
        <v>(含)-</v>
      </c>
      <c r="K86" s="526" t="str">
        <f t="shared" si="18"/>
        <v>(含)-</v>
      </c>
      <c r="L86" s="526" t="str">
        <f t="shared" si="18"/>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4.4"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1865</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4.4"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4.4"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4.4"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5" priority="18" stopIfTrue="1" operator="containsText" text="超过">
      <formula>NOT(ISERROR(SEARCH("超过",F40)))</formula>
    </cfRule>
  </conditionalFormatting>
  <conditionalFormatting sqref="J42">
    <cfRule type="containsText" dxfId="44" priority="17" stopIfTrue="1" operator="containsText" text="超过">
      <formula>NOT(ISERROR(SEARCH("超过",J42)))</formula>
    </cfRule>
  </conditionalFormatting>
  <conditionalFormatting sqref="H42">
    <cfRule type="containsText" dxfId="43" priority="16" stopIfTrue="1" operator="containsText" text="超过">
      <formula>NOT(ISERROR(SEARCH("超过",H42)))</formula>
    </cfRule>
  </conditionalFormatting>
  <conditionalFormatting sqref="F42">
    <cfRule type="containsText" dxfId="42" priority="15" stopIfTrue="1" operator="containsText" text="超过">
      <formula>NOT(ISERROR(SEARCH("超过",F42)))</formula>
    </cfRule>
  </conditionalFormatting>
  <conditionalFormatting sqref="F41 H41 J41">
    <cfRule type="containsText" dxfId="41" priority="14" stopIfTrue="1" operator="containsText" text="超过">
      <formula>NOT(ISERROR(SEARCH("超过",F41)))</formula>
    </cfRule>
  </conditionalFormatting>
  <conditionalFormatting sqref="E40">
    <cfRule type="expression" dxfId="40" priority="13" stopIfTrue="1">
      <formula>$F$40="超过30%"</formula>
    </cfRule>
  </conditionalFormatting>
  <conditionalFormatting sqref="G42">
    <cfRule type="expression" dxfId="39" priority="12" stopIfTrue="1">
      <formula>$H$54+$H$42="超过30%"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I40">
    <cfRule type="expression" dxfId="34" priority="7" stopIfTrue="1">
      <formula>$J$40="超过30%"</formula>
    </cfRule>
  </conditionalFormatting>
  <conditionalFormatting sqref="I41">
    <cfRule type="expression" dxfId="33" priority="6" stopIfTrue="1">
      <formula>$J$41="超过20%"</formula>
    </cfRule>
  </conditionalFormatting>
  <conditionalFormatting sqref="I42">
    <cfRule type="expression" dxfId="32" priority="5" stopIfTrue="1">
      <formula>$J$42="超过30%"</formula>
    </cfRule>
  </conditionalFormatting>
  <conditionalFormatting sqref="F7:F34 H7:H34 J7:J34">
    <cfRule type="cellIs" dxfId="3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R21" sqref="R21"/>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109375" style="356" customWidth="1"/>
    <col min="7" max="7" width="14.44140625" style="356" customWidth="1"/>
    <col min="8" max="8" width="12.109375" style="356" customWidth="1"/>
    <col min="9" max="9" width="14.44140625" style="356" customWidth="1"/>
    <col min="10" max="10" width="12.109375" style="356" customWidth="1"/>
    <col min="11" max="11" width="12.109375" style="443" customWidth="1"/>
    <col min="12" max="12" width="12.109375" style="444" customWidth="1"/>
    <col min="13" max="15" width="12.109375" style="356" customWidth="1"/>
    <col min="16" max="16" width="4.77734375" style="356" customWidth="1"/>
    <col min="17" max="17" width="19.44140625" style="356" customWidth="1"/>
    <col min="18" max="22" width="6.109375" style="356" customWidth="1"/>
    <col min="23" max="23" width="5.77734375" style="356" customWidth="1"/>
    <col min="24" max="24" width="4.1093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1866</v>
      </c>
      <c r="B1" s="348"/>
      <c r="C1" s="349"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1461</v>
      </c>
      <c r="B2" s="618"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0"/>
    </row>
    <row r="3" spans="1:30" s="351" customFormat="1" ht="28.5" customHeight="1" thickBot="1">
      <c r="A3" s="202" t="s">
        <v>1463</v>
      </c>
      <c r="B3" s="557" t="e">
        <f>ROUND(IF(D3="",B2*10000/'数据-汇总表'!E3,B2*10000/D3),0)</f>
        <v>#DIV/0!</v>
      </c>
      <c r="C3" s="202"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4.4">
      <c r="A4" s="354" t="s">
        <v>1768</v>
      </c>
      <c r="B4" s="355"/>
      <c r="C4" s="3931" t="s">
        <v>1769</v>
      </c>
      <c r="D4" s="3932"/>
      <c r="E4" s="3933" t="s">
        <v>1770</v>
      </c>
      <c r="F4" s="3934"/>
      <c r="G4" s="3931" t="s">
        <v>1771</v>
      </c>
      <c r="H4" s="3932"/>
      <c r="I4" s="3931" t="s">
        <v>1772</v>
      </c>
      <c r="J4" s="3932"/>
      <c r="K4" s="558" t="s">
        <v>1773</v>
      </c>
      <c r="L4" s="2712"/>
      <c r="M4" s="2713"/>
      <c r="N4" s="2713"/>
      <c r="O4" s="2713"/>
      <c r="P4" s="3935" t="s">
        <v>1774</v>
      </c>
      <c r="Q4" s="3936"/>
      <c r="R4" s="3918" t="s">
        <v>1770</v>
      </c>
      <c r="S4" s="3919"/>
      <c r="T4" s="3918" t="s">
        <v>1771</v>
      </c>
      <c r="U4" s="3919"/>
      <c r="V4" s="3943" t="s">
        <v>1772</v>
      </c>
      <c r="W4" s="3943"/>
      <c r="X4" s="1352"/>
      <c r="Y4" s="3918" t="s">
        <v>1774</v>
      </c>
      <c r="Z4" s="3919"/>
      <c r="AA4" s="3913" t="s">
        <v>1770</v>
      </c>
      <c r="AB4" s="3914" t="s">
        <v>1771</v>
      </c>
      <c r="AC4" s="3913" t="s">
        <v>1772</v>
      </c>
    </row>
    <row r="5" spans="1:30">
      <c r="A5" s="357"/>
      <c r="B5" s="358"/>
      <c r="C5" s="3924" t="s">
        <v>1672</v>
      </c>
      <c r="D5" s="3925"/>
      <c r="E5" s="3922" t="s">
        <v>1673</v>
      </c>
      <c r="F5" s="3923"/>
      <c r="G5" s="3924" t="s">
        <v>1674</v>
      </c>
      <c r="H5" s="3925"/>
      <c r="I5" s="3924" t="s">
        <v>1675</v>
      </c>
      <c r="J5" s="3925"/>
      <c r="K5" s="558"/>
      <c r="L5" s="2712"/>
      <c r="M5" s="2713"/>
      <c r="N5" s="2713"/>
      <c r="O5" s="2713"/>
      <c r="P5" s="3937"/>
      <c r="Q5" s="3938"/>
      <c r="R5" s="3920"/>
      <c r="S5" s="3921"/>
      <c r="T5" s="3920"/>
      <c r="U5" s="3921"/>
      <c r="V5" s="3943"/>
      <c r="W5" s="3943"/>
      <c r="X5" s="1352"/>
      <c r="Y5" s="3920"/>
      <c r="Z5" s="3921"/>
      <c r="AA5" s="3914"/>
      <c r="AB5" s="3914"/>
      <c r="AC5" s="3914"/>
    </row>
    <row r="6" spans="1:30" ht="15" thickBot="1">
      <c r="A6" s="359"/>
      <c r="B6" s="360"/>
      <c r="C6" s="3926" t="s">
        <v>1676</v>
      </c>
      <c r="D6" s="3927"/>
      <c r="E6" s="3928" t="s">
        <v>1676</v>
      </c>
      <c r="F6" s="3929"/>
      <c r="G6" s="3926" t="s">
        <v>1676</v>
      </c>
      <c r="H6" s="3927"/>
      <c r="I6" s="3926" t="s">
        <v>1676</v>
      </c>
      <c r="J6" s="3927"/>
      <c r="K6" s="558" t="s">
        <v>1677</v>
      </c>
      <c r="L6" s="2712"/>
      <c r="M6" s="2713"/>
      <c r="N6" s="2713"/>
      <c r="O6" s="2713"/>
      <c r="P6" s="3939"/>
      <c r="Q6" s="3940"/>
      <c r="R6" s="3920"/>
      <c r="S6" s="3921"/>
      <c r="T6" s="3941"/>
      <c r="U6" s="3942"/>
      <c r="V6" s="3943"/>
      <c r="W6" s="3943"/>
      <c r="X6" s="1352"/>
      <c r="Y6" s="3941"/>
      <c r="Z6" s="3942"/>
      <c r="AA6" s="3915"/>
      <c r="AB6" s="3915"/>
      <c r="AC6" s="3915"/>
    </row>
    <row r="7" spans="1:30" s="108" customFormat="1" ht="15" thickBot="1">
      <c r="A7" s="361" t="s">
        <v>1678</v>
      </c>
      <c r="B7" s="362"/>
      <c r="C7" s="363">
        <f>'数据-取费表'!B2</f>
        <v>45511</v>
      </c>
      <c r="D7" s="364">
        <v>100</v>
      </c>
      <c r="E7" s="365"/>
      <c r="F7" s="366">
        <f>SUMIF(69:69,YEAR(E7)&amp;"-"&amp;INT((MONTH(E7)+2)/3),70:70)</f>
        <v>0</v>
      </c>
      <c r="G7" s="1971"/>
      <c r="H7" s="364">
        <f>SUMIF(69:69,YEAR(G7)&amp;"-"&amp;INT((MONTH(G7)+2)/3),70:70)</f>
        <v>0</v>
      </c>
      <c r="I7" s="1971"/>
      <c r="J7" s="364">
        <f>SUMIF(69:69,YEAR(I7)&amp;"-"&amp;INT((MONTH(I7)+2)/3),70:70)</f>
        <v>0</v>
      </c>
      <c r="K7" s="559"/>
      <c r="L7" s="2714"/>
      <c r="M7" s="2715"/>
      <c r="N7" s="2715"/>
      <c r="O7" s="2715"/>
      <c r="P7" s="3916" t="s">
        <v>1679</v>
      </c>
      <c r="Q7" s="3944"/>
      <c r="R7" s="699" t="s">
        <v>14</v>
      </c>
      <c r="S7" s="700">
        <f t="shared" ref="S7:S15" si="0">F7</f>
        <v>0</v>
      </c>
      <c r="T7" s="699" t="s">
        <v>14</v>
      </c>
      <c r="U7" s="700">
        <f t="shared" ref="U7:U15" si="1">H7</f>
        <v>0</v>
      </c>
      <c r="V7" s="699" t="s">
        <v>14</v>
      </c>
      <c r="W7" s="700">
        <f t="shared" ref="W7:W15" si="2">J7</f>
        <v>0</v>
      </c>
      <c r="X7" s="701"/>
      <c r="Y7" s="3916" t="s">
        <v>1679</v>
      </c>
      <c r="Z7" s="3917"/>
      <c r="AA7" s="702" t="e">
        <f>D7/F7</f>
        <v>#DIV/0!</v>
      </c>
      <c r="AB7" s="702" t="e">
        <f>D7/H7</f>
        <v>#DIV/0!</v>
      </c>
      <c r="AC7" s="702" t="e">
        <f>D7/J7</f>
        <v>#DIV/0!</v>
      </c>
    </row>
    <row r="8" spans="1:30" s="108" customFormat="1" ht="1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916" t="s">
        <v>1682</v>
      </c>
      <c r="Q8" s="3917"/>
      <c r="R8" s="699" t="s">
        <v>14</v>
      </c>
      <c r="S8" s="700">
        <f t="shared" si="0"/>
        <v>0</v>
      </c>
      <c r="T8" s="699" t="s">
        <v>14</v>
      </c>
      <c r="U8" s="700">
        <f t="shared" si="1"/>
        <v>0</v>
      </c>
      <c r="V8" s="699" t="s">
        <v>14</v>
      </c>
      <c r="W8" s="700">
        <f t="shared" si="2"/>
        <v>0</v>
      </c>
      <c r="X8" s="701"/>
      <c r="Y8" s="3916" t="s">
        <v>1682</v>
      </c>
      <c r="Z8" s="3917"/>
      <c r="AA8" s="702" t="e">
        <f t="shared" ref="AA8:AA45" si="3">D8/F8</f>
        <v>#DIV/0!</v>
      </c>
      <c r="AB8" s="702" t="e">
        <f t="shared" ref="AB8:AB45" si="4">D8/H8</f>
        <v>#DIV/0!</v>
      </c>
      <c r="AC8" s="702" t="e">
        <f t="shared" ref="AC8:AC45" si="5">D8/J8</f>
        <v>#DIV/0!</v>
      </c>
    </row>
    <row r="9" spans="1:30" s="108" customFormat="1" ht="14.4">
      <c r="A9" s="368" t="s">
        <v>1683</v>
      </c>
      <c r="B9" s="63" t="s">
        <v>1684</v>
      </c>
      <c r="C9" s="1974"/>
      <c r="D9" s="125">
        <v>100</v>
      </c>
      <c r="E9" s="1974"/>
      <c r="F9" s="125">
        <f>SUMIF(74:74,E9,75:75)-SUMIF(74:74,C9,75:75)+100</f>
        <v>100</v>
      </c>
      <c r="G9" s="1974"/>
      <c r="H9" s="125">
        <f>SUMIF(74:74,G9,75:75)-SUMIF(74:74,C9,75:75)+100</f>
        <v>100</v>
      </c>
      <c r="I9" s="1974"/>
      <c r="J9" s="125">
        <f>SUMIF(74:74,I9,75:75)-SUMIF(74:74,C9,75:75)+100</f>
        <v>100</v>
      </c>
      <c r="K9" s="559"/>
      <c r="L9" s="2714"/>
      <c r="M9" s="2715"/>
      <c r="N9" s="2715"/>
      <c r="O9" s="2769"/>
      <c r="P9" s="3948" t="s">
        <v>1685</v>
      </c>
      <c r="Q9" s="1340" t="str">
        <f t="shared" ref="Q9:Q15" si="6">B9</f>
        <v>用途</v>
      </c>
      <c r="R9" s="699" t="s">
        <v>14</v>
      </c>
      <c r="S9" s="700">
        <f t="shared" si="0"/>
        <v>100</v>
      </c>
      <c r="T9" s="699" t="s">
        <v>14</v>
      </c>
      <c r="U9" s="700">
        <f t="shared" si="1"/>
        <v>100</v>
      </c>
      <c r="V9" s="699" t="s">
        <v>14</v>
      </c>
      <c r="W9" s="700">
        <f t="shared" si="2"/>
        <v>100</v>
      </c>
      <c r="X9" s="701"/>
      <c r="Y9" s="3840" t="s">
        <v>1686</v>
      </c>
      <c r="Z9" s="52" t="str">
        <f t="shared" ref="Z9:Z15" si="7">Q9</f>
        <v>用途</v>
      </c>
      <c r="AA9" s="702">
        <f t="shared" si="3"/>
        <v>1</v>
      </c>
      <c r="AB9" s="702">
        <f t="shared" si="4"/>
        <v>1</v>
      </c>
      <c r="AC9" s="702">
        <f t="shared" si="5"/>
        <v>1</v>
      </c>
    </row>
    <row r="10" spans="1:30" s="377" customFormat="1" ht="28.8">
      <c r="A10" s="373"/>
      <c r="B10" s="374" t="s">
        <v>1687</v>
      </c>
      <c r="C10" s="382"/>
      <c r="D10" s="126">
        <v>100</v>
      </c>
      <c r="E10" s="415"/>
      <c r="F10" s="126" t="e">
        <f>ROUND(100/'数据-取费表'!G16,0)</f>
        <v>#DIV/0!</v>
      </c>
      <c r="G10" s="413"/>
      <c r="H10" s="126" t="e">
        <f>ROUND(100/'数据-取费表'!G16,0)</f>
        <v>#DIV/0!</v>
      </c>
      <c r="I10" s="413"/>
      <c r="J10" s="126" t="e">
        <f>ROUND(100/'数据-取费表'!G16,0)</f>
        <v>#DIV/0!</v>
      </c>
      <c r="K10" s="619"/>
      <c r="L10" s="2716"/>
      <c r="M10" s="2717"/>
      <c r="N10" s="2717"/>
      <c r="O10" s="2770"/>
      <c r="P10" s="3948"/>
      <c r="Q10" s="1340" t="str">
        <f t="shared" si="6"/>
        <v>土地使用年限（年）</v>
      </c>
      <c r="R10" s="699" t="s">
        <v>14</v>
      </c>
      <c r="S10" s="700" t="e">
        <f t="shared" si="0"/>
        <v>#DIV/0!</v>
      </c>
      <c r="T10" s="699" t="s">
        <v>14</v>
      </c>
      <c r="U10" s="700" t="e">
        <f t="shared" si="1"/>
        <v>#DIV/0!</v>
      </c>
      <c r="V10" s="699" t="s">
        <v>14</v>
      </c>
      <c r="W10" s="700" t="e">
        <f t="shared" si="2"/>
        <v>#DIV/0!</v>
      </c>
      <c r="X10" s="701"/>
      <c r="Y10" s="3840"/>
      <c r="Z10" s="52" t="str">
        <f t="shared" si="7"/>
        <v>土地使用年限（年）</v>
      </c>
      <c r="AA10" s="702" t="e">
        <f t="shared" si="3"/>
        <v>#DIV/0!</v>
      </c>
      <c r="AB10" s="702" t="e">
        <f t="shared" si="4"/>
        <v>#DIV/0!</v>
      </c>
      <c r="AC10" s="702" t="e">
        <f t="shared" si="5"/>
        <v>#DIV/0!</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948"/>
      <c r="Q11" s="1340" t="str">
        <f t="shared" si="6"/>
        <v>容积率</v>
      </c>
      <c r="R11" s="699" t="s">
        <v>14</v>
      </c>
      <c r="S11" s="700" t="e">
        <f t="shared" si="0"/>
        <v>#N/A</v>
      </c>
      <c r="T11" s="699" t="s">
        <v>14</v>
      </c>
      <c r="U11" s="700" t="e">
        <f t="shared" si="1"/>
        <v>#N/A</v>
      </c>
      <c r="V11" s="699" t="s">
        <v>14</v>
      </c>
      <c r="W11" s="700" t="e">
        <f t="shared" si="2"/>
        <v>#N/A</v>
      </c>
      <c r="X11" s="701"/>
      <c r="Y11" s="3840"/>
      <c r="Z11" s="52" t="str">
        <f t="shared" si="7"/>
        <v>容积率</v>
      </c>
      <c r="AA11" s="702" t="e">
        <f t="shared" si="3"/>
        <v>#N/A</v>
      </c>
      <c r="AB11" s="702" t="e">
        <f t="shared" si="4"/>
        <v>#N/A</v>
      </c>
      <c r="AC11" s="702" t="e">
        <f t="shared" si="5"/>
        <v>#N/A</v>
      </c>
    </row>
    <row r="12" spans="1:30" s="108" customFormat="1" ht="15">
      <c r="A12" s="381"/>
      <c r="B12" s="1890" t="s">
        <v>1869</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948"/>
      <c r="Q12" s="1340" t="str">
        <f t="shared" si="6"/>
        <v>配建</v>
      </c>
      <c r="R12" s="699" t="s">
        <v>14</v>
      </c>
      <c r="S12" s="700">
        <f t="shared" si="0"/>
        <v>100</v>
      </c>
      <c r="T12" s="699" t="s">
        <v>14</v>
      </c>
      <c r="U12" s="700">
        <f t="shared" si="1"/>
        <v>100</v>
      </c>
      <c r="V12" s="699" t="s">
        <v>14</v>
      </c>
      <c r="W12" s="700">
        <f t="shared" si="2"/>
        <v>100</v>
      </c>
      <c r="X12" s="701"/>
      <c r="Y12" s="3840"/>
      <c r="Z12" s="52" t="str">
        <f t="shared" si="7"/>
        <v>配建</v>
      </c>
      <c r="AA12" s="702">
        <f>D12/F12</f>
        <v>1</v>
      </c>
      <c r="AB12" s="702">
        <f>D12/H12</f>
        <v>1</v>
      </c>
      <c r="AC12" s="702">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948"/>
      <c r="Q13" s="1340">
        <f t="shared" si="6"/>
        <v>111</v>
      </c>
      <c r="R13" s="699" t="s">
        <v>14</v>
      </c>
      <c r="S13" s="700">
        <f t="shared" si="0"/>
        <v>100</v>
      </c>
      <c r="T13" s="699" t="s">
        <v>14</v>
      </c>
      <c r="U13" s="700">
        <f t="shared" si="1"/>
        <v>100</v>
      </c>
      <c r="V13" s="699" t="s">
        <v>14</v>
      </c>
      <c r="W13" s="700">
        <f t="shared" si="2"/>
        <v>100</v>
      </c>
      <c r="X13" s="701"/>
      <c r="Y13" s="3840"/>
      <c r="Z13" s="52">
        <f t="shared" si="7"/>
        <v>111</v>
      </c>
      <c r="AA13" s="702">
        <f>D13/F13</f>
        <v>1</v>
      </c>
      <c r="AB13" s="702">
        <f>D13/H13</f>
        <v>1</v>
      </c>
      <c r="AC13" s="702">
        <f>D13/J13</f>
        <v>1</v>
      </c>
    </row>
    <row r="14" spans="1:30" ht="15.6"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948"/>
      <c r="Q14" s="1340">
        <f t="shared" si="6"/>
        <v>111</v>
      </c>
      <c r="R14" s="699" t="s">
        <v>14</v>
      </c>
      <c r="S14" s="700">
        <f t="shared" si="0"/>
        <v>100</v>
      </c>
      <c r="T14" s="699" t="s">
        <v>14</v>
      </c>
      <c r="U14" s="700">
        <f t="shared" si="1"/>
        <v>100</v>
      </c>
      <c r="V14" s="699" t="s">
        <v>14</v>
      </c>
      <c r="W14" s="700">
        <f t="shared" si="2"/>
        <v>100</v>
      </c>
      <c r="X14" s="701"/>
      <c r="Y14" s="3840"/>
      <c r="Z14" s="52">
        <f t="shared" si="7"/>
        <v>111</v>
      </c>
      <c r="AA14" s="702">
        <f>D14/F14</f>
        <v>1</v>
      </c>
      <c r="AB14" s="702">
        <f>D14/H14</f>
        <v>1</v>
      </c>
      <c r="AC14" s="702">
        <f>D14/J14</f>
        <v>1</v>
      </c>
    </row>
    <row r="15" spans="1:30" ht="96.6">
      <c r="A15" s="390" t="s">
        <v>1689</v>
      </c>
      <c r="B15" s="61" t="s">
        <v>1256</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950" t="s">
        <v>1690</v>
      </c>
      <c r="Q15" s="1349" t="str">
        <f t="shared" si="6"/>
        <v>居住社区成熟度</v>
      </c>
      <c r="R15" s="703" t="s">
        <v>14</v>
      </c>
      <c r="S15" s="704">
        <f t="shared" si="0"/>
        <v>100</v>
      </c>
      <c r="T15" s="703" t="s">
        <v>14</v>
      </c>
      <c r="U15" s="704">
        <f t="shared" si="1"/>
        <v>100</v>
      </c>
      <c r="V15" s="703" t="s">
        <v>14</v>
      </c>
      <c r="W15" s="704">
        <f t="shared" si="2"/>
        <v>100</v>
      </c>
      <c r="X15" s="1352"/>
      <c r="Y15" s="3950" t="s">
        <v>1690</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9"/>
      <c r="M16" s="2713"/>
      <c r="N16" s="2713"/>
      <c r="O16" s="2771"/>
      <c r="P16" s="3951"/>
      <c r="Q16" s="1349"/>
      <c r="R16" s="703"/>
      <c r="S16" s="704"/>
      <c r="T16" s="703"/>
      <c r="U16" s="704"/>
      <c r="V16" s="703"/>
      <c r="W16" s="704"/>
      <c r="X16" s="1352"/>
      <c r="Y16" s="3951"/>
      <c r="Z16" s="1353"/>
      <c r="AA16" s="1350">
        <v>1</v>
      </c>
      <c r="AB16" s="1350">
        <v>1</v>
      </c>
      <c r="AC16" s="1350">
        <v>1</v>
      </c>
    </row>
    <row r="17" spans="1:29" ht="82.8">
      <c r="A17" s="378"/>
      <c r="B17" s="401" t="s">
        <v>1776</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951"/>
      <c r="Q17" s="1349" t="str">
        <f>B17</f>
        <v>商业繁华度</v>
      </c>
      <c r="R17" s="703" t="s">
        <v>14</v>
      </c>
      <c r="S17" s="704">
        <f>F17</f>
        <v>100</v>
      </c>
      <c r="T17" s="703" t="s">
        <v>14</v>
      </c>
      <c r="U17" s="704">
        <f>H17</f>
        <v>100</v>
      </c>
      <c r="V17" s="703" t="s">
        <v>14</v>
      </c>
      <c r="W17" s="704">
        <f>J17</f>
        <v>100</v>
      </c>
      <c r="X17" s="1352"/>
      <c r="Y17" s="3951"/>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9"/>
      <c r="M18" s="2713"/>
      <c r="N18" s="2713"/>
      <c r="O18" s="2771"/>
      <c r="P18" s="3951"/>
      <c r="Q18" s="1349"/>
      <c r="R18" s="703"/>
      <c r="S18" s="704"/>
      <c r="T18" s="703"/>
      <c r="U18" s="704"/>
      <c r="V18" s="703"/>
      <c r="W18" s="704"/>
      <c r="X18" s="1352"/>
      <c r="Y18" s="3951"/>
      <c r="Z18" s="1353"/>
      <c r="AA18" s="1350">
        <v>1</v>
      </c>
      <c r="AB18" s="1350">
        <v>1</v>
      </c>
      <c r="AC18" s="1350">
        <v>1</v>
      </c>
    </row>
    <row r="19" spans="1:29" ht="82.8">
      <c r="A19" s="378"/>
      <c r="B19" s="401" t="s">
        <v>1810</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951"/>
      <c r="Q19" s="1349" t="str">
        <f>B19</f>
        <v>办公集聚程度</v>
      </c>
      <c r="R19" s="703" t="s">
        <v>14</v>
      </c>
      <c r="S19" s="704">
        <f>F19</f>
        <v>100</v>
      </c>
      <c r="T19" s="703" t="s">
        <v>14</v>
      </c>
      <c r="U19" s="704">
        <f>H19</f>
        <v>100</v>
      </c>
      <c r="V19" s="703" t="s">
        <v>14</v>
      </c>
      <c r="W19" s="704">
        <f>J19</f>
        <v>100</v>
      </c>
      <c r="X19" s="1352"/>
      <c r="Y19" s="3951"/>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9"/>
      <c r="M20" s="2713"/>
      <c r="N20" s="2713"/>
      <c r="O20" s="2771"/>
      <c r="P20" s="3951"/>
      <c r="Q20" s="1349"/>
      <c r="R20" s="703"/>
      <c r="S20" s="704"/>
      <c r="T20" s="703"/>
      <c r="U20" s="704"/>
      <c r="V20" s="703"/>
      <c r="W20" s="704"/>
      <c r="X20" s="1352"/>
      <c r="Y20" s="3951"/>
      <c r="Z20" s="1353"/>
      <c r="AA20" s="1350">
        <v>1</v>
      </c>
      <c r="AB20" s="1350">
        <v>1</v>
      </c>
      <c r="AC20" s="1350">
        <v>1</v>
      </c>
    </row>
    <row r="21" spans="1:29" ht="96.6">
      <c r="A21" s="378"/>
      <c r="B21" s="401" t="s">
        <v>1832</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951"/>
      <c r="Q21" s="1349" t="str">
        <f>B21</f>
        <v>交通便捷度</v>
      </c>
      <c r="R21" s="703" t="s">
        <v>14</v>
      </c>
      <c r="S21" s="704">
        <f>F21</f>
        <v>100</v>
      </c>
      <c r="T21" s="703" t="s">
        <v>14</v>
      </c>
      <c r="U21" s="704">
        <f>H21</f>
        <v>100</v>
      </c>
      <c r="V21" s="703" t="s">
        <v>14</v>
      </c>
      <c r="W21" s="704">
        <f>J21</f>
        <v>100</v>
      </c>
      <c r="X21" s="1352"/>
      <c r="Y21" s="3951"/>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9"/>
      <c r="M22" s="2713"/>
      <c r="N22" s="2713"/>
      <c r="O22" s="2771"/>
      <c r="P22" s="3951"/>
      <c r="Q22" s="1349"/>
      <c r="R22" s="703"/>
      <c r="S22" s="704"/>
      <c r="T22" s="703"/>
      <c r="U22" s="704"/>
      <c r="V22" s="703"/>
      <c r="W22" s="704"/>
      <c r="X22" s="1352"/>
      <c r="Y22" s="3951"/>
      <c r="Z22" s="1353"/>
      <c r="AA22" s="1350">
        <v>1</v>
      </c>
      <c r="AB22" s="1350">
        <v>1</v>
      </c>
      <c r="AC22" s="1350">
        <v>1</v>
      </c>
    </row>
    <row r="23" spans="1:29" ht="28.8">
      <c r="A23" s="357"/>
      <c r="B23" s="401" t="s">
        <v>1870</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951"/>
      <c r="Q23" s="1349" t="str">
        <f t="shared" ref="Q23:Q37" si="8">B23</f>
        <v>区域土地利用方向</v>
      </c>
      <c r="R23" s="703" t="s">
        <v>14</v>
      </c>
      <c r="S23" s="704">
        <f>F23</f>
        <v>100</v>
      </c>
      <c r="T23" s="703" t="s">
        <v>14</v>
      </c>
      <c r="U23" s="704">
        <f>H23</f>
        <v>100</v>
      </c>
      <c r="V23" s="703" t="s">
        <v>14</v>
      </c>
      <c r="W23" s="704">
        <f>J23</f>
        <v>100</v>
      </c>
      <c r="X23" s="1352"/>
      <c r="Y23" s="3951"/>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8"/>
      <c r="L24" s="2719"/>
      <c r="M24" s="2713"/>
      <c r="N24" s="2713"/>
      <c r="O24" s="2771"/>
      <c r="P24" s="3951"/>
      <c r="Q24" s="1349"/>
      <c r="R24" s="703"/>
      <c r="S24" s="704"/>
      <c r="T24" s="703"/>
      <c r="U24" s="704"/>
      <c r="V24" s="703"/>
      <c r="W24" s="704"/>
      <c r="X24" s="1352"/>
      <c r="Y24" s="3951"/>
      <c r="Z24" s="1353"/>
      <c r="AA24" s="1350"/>
      <c r="AB24" s="1350"/>
      <c r="AC24" s="1350"/>
    </row>
    <row r="25" spans="1:29" ht="55.2">
      <c r="A25" s="357"/>
      <c r="B25" s="1128" t="s">
        <v>1871</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951"/>
      <c r="Q25" s="1349" t="str">
        <f t="shared" si="8"/>
        <v>自然及人文环境状况</v>
      </c>
      <c r="R25" s="703" t="s">
        <v>14</v>
      </c>
      <c r="S25" s="704">
        <f>F25</f>
        <v>100</v>
      </c>
      <c r="T25" s="703" t="s">
        <v>14</v>
      </c>
      <c r="U25" s="704">
        <f>H25</f>
        <v>100</v>
      </c>
      <c r="V25" s="703" t="s">
        <v>14</v>
      </c>
      <c r="W25" s="704">
        <f>J25</f>
        <v>100</v>
      </c>
      <c r="X25" s="1352"/>
      <c r="Y25" s="3951"/>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9"/>
      <c r="M26" s="2713"/>
      <c r="N26" s="2713"/>
      <c r="O26" s="2771"/>
      <c r="P26" s="3951"/>
      <c r="Q26" s="1349"/>
      <c r="R26" s="703"/>
      <c r="S26" s="704"/>
      <c r="T26" s="703"/>
      <c r="U26" s="704"/>
      <c r="V26" s="703"/>
      <c r="W26" s="704"/>
      <c r="X26" s="1352"/>
      <c r="Y26" s="3951"/>
      <c r="Z26" s="1353"/>
      <c r="AA26" s="1350">
        <v>1</v>
      </c>
      <c r="AB26" s="1350">
        <v>1</v>
      </c>
      <c r="AC26" s="1350">
        <v>1</v>
      </c>
    </row>
    <row r="27" spans="1:29" s="108" customFormat="1" ht="41.4">
      <c r="A27" s="596"/>
      <c r="B27" s="1128" t="s">
        <v>1777</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951"/>
      <c r="Q27" s="1340" t="str">
        <f t="shared" si="8"/>
        <v>公共配套设施</v>
      </c>
      <c r="R27" s="699" t="s">
        <v>14</v>
      </c>
      <c r="S27" s="700">
        <f>F27</f>
        <v>100</v>
      </c>
      <c r="T27" s="699" t="s">
        <v>14</v>
      </c>
      <c r="U27" s="700">
        <f>H27</f>
        <v>100</v>
      </c>
      <c r="V27" s="699" t="s">
        <v>14</v>
      </c>
      <c r="W27" s="700">
        <f>J27</f>
        <v>100</v>
      </c>
      <c r="X27" s="701"/>
      <c r="Y27" s="3951"/>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4"/>
      <c r="M28" s="2715"/>
      <c r="N28" s="2715"/>
      <c r="O28" s="2769"/>
      <c r="P28" s="3951"/>
      <c r="Q28" s="1340"/>
      <c r="R28" s="699"/>
      <c r="S28" s="700"/>
      <c r="T28" s="699"/>
      <c r="U28" s="700"/>
      <c r="V28" s="699"/>
      <c r="W28" s="700"/>
      <c r="X28" s="701"/>
      <c r="Y28" s="3951"/>
      <c r="Z28" s="52"/>
      <c r="AA28" s="1350">
        <v>1</v>
      </c>
      <c r="AB28" s="1350">
        <v>1</v>
      </c>
      <c r="AC28" s="1350">
        <v>1</v>
      </c>
    </row>
    <row r="29" spans="1:29" s="108" customFormat="1" ht="41.4">
      <c r="A29" s="596"/>
      <c r="B29" s="1128" t="s">
        <v>1778</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951"/>
      <c r="Q29" s="1340" t="str">
        <f>B29</f>
        <v>基础设施水平</v>
      </c>
      <c r="R29" s="699" t="s">
        <v>14</v>
      </c>
      <c r="S29" s="700">
        <f>F29</f>
        <v>100</v>
      </c>
      <c r="T29" s="699" t="s">
        <v>14</v>
      </c>
      <c r="U29" s="700">
        <f>H29</f>
        <v>100</v>
      </c>
      <c r="V29" s="699" t="s">
        <v>14</v>
      </c>
      <c r="W29" s="700">
        <f>J29</f>
        <v>100</v>
      </c>
      <c r="X29" s="701"/>
      <c r="Y29" s="3951"/>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4"/>
      <c r="M30" s="2715"/>
      <c r="N30" s="2715"/>
      <c r="O30" s="2769"/>
      <c r="P30" s="3951"/>
      <c r="Q30" s="1340"/>
      <c r="R30" s="699"/>
      <c r="S30" s="700"/>
      <c r="T30" s="699"/>
      <c r="U30" s="700"/>
      <c r="V30" s="699"/>
      <c r="W30" s="700"/>
      <c r="X30" s="701"/>
      <c r="Y30" s="3951"/>
      <c r="Z30" s="52"/>
      <c r="AA30" s="1350">
        <v>1</v>
      </c>
      <c r="AB30" s="1350">
        <v>1</v>
      </c>
      <c r="AC30" s="1350">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951"/>
      <c r="Q31" s="1349" t="str">
        <f t="shared" si="8"/>
        <v>临街状况</v>
      </c>
      <c r="R31" s="703" t="s">
        <v>14</v>
      </c>
      <c r="S31" s="704">
        <f t="shared" ref="S31:S45" si="9">F31</f>
        <v>100</v>
      </c>
      <c r="T31" s="703" t="s">
        <v>14</v>
      </c>
      <c r="U31" s="704">
        <f t="shared" ref="U31:U45" si="10">H31</f>
        <v>100</v>
      </c>
      <c r="V31" s="703" t="s">
        <v>14</v>
      </c>
      <c r="W31" s="704">
        <f t="shared" ref="W31:W45" si="11">J31</f>
        <v>100</v>
      </c>
      <c r="X31" s="1352"/>
      <c r="Y31" s="3951"/>
      <c r="Z31" s="1353" t="str">
        <f t="shared" ref="Z31:Z45" si="12">Q31</f>
        <v>临街状况</v>
      </c>
      <c r="AA31" s="1350">
        <f t="shared" si="3"/>
        <v>1</v>
      </c>
      <c r="AB31" s="1350">
        <f t="shared" si="4"/>
        <v>1</v>
      </c>
      <c r="AC31" s="1350">
        <f t="shared" si="5"/>
        <v>1</v>
      </c>
    </row>
    <row r="32" spans="1:29" ht="28.8">
      <c r="A32" s="378"/>
      <c r="B32" s="1128"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951"/>
      <c r="Q32" s="1349" t="str">
        <f t="shared" si="8"/>
        <v>毗邻道路的类型与等级</v>
      </c>
      <c r="R32" s="703" t="s">
        <v>14</v>
      </c>
      <c r="S32" s="704">
        <f t="shared" si="9"/>
        <v>100</v>
      </c>
      <c r="T32" s="703" t="s">
        <v>14</v>
      </c>
      <c r="U32" s="704">
        <f t="shared" si="10"/>
        <v>100</v>
      </c>
      <c r="V32" s="703" t="s">
        <v>14</v>
      </c>
      <c r="W32" s="704">
        <f t="shared" si="11"/>
        <v>100</v>
      </c>
      <c r="X32" s="1352"/>
      <c r="Y32" s="3951"/>
      <c r="Z32" s="1353" t="str">
        <f t="shared" si="12"/>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9"/>
      <c r="M33" s="2713"/>
      <c r="N33" s="2713"/>
      <c r="O33" s="2771"/>
      <c r="P33" s="3951"/>
      <c r="Q33" s="1349"/>
      <c r="R33" s="703"/>
      <c r="S33" s="704"/>
      <c r="T33" s="703"/>
      <c r="U33" s="704"/>
      <c r="V33" s="703"/>
      <c r="W33" s="704"/>
      <c r="X33" s="1352"/>
      <c r="Y33" s="3951"/>
      <c r="Z33" s="1353"/>
      <c r="AA33" s="1350">
        <v>1</v>
      </c>
      <c r="AB33" s="1350">
        <v>1</v>
      </c>
      <c r="AC33" s="1350">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951"/>
      <c r="Q34" s="1349" t="str">
        <f t="shared" si="8"/>
        <v>土地级别</v>
      </c>
      <c r="R34" s="703" t="s">
        <v>14</v>
      </c>
      <c r="S34" s="704">
        <f t="shared" si="9"/>
        <v>100</v>
      </c>
      <c r="T34" s="703" t="s">
        <v>14</v>
      </c>
      <c r="U34" s="704">
        <f t="shared" si="10"/>
        <v>100</v>
      </c>
      <c r="V34" s="703" t="s">
        <v>14</v>
      </c>
      <c r="W34" s="704">
        <f t="shared" si="11"/>
        <v>100</v>
      </c>
      <c r="X34" s="1352"/>
      <c r="Y34" s="3951"/>
      <c r="Z34" s="1353" t="str">
        <f t="shared" si="12"/>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951"/>
      <c r="Q35" s="1349">
        <f t="shared" si="8"/>
        <v>111</v>
      </c>
      <c r="R35" s="703" t="s">
        <v>14</v>
      </c>
      <c r="S35" s="704">
        <f t="shared" si="9"/>
        <v>100</v>
      </c>
      <c r="T35" s="703" t="s">
        <v>14</v>
      </c>
      <c r="U35" s="704">
        <f t="shared" si="10"/>
        <v>100</v>
      </c>
      <c r="V35" s="703" t="s">
        <v>14</v>
      </c>
      <c r="W35" s="704">
        <f t="shared" si="11"/>
        <v>100</v>
      </c>
      <c r="X35" s="1352"/>
      <c r="Y35" s="3951"/>
      <c r="Z35" s="1353">
        <f t="shared" si="12"/>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974" t="s">
        <v>1695</v>
      </c>
      <c r="Q36" s="1349">
        <f t="shared" si="8"/>
        <v>111</v>
      </c>
      <c r="R36" s="703" t="s">
        <v>14</v>
      </c>
      <c r="S36" s="704">
        <f t="shared" si="9"/>
        <v>100</v>
      </c>
      <c r="T36" s="703" t="s">
        <v>14</v>
      </c>
      <c r="U36" s="704">
        <f t="shared" si="10"/>
        <v>100</v>
      </c>
      <c r="V36" s="703" t="s">
        <v>14</v>
      </c>
      <c r="W36" s="704">
        <f t="shared" si="11"/>
        <v>100</v>
      </c>
      <c r="X36" s="1352"/>
      <c r="Y36" s="3955" t="s">
        <v>1695</v>
      </c>
      <c r="Z36" s="1353">
        <f t="shared" si="12"/>
        <v>111</v>
      </c>
      <c r="AA36" s="1350">
        <f t="shared" si="3"/>
        <v>1</v>
      </c>
      <c r="AB36" s="1350">
        <f t="shared" si="4"/>
        <v>1</v>
      </c>
      <c r="AC36" s="1350">
        <f t="shared" si="5"/>
        <v>1</v>
      </c>
    </row>
    <row r="37" spans="1:29" s="421" customFormat="1" ht="15.6"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955"/>
      <c r="Q37" s="1349">
        <f t="shared" si="8"/>
        <v>111</v>
      </c>
      <c r="R37" s="706" t="s">
        <v>14</v>
      </c>
      <c r="S37" s="707">
        <f t="shared" si="9"/>
        <v>100</v>
      </c>
      <c r="T37" s="706" t="s">
        <v>14</v>
      </c>
      <c r="U37" s="707">
        <f t="shared" si="10"/>
        <v>100</v>
      </c>
      <c r="V37" s="706" t="s">
        <v>14</v>
      </c>
      <c r="W37" s="707">
        <f t="shared" si="11"/>
        <v>100</v>
      </c>
      <c r="X37" s="708"/>
      <c r="Y37" s="3955"/>
      <c r="Z37" s="709">
        <f t="shared" si="12"/>
        <v>111</v>
      </c>
      <c r="AA37" s="1350">
        <f t="shared" si="3"/>
        <v>1</v>
      </c>
      <c r="AB37" s="1350">
        <f t="shared" si="4"/>
        <v>1</v>
      </c>
      <c r="AC37" s="1350">
        <f t="shared" si="5"/>
        <v>1</v>
      </c>
    </row>
    <row r="38" spans="1:29" ht="15.6">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955"/>
      <c r="Q38" s="1349" t="str">
        <f>B38</f>
        <v>宗地面积</v>
      </c>
      <c r="R38" s="703" t="s">
        <v>14</v>
      </c>
      <c r="S38" s="704" t="e">
        <f t="shared" si="9"/>
        <v>#N/A</v>
      </c>
      <c r="T38" s="703" t="s">
        <v>14</v>
      </c>
      <c r="U38" s="704" t="e">
        <f t="shared" si="10"/>
        <v>#N/A</v>
      </c>
      <c r="V38" s="703" t="s">
        <v>14</v>
      </c>
      <c r="W38" s="704" t="e">
        <f t="shared" si="11"/>
        <v>#N/A</v>
      </c>
      <c r="X38" s="1352"/>
      <c r="Y38" s="3955"/>
      <c r="Z38" s="1353" t="str">
        <f t="shared" si="12"/>
        <v>宗地面积</v>
      </c>
      <c r="AA38" s="1350" t="e">
        <f t="shared" si="3"/>
        <v>#N/A</v>
      </c>
      <c r="AB38" s="1350" t="e">
        <f t="shared" si="4"/>
        <v>#N/A</v>
      </c>
      <c r="AC38" s="1350" t="e">
        <f t="shared" si="5"/>
        <v>#N/A</v>
      </c>
    </row>
    <row r="39" spans="1:29" ht="15">
      <c r="A39" s="422"/>
      <c r="B39" s="374" t="s">
        <v>1874</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955"/>
      <c r="Q39" s="1349" t="str">
        <f t="shared" ref="Q39:Q45" si="13">B39</f>
        <v>宗地形状</v>
      </c>
      <c r="R39" s="703" t="s">
        <v>14</v>
      </c>
      <c r="S39" s="704">
        <f t="shared" si="9"/>
        <v>100</v>
      </c>
      <c r="T39" s="703" t="s">
        <v>14</v>
      </c>
      <c r="U39" s="704">
        <f t="shared" si="10"/>
        <v>100</v>
      </c>
      <c r="V39" s="703" t="s">
        <v>14</v>
      </c>
      <c r="W39" s="704">
        <f t="shared" si="11"/>
        <v>100</v>
      </c>
      <c r="X39" s="1352"/>
      <c r="Y39" s="3955"/>
      <c r="Z39" s="1353" t="str">
        <f t="shared" si="12"/>
        <v>宗地形状</v>
      </c>
      <c r="AA39" s="1350">
        <f t="shared" si="3"/>
        <v>1</v>
      </c>
      <c r="AB39" s="1350">
        <f t="shared" si="4"/>
        <v>1</v>
      </c>
      <c r="AC39" s="1350">
        <f t="shared" si="5"/>
        <v>1</v>
      </c>
    </row>
    <row r="40" spans="1:29" ht="15">
      <c r="A40" s="422"/>
      <c r="B40" s="374" t="s">
        <v>1875</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955"/>
      <c r="Q40" s="1349" t="str">
        <f t="shared" si="13"/>
        <v>临街宽度及深度</v>
      </c>
      <c r="R40" s="703" t="s">
        <v>14</v>
      </c>
      <c r="S40" s="704">
        <f t="shared" si="9"/>
        <v>100</v>
      </c>
      <c r="T40" s="703" t="s">
        <v>14</v>
      </c>
      <c r="U40" s="704">
        <f t="shared" si="10"/>
        <v>100</v>
      </c>
      <c r="V40" s="703" t="s">
        <v>14</v>
      </c>
      <c r="W40" s="704">
        <f t="shared" si="11"/>
        <v>100</v>
      </c>
      <c r="X40" s="1352"/>
      <c r="Y40" s="3955"/>
      <c r="Z40" s="1353" t="str">
        <f t="shared" si="12"/>
        <v>临街宽度及深度</v>
      </c>
      <c r="AA40" s="1350">
        <f t="shared" si="3"/>
        <v>1</v>
      </c>
      <c r="AB40" s="1350">
        <f t="shared" si="4"/>
        <v>1</v>
      </c>
      <c r="AC40" s="1350">
        <f t="shared" si="5"/>
        <v>1</v>
      </c>
    </row>
    <row r="41" spans="1:29" s="108" customFormat="1" ht="15">
      <c r="A41" s="423"/>
      <c r="B41" s="374" t="s">
        <v>1876</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4"/>
      <c r="M41" s="2715"/>
      <c r="N41" s="2715"/>
      <c r="O41" s="2769"/>
      <c r="P41" s="3955"/>
      <c r="Q41" s="1349" t="str">
        <f t="shared" si="13"/>
        <v>宗地开发程度</v>
      </c>
      <c r="R41" s="699" t="s">
        <v>14</v>
      </c>
      <c r="S41" s="700">
        <f t="shared" si="9"/>
        <v>100</v>
      </c>
      <c r="T41" s="699" t="s">
        <v>14</v>
      </c>
      <c r="U41" s="700">
        <f t="shared" si="10"/>
        <v>100</v>
      </c>
      <c r="V41" s="699" t="s">
        <v>14</v>
      </c>
      <c r="W41" s="700">
        <f t="shared" si="11"/>
        <v>100</v>
      </c>
      <c r="X41" s="701"/>
      <c r="Y41" s="3955"/>
      <c r="Z41" s="52" t="str">
        <f t="shared" si="12"/>
        <v>宗地开发程度</v>
      </c>
      <c r="AA41" s="702">
        <f t="shared" si="3"/>
        <v>1</v>
      </c>
      <c r="AB41" s="702">
        <f t="shared" si="4"/>
        <v>1</v>
      </c>
      <c r="AC41" s="702">
        <f t="shared" si="5"/>
        <v>1</v>
      </c>
    </row>
    <row r="42" spans="1:29" ht="15">
      <c r="A42" s="422"/>
      <c r="B42" s="374" t="s">
        <v>1877</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955" t="s">
        <v>1695</v>
      </c>
      <c r="Q42" s="1349" t="str">
        <f t="shared" si="13"/>
        <v>工程地质条件</v>
      </c>
      <c r="R42" s="703" t="s">
        <v>14</v>
      </c>
      <c r="S42" s="704">
        <f t="shared" si="9"/>
        <v>100</v>
      </c>
      <c r="T42" s="703" t="s">
        <v>14</v>
      </c>
      <c r="U42" s="704">
        <f t="shared" si="10"/>
        <v>100</v>
      </c>
      <c r="V42" s="703" t="s">
        <v>14</v>
      </c>
      <c r="W42" s="704">
        <f t="shared" si="11"/>
        <v>100</v>
      </c>
      <c r="X42" s="1352"/>
      <c r="Y42" s="3955" t="s">
        <v>1695</v>
      </c>
      <c r="Z42" s="1353" t="str">
        <f t="shared" si="12"/>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955"/>
      <c r="Q43" s="1349">
        <f t="shared" si="13"/>
        <v>111</v>
      </c>
      <c r="R43" s="703" t="s">
        <v>14</v>
      </c>
      <c r="S43" s="704">
        <f t="shared" si="9"/>
        <v>100</v>
      </c>
      <c r="T43" s="703" t="s">
        <v>14</v>
      </c>
      <c r="U43" s="704">
        <f t="shared" si="10"/>
        <v>100</v>
      </c>
      <c r="V43" s="703" t="s">
        <v>14</v>
      </c>
      <c r="W43" s="704">
        <f t="shared" si="11"/>
        <v>100</v>
      </c>
      <c r="X43" s="1352"/>
      <c r="Y43" s="3955"/>
      <c r="Z43" s="1353">
        <f t="shared" si="12"/>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955"/>
      <c r="Q44" s="1349">
        <f t="shared" si="13"/>
        <v>111</v>
      </c>
      <c r="R44" s="703" t="s">
        <v>14</v>
      </c>
      <c r="S44" s="704">
        <f t="shared" si="9"/>
        <v>100</v>
      </c>
      <c r="T44" s="703" t="s">
        <v>14</v>
      </c>
      <c r="U44" s="704">
        <f t="shared" si="10"/>
        <v>100</v>
      </c>
      <c r="V44" s="703" t="s">
        <v>14</v>
      </c>
      <c r="W44" s="704">
        <f t="shared" si="11"/>
        <v>100</v>
      </c>
      <c r="X44" s="1352"/>
      <c r="Y44" s="3955"/>
      <c r="Z44" s="1353">
        <f t="shared" si="12"/>
        <v>111</v>
      </c>
      <c r="AA44" s="1350">
        <f t="shared" si="3"/>
        <v>1</v>
      </c>
      <c r="AB44" s="1350">
        <f t="shared" si="4"/>
        <v>1</v>
      </c>
      <c r="AC44" s="1350">
        <f t="shared" si="5"/>
        <v>1</v>
      </c>
    </row>
    <row r="45" spans="1:29" s="421" customFormat="1" ht="15.6"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955"/>
      <c r="Q45" s="1349">
        <f t="shared" si="13"/>
        <v>111</v>
      </c>
      <c r="R45" s="706" t="s">
        <v>14</v>
      </c>
      <c r="S45" s="707">
        <f t="shared" si="9"/>
        <v>100</v>
      </c>
      <c r="T45" s="706" t="s">
        <v>14</v>
      </c>
      <c r="U45" s="707">
        <f t="shared" si="10"/>
        <v>100</v>
      </c>
      <c r="V45" s="706" t="s">
        <v>14</v>
      </c>
      <c r="W45" s="707">
        <f t="shared" si="11"/>
        <v>100</v>
      </c>
      <c r="X45" s="708"/>
      <c r="Y45" s="3955"/>
      <c r="Z45" s="709">
        <f t="shared" si="12"/>
        <v>111</v>
      </c>
      <c r="AA45" s="1350">
        <f t="shared" si="3"/>
        <v>1</v>
      </c>
      <c r="AB45" s="1350">
        <f t="shared" si="4"/>
        <v>1</v>
      </c>
      <c r="AC45" s="1350">
        <f t="shared" si="5"/>
        <v>1</v>
      </c>
    </row>
    <row r="46" spans="1:29" ht="14.4">
      <c r="A46" s="429" t="s">
        <v>1843</v>
      </c>
      <c r="B46" s="1979" t="s">
        <v>1878</v>
      </c>
      <c r="C46" s="629" t="s">
        <v>0</v>
      </c>
      <c r="D46" s="431"/>
      <c r="E46" s="432"/>
      <c r="F46" s="433"/>
      <c r="G46" s="434"/>
      <c r="H46" s="435"/>
      <c r="I46" s="432"/>
      <c r="J46" s="435"/>
      <c r="K46" s="712"/>
      <c r="L46" s="2721"/>
      <c r="M46" s="2722"/>
      <c r="N46" s="2713"/>
      <c r="O46" s="2722"/>
      <c r="P46" s="3948" t="str">
        <f>A46</f>
        <v>成交单价</v>
      </c>
      <c r="Q46" s="3948"/>
      <c r="R46" s="3943">
        <f>E46</f>
        <v>0</v>
      </c>
      <c r="S46" s="3943"/>
      <c r="T46" s="3943">
        <f>G46</f>
        <v>0</v>
      </c>
      <c r="U46" s="3943"/>
      <c r="V46" s="3943">
        <f>I46</f>
        <v>0</v>
      </c>
      <c r="W46" s="3943"/>
      <c r="X46" s="688"/>
      <c r="Y46" s="710"/>
      <c r="Z46" s="688"/>
      <c r="AA46" s="688"/>
      <c r="AB46" s="688"/>
      <c r="AC46" s="688"/>
    </row>
    <row r="47" spans="1:29" ht="15" thickBot="1">
      <c r="A47" s="436" t="s">
        <v>1792</v>
      </c>
      <c r="B47" s="630"/>
      <c r="C47" s="439" t="e">
        <f>R48</f>
        <v>#DIV/0!</v>
      </c>
      <c r="D47" s="2314" t="s">
        <v>2137</v>
      </c>
      <c r="E47" s="439" t="e">
        <f>R47</f>
        <v>#DIV/0!</v>
      </c>
      <c r="F47" s="2315"/>
      <c r="G47" s="438" t="e">
        <f>T47</f>
        <v>#DIV/0!</v>
      </c>
      <c r="H47" s="2315"/>
      <c r="I47" s="439" t="e">
        <f>V47</f>
        <v>#DIV/0!</v>
      </c>
      <c r="J47" s="2315"/>
      <c r="K47" s="2317">
        <f>F47+H47+J47</f>
        <v>0</v>
      </c>
      <c r="L47" s="2721"/>
      <c r="M47" s="2722"/>
      <c r="N47" s="2722"/>
      <c r="O47" s="2722"/>
      <c r="P47" s="3948" t="str">
        <f>A47</f>
        <v>比较价值（元/平方米）</v>
      </c>
      <c r="Q47" s="3948"/>
      <c r="R47" s="3976" t="e">
        <f>ROUND(PRODUCT(R46,AA7:AA45),0)</f>
        <v>#DIV/0!</v>
      </c>
      <c r="S47" s="3976"/>
      <c r="T47" s="3976" t="e">
        <f>ROUND(PRODUCT(T46,AB7:AB45),0)</f>
        <v>#DIV/0!</v>
      </c>
      <c r="U47" s="3976"/>
      <c r="V47" s="3976" t="e">
        <f>ROUND(PRODUCT(V46,AC7:AC45),0)</f>
        <v>#DIV/0!</v>
      </c>
      <c r="W47" s="3976"/>
      <c r="X47" s="688"/>
      <c r="Y47" s="688"/>
      <c r="Z47" s="688"/>
      <c r="AA47" s="688"/>
      <c r="AB47" s="688"/>
      <c r="AC47" s="688"/>
    </row>
    <row r="48" spans="1:29" ht="15" thickBot="1">
      <c r="A48" s="440" t="s">
        <v>1879</v>
      </c>
      <c r="B48" s="441"/>
      <c r="C48" s="442" t="e">
        <f>R48</f>
        <v>#DIV/0!</v>
      </c>
      <c r="D48" s="442"/>
      <c r="E48" s="442"/>
      <c r="F48" s="442"/>
      <c r="G48" s="442"/>
      <c r="H48" s="442"/>
      <c r="I48" s="442"/>
      <c r="J48" s="442"/>
      <c r="K48" s="713"/>
      <c r="L48" s="2721"/>
      <c r="M48" s="2722"/>
      <c r="N48" s="2722"/>
      <c r="O48" s="2722"/>
      <c r="P48" s="3945" t="str">
        <f>A48</f>
        <v>估价对象XX用房的比较价值（楼面单价，元/平方米）</v>
      </c>
      <c r="Q48" s="3946"/>
      <c r="R48" s="3977" t="e">
        <f>ROUND(IF(D47="简单平均",AVERAGE(R47:W47),R47*F47+T47*H47+V47*J47),0)</f>
        <v>#DIV/0!</v>
      </c>
      <c r="S48" s="3977"/>
      <c r="T48" s="3977"/>
      <c r="U48" s="3977"/>
      <c r="V48" s="3977"/>
      <c r="W48" s="3977"/>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4.4"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1880</v>
      </c>
      <c r="B55" s="632" t="s">
        <v>1881</v>
      </c>
      <c r="C55" s="1980" t="s">
        <v>1882</v>
      </c>
      <c r="D55" s="1981" t="s">
        <v>1883</v>
      </c>
      <c r="E55" s="633" t="s">
        <v>1884</v>
      </c>
      <c r="F55" s="888" t="s">
        <v>1885</v>
      </c>
      <c r="G55" s="3931" t="s">
        <v>1886</v>
      </c>
      <c r="H55" s="3978"/>
      <c r="I55" s="134"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1889</v>
      </c>
      <c r="B56" s="636" t="e">
        <f>C48</f>
        <v>#DIV/0!</v>
      </c>
      <c r="C56" s="637">
        <v>1</v>
      </c>
      <c r="D56" s="942">
        <v>1</v>
      </c>
      <c r="E56" s="637">
        <f>'数据-汇总表'!E8+'数据-汇总表'!E9</f>
        <v>23912</v>
      </c>
      <c r="F56" s="884" t="e">
        <f t="shared" ref="F56:F64" si="14">ROUND(B56*E56/10000,0)</f>
        <v>#DIV/0!</v>
      </c>
      <c r="G56" s="3930"/>
      <c r="H56" s="3948"/>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1890</v>
      </c>
      <c r="B57" s="217" t="e">
        <f>ROUND($C$48*C57*D57,0)</f>
        <v>#DIV/0!</v>
      </c>
      <c r="C57" s="170">
        <f t="shared" ref="C57:C64" si="15">IF($C$55="北京市系数",I57,J57)</f>
        <v>0</v>
      </c>
      <c r="D57" s="943">
        <v>0.25</v>
      </c>
      <c r="E57" s="641"/>
      <c r="F57" s="884" t="e">
        <f t="shared" si="14"/>
        <v>#DIV/0!</v>
      </c>
      <c r="G57" s="3003" t="s">
        <v>1891</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1892</v>
      </c>
      <c r="B58" s="217" t="e">
        <f t="shared" ref="B58:B64" si="16">ROUND($C$48*C58*D58,0)</f>
        <v>#DIV/0!</v>
      </c>
      <c r="C58" s="170">
        <f t="shared" si="15"/>
        <v>0</v>
      </c>
      <c r="D58" s="943">
        <v>0.25</v>
      </c>
      <c r="E58" s="641"/>
      <c r="F58" s="884" t="e">
        <f t="shared" si="14"/>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1893</v>
      </c>
      <c r="B59" s="217" t="e">
        <f t="shared" si="16"/>
        <v>#DIV/0!</v>
      </c>
      <c r="C59" s="170">
        <f t="shared" si="15"/>
        <v>0</v>
      </c>
      <c r="D59" s="943">
        <v>0.25</v>
      </c>
      <c r="E59" s="641"/>
      <c r="F59" s="884" t="e">
        <f t="shared" si="14"/>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1894</v>
      </c>
      <c r="B60" s="217" t="e">
        <f t="shared" si="16"/>
        <v>#DIV/0!</v>
      </c>
      <c r="C60" s="170">
        <f t="shared" si="15"/>
        <v>0</v>
      </c>
      <c r="D60" s="943">
        <v>0.25</v>
      </c>
      <c r="E60" s="216">
        <f>'数据-汇总表'!E11</f>
        <v>0</v>
      </c>
      <c r="F60" s="884" t="e">
        <f t="shared" si="14"/>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1896</v>
      </c>
      <c r="B61" s="217" t="e">
        <f t="shared" si="16"/>
        <v>#DIV/0!</v>
      </c>
      <c r="C61" s="170">
        <f t="shared" si="15"/>
        <v>0</v>
      </c>
      <c r="D61" s="943">
        <v>0.25</v>
      </c>
      <c r="E61" s="216">
        <f>'数据-汇总表'!E12</f>
        <v>3422</v>
      </c>
      <c r="F61" s="884" t="e">
        <f t="shared" si="14"/>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1898</v>
      </c>
      <c r="B62" s="217" t="e">
        <f t="shared" si="16"/>
        <v>#DIV/0!</v>
      </c>
      <c r="C62" s="170">
        <f t="shared" si="15"/>
        <v>0</v>
      </c>
      <c r="D62" s="943">
        <v>0.25</v>
      </c>
      <c r="E62" s="216">
        <f>'数据-汇总表'!E13</f>
        <v>10279.290000000001</v>
      </c>
      <c r="F62" s="884" t="e">
        <f t="shared" si="14"/>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1900</v>
      </c>
      <c r="B63" s="217" t="e">
        <f t="shared" si="16"/>
        <v>#DIV/0!</v>
      </c>
      <c r="C63" s="170">
        <f t="shared" si="15"/>
        <v>0</v>
      </c>
      <c r="D63" s="943">
        <v>0.25</v>
      </c>
      <c r="E63" s="216">
        <f>'数据-汇总表'!E14</f>
        <v>0</v>
      </c>
      <c r="F63" s="884" t="e">
        <f t="shared" si="14"/>
        <v>#DIV/0!</v>
      </c>
      <c r="G63" s="1984" t="s">
        <v>1891</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4.4" thickBot="1">
      <c r="A64" s="640" t="s">
        <v>1901</v>
      </c>
      <c r="B64" s="217" t="e">
        <f t="shared" si="16"/>
        <v>#DIV/0!</v>
      </c>
      <c r="C64" s="170">
        <f t="shared" si="15"/>
        <v>0</v>
      </c>
      <c r="D64" s="943">
        <v>0.25</v>
      </c>
      <c r="E64" s="216">
        <f>'数据-汇总表'!E15</f>
        <v>0</v>
      </c>
      <c r="F64" s="884" t="e">
        <f t="shared" si="14"/>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thickBot="1">
      <c r="A65" s="642" t="s">
        <v>1902</v>
      </c>
      <c r="B65" s="643" t="s">
        <v>22</v>
      </c>
      <c r="C65" s="643" t="s">
        <v>23</v>
      </c>
      <c r="D65" s="643" t="s">
        <v>392</v>
      </c>
      <c r="E65" s="643">
        <f>IF(B46="楼面地价",SUM(E56:E64),'数据-汇总表'!D3)</f>
        <v>37613.29</v>
      </c>
      <c r="F65" s="644"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2024-8-1</v>
      </c>
      <c r="D67" s="690">
        <f>EDATE(C67,-3)</f>
        <v>45413</v>
      </c>
      <c r="E67" s="690">
        <f>EDATE(D67,-3)</f>
        <v>45323</v>
      </c>
      <c r="F67" s="690">
        <f t="shared" ref="F67:O67" si="17">EDATE(E67,-3)</f>
        <v>45231</v>
      </c>
      <c r="G67" s="690">
        <f t="shared" si="17"/>
        <v>45139</v>
      </c>
      <c r="H67" s="690">
        <f t="shared" si="17"/>
        <v>45047</v>
      </c>
      <c r="I67" s="690">
        <f t="shared" si="17"/>
        <v>44958</v>
      </c>
      <c r="J67" s="690">
        <f t="shared" si="17"/>
        <v>44866</v>
      </c>
      <c r="K67" s="690">
        <f t="shared" si="17"/>
        <v>44774</v>
      </c>
      <c r="L67" s="690">
        <f t="shared" si="17"/>
        <v>44682</v>
      </c>
      <c r="M67" s="690">
        <f t="shared" si="17"/>
        <v>44593</v>
      </c>
      <c r="N67" s="690">
        <f t="shared" si="17"/>
        <v>44501</v>
      </c>
      <c r="O67" s="690">
        <f t="shared" si="17"/>
        <v>44409</v>
      </c>
      <c r="P67" s="2722"/>
      <c r="Q67" s="2722"/>
      <c r="R67" s="2722"/>
      <c r="S67" s="2722"/>
      <c r="T67" s="2722"/>
      <c r="U67" s="2722"/>
      <c r="V67" s="2722"/>
      <c r="W67" s="2722"/>
      <c r="X67" s="2722"/>
      <c r="Y67" s="2722"/>
      <c r="Z67" s="2722"/>
      <c r="AA67" s="2722"/>
      <c r="AB67" s="2722"/>
      <c r="AC67" s="2722"/>
    </row>
    <row r="68" spans="1:29" ht="22.2"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6" customFormat="1" ht="14.4">
      <c r="A69" s="1986" t="s">
        <v>1903</v>
      </c>
      <c r="B69" s="1106"/>
      <c r="C69" s="1179" t="str">
        <f>YEAR(C67)&amp;"-"&amp;ROUNDUP(MONTH(C67)/3,0)</f>
        <v>2024-3</v>
      </c>
      <c r="D69" s="1179" t="str">
        <f>YEAR(D67)&amp;"-"&amp;ROUNDUP(MONTH(D67)/3,0)</f>
        <v>2024-2</v>
      </c>
      <c r="E69" s="1179" t="str">
        <f t="shared" ref="E69:O69" si="18">YEAR(E67)&amp;"-"&amp;ROUNDUP(MONTH(E67)/3,0)</f>
        <v>2024-1</v>
      </c>
      <c r="F69" s="1179" t="str">
        <f t="shared" si="18"/>
        <v>2023-4</v>
      </c>
      <c r="G69" s="1179" t="str">
        <f t="shared" si="18"/>
        <v>2023-3</v>
      </c>
      <c r="H69" s="1179" t="str">
        <f t="shared" si="18"/>
        <v>2023-2</v>
      </c>
      <c r="I69" s="1179" t="str">
        <f t="shared" si="18"/>
        <v>2023-1</v>
      </c>
      <c r="J69" s="1179" t="str">
        <f t="shared" si="18"/>
        <v>2022-4</v>
      </c>
      <c r="K69" s="1179" t="str">
        <f t="shared" si="18"/>
        <v>2022-3</v>
      </c>
      <c r="L69" s="1179" t="str">
        <f t="shared" si="18"/>
        <v>2022-2</v>
      </c>
      <c r="M69" s="1179" t="str">
        <f t="shared" si="18"/>
        <v>2022-1</v>
      </c>
      <c r="N69" s="1179" t="str">
        <f t="shared" si="18"/>
        <v>2021-4</v>
      </c>
      <c r="O69" s="1179" t="str">
        <f t="shared" si="18"/>
        <v>2021-3</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6"/>
      <c r="Q70" s="2658"/>
      <c r="R70" s="2658"/>
      <c r="S70" s="2658"/>
      <c r="T70" s="2658"/>
      <c r="U70" s="2658"/>
      <c r="V70" s="2658"/>
      <c r="W70" s="2658"/>
      <c r="X70" s="2658"/>
      <c r="Y70" s="2658"/>
      <c r="Z70" s="2658"/>
      <c r="AA70" s="2658"/>
      <c r="AB70" s="2658"/>
      <c r="AC70" s="2658"/>
    </row>
    <row r="71" spans="1:29" s="108" customFormat="1" ht="15" thickBot="1">
      <c r="A71" s="463" t="s">
        <v>1715</v>
      </c>
      <c r="B71" s="464"/>
      <c r="C71" s="465"/>
      <c r="D71" s="466"/>
      <c r="E71" s="466"/>
      <c r="F71" s="466"/>
      <c r="G71" s="466"/>
      <c r="H71" s="466"/>
      <c r="I71" s="466"/>
      <c r="J71" s="466"/>
      <c r="K71" s="466"/>
      <c r="L71" s="466"/>
      <c r="M71" s="467"/>
      <c r="N71" s="466"/>
      <c r="O71" s="941"/>
      <c r="P71" s="2736"/>
      <c r="Q71" s="2736"/>
      <c r="R71" s="2658"/>
      <c r="S71" s="2658"/>
      <c r="T71" s="2658"/>
      <c r="U71" s="2658"/>
      <c r="V71" s="2658"/>
      <c r="W71" s="2658"/>
      <c r="X71" s="2658"/>
      <c r="Y71" s="2658"/>
      <c r="Z71" s="2658"/>
      <c r="AA71" s="2658"/>
      <c r="AB71" s="2658"/>
      <c r="AC71" s="2658"/>
    </row>
    <row r="72" spans="1:29" s="108" customFormat="1" ht="14.4">
      <c r="A72" s="469" t="s">
        <v>1680</v>
      </c>
      <c r="B72" s="458"/>
      <c r="C72" s="470" t="s">
        <v>1775</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4.4"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ht="14.4">
      <c r="A74" s="475" t="s">
        <v>1718</v>
      </c>
      <c r="B74" s="476" t="s">
        <v>1684</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4.4"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9.4" thickTop="1">
      <c r="A76" s="482"/>
      <c r="B76" s="486" t="s">
        <v>1687</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4.4"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 thickTop="1">
      <c r="A78" s="482"/>
      <c r="B78" s="494" t="s">
        <v>1688</v>
      </c>
      <c r="C78" s="495" t="str">
        <f>C79&amp;"（含）"&amp;"-"&amp;D79</f>
        <v>（含）-</v>
      </c>
      <c r="D78" s="495" t="str">
        <f t="shared" ref="D78:L78" si="19">D79&amp;"（含）"&amp;"-"&amp;E79</f>
        <v>（含）-</v>
      </c>
      <c r="E78" s="495" t="str">
        <f t="shared" si="19"/>
        <v>（含）-</v>
      </c>
      <c r="F78" s="495" t="str">
        <f t="shared" si="19"/>
        <v>（含）-</v>
      </c>
      <c r="G78" s="495" t="str">
        <f t="shared" si="19"/>
        <v>（含）-</v>
      </c>
      <c r="H78" s="495" t="str">
        <f t="shared" si="19"/>
        <v>（含）-</v>
      </c>
      <c r="I78" s="495" t="str">
        <f t="shared" si="19"/>
        <v>（含）-</v>
      </c>
      <c r="J78" s="495" t="str">
        <f t="shared" si="19"/>
        <v>（含）-</v>
      </c>
      <c r="K78" s="495" t="str">
        <f t="shared" si="19"/>
        <v>（含）-</v>
      </c>
      <c r="L78" s="495" t="str">
        <f t="shared" si="19"/>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4.4" thickBot="1">
      <c r="A80" s="482"/>
      <c r="B80" s="483"/>
      <c r="C80" s="492">
        <v>100</v>
      </c>
      <c r="D80" s="492">
        <f t="shared" ref="D80:M80" si="20">IF($B$46="单位面积地价",C80+$K11,C80-$K11)</f>
        <v>100</v>
      </c>
      <c r="E80" s="492">
        <f t="shared" si="20"/>
        <v>100</v>
      </c>
      <c r="F80" s="492">
        <f t="shared" si="20"/>
        <v>100</v>
      </c>
      <c r="G80" s="492">
        <f t="shared" si="20"/>
        <v>100</v>
      </c>
      <c r="H80" s="492">
        <f t="shared" si="20"/>
        <v>100</v>
      </c>
      <c r="I80" s="492">
        <f t="shared" si="20"/>
        <v>100</v>
      </c>
      <c r="J80" s="492">
        <f t="shared" si="20"/>
        <v>100</v>
      </c>
      <c r="K80" s="492">
        <f t="shared" si="20"/>
        <v>100</v>
      </c>
      <c r="L80" s="492">
        <f t="shared" si="20"/>
        <v>100</v>
      </c>
      <c r="M80" s="492">
        <f t="shared" si="20"/>
        <v>100</v>
      </c>
      <c r="N80" s="2751"/>
      <c r="O80" s="2751"/>
      <c r="P80" s="2775"/>
      <c r="Q80" s="2736"/>
      <c r="R80" s="2722"/>
      <c r="S80" s="2722"/>
      <c r="T80" s="2722"/>
      <c r="U80" s="2722"/>
      <c r="V80" s="2722"/>
      <c r="W80" s="2722"/>
      <c r="X80" s="2722"/>
      <c r="Y80" s="2722"/>
      <c r="Z80" s="2722"/>
      <c r="AA80" s="2722"/>
      <c r="AB80" s="2722"/>
      <c r="AC80" s="2722"/>
    </row>
    <row r="81" spans="1:29" s="421" customFormat="1" ht="14.4"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4.4"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4.4"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4.4"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4.4"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4.4"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ht="14.4">
      <c r="A87" s="475" t="s">
        <v>1689</v>
      </c>
      <c r="B87" s="476" t="s">
        <v>1719</v>
      </c>
      <c r="C87" s="521" t="s">
        <v>1720</v>
      </c>
      <c r="D87" s="521" t="s">
        <v>1721</v>
      </c>
      <c r="E87" s="521" t="s">
        <v>1722</v>
      </c>
      <c r="F87" s="521" t="s">
        <v>1723</v>
      </c>
      <c r="G87" s="521" t="s">
        <v>1724</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 thickTop="1">
      <c r="A89" s="482"/>
      <c r="B89" s="486" t="s">
        <v>1905</v>
      </c>
      <c r="C89" s="526" t="s">
        <v>1720</v>
      </c>
      <c r="D89" s="526" t="s">
        <v>1721</v>
      </c>
      <c r="E89" s="526" t="s">
        <v>1722</v>
      </c>
      <c r="F89" s="526" t="s">
        <v>1723</v>
      </c>
      <c r="G89" s="526" t="s">
        <v>1724</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 thickTop="1">
      <c r="A91" s="482"/>
      <c r="B91" s="486" t="s">
        <v>1820</v>
      </c>
      <c r="C91" s="526" t="s">
        <v>1720</v>
      </c>
      <c r="D91" s="526" t="s">
        <v>1721</v>
      </c>
      <c r="E91" s="526" t="s">
        <v>1722</v>
      </c>
      <c r="F91" s="526" t="s">
        <v>1723</v>
      </c>
      <c r="G91" s="526" t="s">
        <v>1724</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 thickTop="1">
      <c r="A93" s="482"/>
      <c r="B93" s="486" t="s">
        <v>1725</v>
      </c>
      <c r="C93" s="526" t="s">
        <v>1720</v>
      </c>
      <c r="D93" s="526" t="s">
        <v>1721</v>
      </c>
      <c r="E93" s="526" t="s">
        <v>1722</v>
      </c>
      <c r="F93" s="526" t="s">
        <v>1723</v>
      </c>
      <c r="G93" s="526" t="s">
        <v>1724</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29.4" thickTop="1">
      <c r="A95" s="527"/>
      <c r="B95" s="486" t="s">
        <v>1906</v>
      </c>
      <c r="C95" s="526" t="s">
        <v>1720</v>
      </c>
      <c r="D95" s="526" t="s">
        <v>1721</v>
      </c>
      <c r="E95" s="526" t="s">
        <v>1722</v>
      </c>
      <c r="F95" s="526" t="s">
        <v>1723</v>
      </c>
      <c r="G95" s="526" t="s">
        <v>1724</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9.4" thickTop="1">
      <c r="A97" s="527"/>
      <c r="B97" s="486" t="s">
        <v>1907</v>
      </c>
      <c r="C97" s="521" t="s">
        <v>1720</v>
      </c>
      <c r="D97" s="521" t="s">
        <v>1721</v>
      </c>
      <c r="E97" s="521" t="s">
        <v>1722</v>
      </c>
      <c r="F97" s="521" t="s">
        <v>1723</v>
      </c>
      <c r="G97" s="521" t="s">
        <v>1724</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 thickTop="1">
      <c r="A99" s="501"/>
      <c r="B99" s="486" t="s">
        <v>1777</v>
      </c>
      <c r="C99" s="521" t="s">
        <v>1720</v>
      </c>
      <c r="D99" s="521" t="s">
        <v>1721</v>
      </c>
      <c r="E99" s="521" t="s">
        <v>1722</v>
      </c>
      <c r="F99" s="521" t="s">
        <v>1723</v>
      </c>
      <c r="G99" s="521" t="s">
        <v>1724</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 thickTop="1">
      <c r="A101" s="501"/>
      <c r="B101" s="494" t="s">
        <v>1778</v>
      </c>
      <c r="C101" s="607" t="s">
        <v>1798</v>
      </c>
      <c r="D101" s="607" t="s">
        <v>1799</v>
      </c>
      <c r="E101" s="607" t="s">
        <v>1800</v>
      </c>
      <c r="F101" s="607" t="s">
        <v>1801</v>
      </c>
      <c r="G101" s="607" t="s">
        <v>1802</v>
      </c>
      <c r="H101" s="548"/>
      <c r="I101" s="548"/>
      <c r="J101" s="548"/>
      <c r="K101" s="548"/>
      <c r="L101" s="548"/>
      <c r="M101" s="1129"/>
      <c r="N101" s="2752"/>
      <c r="O101" s="2752"/>
      <c r="P101" s="2776"/>
      <c r="Q101" s="2743"/>
      <c r="R101" s="2744"/>
      <c r="S101" s="2744"/>
      <c r="T101" s="2744"/>
      <c r="U101" s="2744"/>
      <c r="V101" s="2744"/>
      <c r="W101" s="2744"/>
      <c r="X101" s="2744"/>
      <c r="Y101" s="2744"/>
      <c r="Z101" s="2744"/>
      <c r="AA101" s="2744"/>
      <c r="AB101" s="2744"/>
      <c r="AC101" s="2744"/>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29"/>
      <c r="N102" s="2752"/>
      <c r="O102" s="2752"/>
      <c r="P102" s="2776"/>
      <c r="Q102" s="2743"/>
      <c r="R102" s="2744"/>
      <c r="S102" s="2744"/>
      <c r="T102" s="2744"/>
      <c r="U102" s="2744"/>
      <c r="V102" s="2744"/>
      <c r="W102" s="2744"/>
      <c r="X102" s="2744"/>
      <c r="Y102" s="2744"/>
      <c r="Z102" s="2744"/>
      <c r="AA102" s="2744"/>
      <c r="AB102" s="2744"/>
      <c r="AC102" s="2744"/>
    </row>
    <row r="103" spans="1:29" ht="15" thickTop="1">
      <c r="A103" s="482"/>
      <c r="B103" s="486" t="str">
        <f>B31</f>
        <v>临街状况</v>
      </c>
      <c r="C103" s="487" t="s">
        <v>1908</v>
      </c>
      <c r="D103" s="487" t="s">
        <v>1909</v>
      </c>
      <c r="E103" s="487" t="s">
        <v>1910</v>
      </c>
      <c r="F103" s="487" t="s">
        <v>1911</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4.4" thickBot="1">
      <c r="A104" s="482"/>
      <c r="B104" s="491"/>
      <c r="C104" s="492">
        <v>100</v>
      </c>
      <c r="D104" s="492">
        <f t="shared" ref="D104:M104" si="21">C104-$K31</f>
        <v>100</v>
      </c>
      <c r="E104" s="492">
        <f t="shared" si="21"/>
        <v>100</v>
      </c>
      <c r="F104" s="492">
        <f t="shared" si="21"/>
        <v>100</v>
      </c>
      <c r="G104" s="492">
        <f t="shared" si="21"/>
        <v>100</v>
      </c>
      <c r="H104" s="492">
        <f t="shared" si="21"/>
        <v>100</v>
      </c>
      <c r="I104" s="492">
        <f t="shared" si="21"/>
        <v>100</v>
      </c>
      <c r="J104" s="492">
        <f t="shared" si="21"/>
        <v>100</v>
      </c>
      <c r="K104" s="492">
        <f t="shared" si="21"/>
        <v>100</v>
      </c>
      <c r="L104" s="492">
        <f t="shared" si="21"/>
        <v>100</v>
      </c>
      <c r="M104" s="492">
        <f t="shared" si="21"/>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2"/>
      <c r="B105" s="486" t="s">
        <v>1814</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2">C106-$K32</f>
        <v>100</v>
      </c>
      <c r="E106" s="492">
        <f t="shared" si="22"/>
        <v>100</v>
      </c>
      <c r="F106" s="492">
        <f t="shared" si="22"/>
        <v>100</v>
      </c>
      <c r="G106" s="492">
        <f t="shared" si="22"/>
        <v>100</v>
      </c>
      <c r="H106" s="492">
        <f t="shared" si="22"/>
        <v>100</v>
      </c>
      <c r="I106" s="492">
        <f t="shared" si="22"/>
        <v>100</v>
      </c>
      <c r="J106" s="492">
        <f t="shared" si="22"/>
        <v>100</v>
      </c>
      <c r="K106" s="492">
        <f t="shared" si="22"/>
        <v>100</v>
      </c>
      <c r="L106" s="492">
        <f t="shared" si="22"/>
        <v>100</v>
      </c>
      <c r="M106" s="492">
        <f t="shared" si="22"/>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2"/>
      <c r="B107" s="486" t="s">
        <v>1872</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3">C108-$K34</f>
        <v>100</v>
      </c>
      <c r="E108" s="492">
        <f t="shared" si="23"/>
        <v>100</v>
      </c>
      <c r="F108" s="492">
        <f t="shared" si="23"/>
        <v>100</v>
      </c>
      <c r="G108" s="492">
        <f t="shared" si="23"/>
        <v>100</v>
      </c>
      <c r="H108" s="492">
        <f t="shared" si="23"/>
        <v>100</v>
      </c>
      <c r="I108" s="492">
        <f t="shared" si="23"/>
        <v>100</v>
      </c>
      <c r="J108" s="492">
        <f t="shared" si="23"/>
        <v>100</v>
      </c>
      <c r="K108" s="492">
        <f t="shared" si="23"/>
        <v>100</v>
      </c>
      <c r="L108" s="492">
        <f t="shared" si="23"/>
        <v>100</v>
      </c>
      <c r="M108" s="492">
        <f t="shared" si="23"/>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4.4"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4.4"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4.4"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4.4"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4.4"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ht="14.4">
      <c r="A115" s="475" t="s">
        <v>1693</v>
      </c>
      <c r="B115" s="476" t="s">
        <v>1912</v>
      </c>
      <c r="C115" s="477" t="str">
        <f>C116&amp;"(含)"&amp;"-"&amp;D116</f>
        <v>(含)-</v>
      </c>
      <c r="D115" s="477" t="str">
        <f t="shared" ref="D115:M115" si="24">D116&amp;"(含)"&amp;"-"&amp;E116</f>
        <v>(含)-</v>
      </c>
      <c r="E115" s="477" t="str">
        <f t="shared" si="24"/>
        <v>(含)-</v>
      </c>
      <c r="F115" s="477" t="str">
        <f t="shared" si="24"/>
        <v>(含)-</v>
      </c>
      <c r="G115" s="477" t="str">
        <f t="shared" si="24"/>
        <v>(含)-</v>
      </c>
      <c r="H115" s="477" t="str">
        <f t="shared" si="24"/>
        <v>(含)-</v>
      </c>
      <c r="I115" s="477" t="str">
        <f t="shared" si="24"/>
        <v>(含)-</v>
      </c>
      <c r="J115" s="477" t="str">
        <f t="shared" si="24"/>
        <v>(含)-</v>
      </c>
      <c r="K115" s="477" t="str">
        <f t="shared" si="24"/>
        <v>(含)-</v>
      </c>
      <c r="L115" s="477" t="str">
        <f t="shared" si="24"/>
        <v>(含)-</v>
      </c>
      <c r="M115" s="477" t="str">
        <f t="shared" si="24"/>
        <v>(含)-</v>
      </c>
      <c r="N115" s="2750"/>
      <c r="O115" s="2750"/>
      <c r="P115" s="2775"/>
      <c r="Q115" s="2736"/>
      <c r="R115" s="2722"/>
      <c r="S115" s="2722"/>
      <c r="T115" s="2722"/>
      <c r="U115" s="2722"/>
      <c r="V115" s="2722"/>
      <c r="W115" s="2722"/>
      <c r="X115" s="2722"/>
      <c r="Y115" s="2722"/>
      <c r="Z115" s="2722"/>
      <c r="AA115" s="2722"/>
      <c r="AB115" s="2722"/>
      <c r="AC115" s="2722"/>
    </row>
    <row r="116" spans="1:29">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4.4"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1913</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4.4" thickBot="1">
      <c r="A119" s="482"/>
      <c r="B119" s="491"/>
      <c r="C119" s="492">
        <v>100</v>
      </c>
      <c r="D119" s="492">
        <f t="shared" ref="D119:M119" si="25">C119-$K39</f>
        <v>100</v>
      </c>
      <c r="E119" s="492">
        <f t="shared" si="25"/>
        <v>100</v>
      </c>
      <c r="F119" s="492">
        <f t="shared" si="25"/>
        <v>100</v>
      </c>
      <c r="G119" s="492">
        <f t="shared" si="25"/>
        <v>100</v>
      </c>
      <c r="H119" s="492">
        <f t="shared" si="25"/>
        <v>100</v>
      </c>
      <c r="I119" s="492">
        <f t="shared" si="25"/>
        <v>100</v>
      </c>
      <c r="J119" s="492">
        <f t="shared" si="25"/>
        <v>100</v>
      </c>
      <c r="K119" s="492">
        <f t="shared" si="25"/>
        <v>100</v>
      </c>
      <c r="L119" s="492">
        <f t="shared" si="25"/>
        <v>100</v>
      </c>
      <c r="M119" s="493">
        <f t="shared" si="25"/>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1914</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4.4" thickBot="1">
      <c r="A121" s="482"/>
      <c r="B121" s="491"/>
      <c r="C121" s="492">
        <v>100</v>
      </c>
      <c r="D121" s="492">
        <f t="shared" ref="D121:M121" si="26">C121-$K40</f>
        <v>100</v>
      </c>
      <c r="E121" s="492">
        <f t="shared" si="26"/>
        <v>100</v>
      </c>
      <c r="F121" s="492">
        <f t="shared" si="26"/>
        <v>100</v>
      </c>
      <c r="G121" s="492">
        <f t="shared" si="26"/>
        <v>100</v>
      </c>
      <c r="H121" s="492">
        <f t="shared" si="26"/>
        <v>100</v>
      </c>
      <c r="I121" s="492">
        <f t="shared" si="26"/>
        <v>100</v>
      </c>
      <c r="J121" s="492">
        <f t="shared" si="26"/>
        <v>100</v>
      </c>
      <c r="K121" s="492">
        <f t="shared" si="26"/>
        <v>100</v>
      </c>
      <c r="L121" s="492">
        <f t="shared" si="26"/>
        <v>100</v>
      </c>
      <c r="M121" s="493">
        <f t="shared" si="26"/>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1915</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4.4" thickBot="1">
      <c r="A123" s="501"/>
      <c r="B123" s="491"/>
      <c r="C123" s="492">
        <v>100</v>
      </c>
      <c r="D123" s="492">
        <f t="shared" ref="D123:M123" si="27">C123-$K41</f>
        <v>100</v>
      </c>
      <c r="E123" s="492">
        <f t="shared" si="27"/>
        <v>100</v>
      </c>
      <c r="F123" s="492">
        <f t="shared" si="27"/>
        <v>100</v>
      </c>
      <c r="G123" s="492">
        <f t="shared" si="27"/>
        <v>100</v>
      </c>
      <c r="H123" s="492">
        <f t="shared" si="27"/>
        <v>100</v>
      </c>
      <c r="I123" s="492">
        <f t="shared" si="27"/>
        <v>100</v>
      </c>
      <c r="J123" s="492">
        <f t="shared" si="27"/>
        <v>100</v>
      </c>
      <c r="K123" s="492">
        <f t="shared" si="27"/>
        <v>100</v>
      </c>
      <c r="L123" s="492">
        <f t="shared" si="27"/>
        <v>100</v>
      </c>
      <c r="M123" s="493">
        <f t="shared" si="27"/>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1916</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 t="shared" ref="D125:M125" si="28">C125-$K42</f>
        <v>100</v>
      </c>
      <c r="E125" s="492">
        <f t="shared" si="28"/>
        <v>100</v>
      </c>
      <c r="F125" s="492">
        <f t="shared" si="28"/>
        <v>100</v>
      </c>
      <c r="G125" s="492">
        <f t="shared" si="28"/>
        <v>100</v>
      </c>
      <c r="H125" s="492">
        <f t="shared" si="28"/>
        <v>100</v>
      </c>
      <c r="I125" s="492">
        <f t="shared" si="28"/>
        <v>100</v>
      </c>
      <c r="J125" s="492">
        <f t="shared" si="28"/>
        <v>100</v>
      </c>
      <c r="K125" s="492">
        <f t="shared" si="28"/>
        <v>100</v>
      </c>
      <c r="L125" s="492">
        <f t="shared" si="28"/>
        <v>100</v>
      </c>
      <c r="M125" s="493">
        <f t="shared" si="28"/>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4.4"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4.4"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4.4"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4.4"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4.4"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0" priority="18" stopIfTrue="1" operator="containsText" text="超过">
      <formula>NOT(ISERROR(SEARCH("超过",F51)))</formula>
    </cfRule>
  </conditionalFormatting>
  <conditionalFormatting sqref="J53">
    <cfRule type="containsText" dxfId="29" priority="17" stopIfTrue="1" operator="containsText" text="超过">
      <formula>NOT(ISERROR(SEARCH("超过",J53)))</formula>
    </cfRule>
  </conditionalFormatting>
  <conditionalFormatting sqref="H53">
    <cfRule type="containsText" dxfId="28" priority="16" stopIfTrue="1" operator="containsText" text="超过">
      <formula>NOT(ISERROR(SEARCH("超过",H53)))</formula>
    </cfRule>
  </conditionalFormatting>
  <conditionalFormatting sqref="F53">
    <cfRule type="containsText" dxfId="27" priority="15" stopIfTrue="1" operator="containsText" text="超过">
      <formula>NOT(ISERROR(SEARCH("超过",F53)))</formula>
    </cfRule>
  </conditionalFormatting>
  <conditionalFormatting sqref="F52 H52 J52">
    <cfRule type="containsText" dxfId="26" priority="14" stopIfTrue="1" operator="containsText" text="超过">
      <formula>NOT(ISERROR(SEARCH("超过",F52)))</formula>
    </cfRule>
  </conditionalFormatting>
  <conditionalFormatting sqref="E51">
    <cfRule type="expression" dxfId="25" priority="13" stopIfTrue="1">
      <formula>$F$51="超过30%"</formula>
    </cfRule>
  </conditionalFormatting>
  <conditionalFormatting sqref="G53">
    <cfRule type="expression" dxfId="24" priority="12" stopIfTrue="1">
      <formula>$H$53="超过30%"</formula>
    </cfRule>
  </conditionalFormatting>
  <conditionalFormatting sqref="E52">
    <cfRule type="expression" dxfId="23" priority="11" stopIfTrue="1">
      <formula>$F$52="超过20%"</formula>
    </cfRule>
  </conditionalFormatting>
  <conditionalFormatting sqref="E53">
    <cfRule type="expression" dxfId="22" priority="10" stopIfTrue="1">
      <formula>$F$53="超过30%"</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I51">
    <cfRule type="expression" dxfId="19" priority="7" stopIfTrue="1">
      <formula>$J$51="超过30%"</formula>
    </cfRule>
  </conditionalFormatting>
  <conditionalFormatting sqref="I52">
    <cfRule type="expression" dxfId="18" priority="6" stopIfTrue="1">
      <formula>$J$52="超过20%"</formula>
    </cfRule>
  </conditionalFormatting>
  <conditionalFormatting sqref="I53">
    <cfRule type="expression" dxfId="17" priority="5" stopIfTrue="1">
      <formula>$J$53="超过30%"</formula>
    </cfRule>
  </conditionalFormatting>
  <conditionalFormatting sqref="F7:F45 H7:H45 J7:J45">
    <cfRule type="cellIs" dxfId="1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109375" style="356" customWidth="1"/>
    <col min="5" max="5" width="14.33203125" style="356" customWidth="1"/>
    <col min="6" max="6" width="12.109375" style="356" customWidth="1"/>
    <col min="7" max="7" width="14.44140625" style="356" customWidth="1"/>
    <col min="8" max="8" width="12.109375" style="356" customWidth="1"/>
    <col min="9" max="9" width="14.44140625" style="356" customWidth="1"/>
    <col min="10" max="10" width="12.109375" style="356" customWidth="1"/>
    <col min="11" max="11" width="12.109375" style="443" customWidth="1"/>
    <col min="12" max="12" width="12.109375" style="444" customWidth="1"/>
    <col min="13" max="15" width="12.109375" style="356" customWidth="1"/>
    <col min="16" max="16" width="4.77734375" style="356" customWidth="1"/>
    <col min="17" max="17" width="19.44140625" style="356" customWidth="1"/>
    <col min="18" max="22" width="6.109375" style="356" customWidth="1"/>
    <col min="23" max="23" width="5.77734375" style="356" customWidth="1"/>
    <col min="24" max="24" width="4.1093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1866</v>
      </c>
      <c r="B1" s="348"/>
      <c r="C1" s="349"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1461</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1463</v>
      </c>
      <c r="B3" s="557" t="e">
        <f>ROUND(IF(D3="",B2*10000/'数据-汇总表'!E3,B2*10000/D3),0)</f>
        <v>#DIV/0!</v>
      </c>
      <c r="C3" s="202"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4" t="s">
        <v>1768</v>
      </c>
      <c r="B4" s="355"/>
      <c r="C4" s="3931" t="s">
        <v>1769</v>
      </c>
      <c r="D4" s="3932"/>
      <c r="E4" s="3933" t="s">
        <v>1770</v>
      </c>
      <c r="F4" s="3934"/>
      <c r="G4" s="3931" t="s">
        <v>1771</v>
      </c>
      <c r="H4" s="3932"/>
      <c r="I4" s="3931" t="s">
        <v>1772</v>
      </c>
      <c r="J4" s="3932"/>
      <c r="K4" s="558" t="s">
        <v>1773</v>
      </c>
      <c r="L4" s="2712"/>
      <c r="M4" s="2713"/>
      <c r="N4" s="2713"/>
      <c r="O4" s="2713"/>
      <c r="P4" s="3935" t="s">
        <v>1774</v>
      </c>
      <c r="Q4" s="3936"/>
      <c r="R4" s="3918" t="s">
        <v>1770</v>
      </c>
      <c r="S4" s="3919"/>
      <c r="T4" s="3918" t="s">
        <v>1771</v>
      </c>
      <c r="U4" s="3919"/>
      <c r="V4" s="3943" t="s">
        <v>1772</v>
      </c>
      <c r="W4" s="3943"/>
      <c r="X4" s="1352"/>
      <c r="Y4" s="3918" t="s">
        <v>1774</v>
      </c>
      <c r="Z4" s="3919"/>
      <c r="AA4" s="3913" t="s">
        <v>1770</v>
      </c>
      <c r="AB4" s="3914" t="s">
        <v>1771</v>
      </c>
      <c r="AC4" s="3913" t="s">
        <v>1772</v>
      </c>
    </row>
    <row r="5" spans="1:29">
      <c r="A5" s="357"/>
      <c r="B5" s="358"/>
      <c r="C5" s="3924" t="s">
        <v>1672</v>
      </c>
      <c r="D5" s="3925"/>
      <c r="E5" s="3922" t="s">
        <v>1673</v>
      </c>
      <c r="F5" s="3923"/>
      <c r="G5" s="3924" t="s">
        <v>1674</v>
      </c>
      <c r="H5" s="3925"/>
      <c r="I5" s="3924" t="s">
        <v>1675</v>
      </c>
      <c r="J5" s="3925"/>
      <c r="K5" s="558"/>
      <c r="L5" s="2712"/>
      <c r="M5" s="2713"/>
      <c r="N5" s="2713"/>
      <c r="O5" s="2713"/>
      <c r="P5" s="3937"/>
      <c r="Q5" s="3938"/>
      <c r="R5" s="3920"/>
      <c r="S5" s="3921"/>
      <c r="T5" s="3920"/>
      <c r="U5" s="3921"/>
      <c r="V5" s="3943"/>
      <c r="W5" s="3943"/>
      <c r="X5" s="1352"/>
      <c r="Y5" s="3920"/>
      <c r="Z5" s="3921"/>
      <c r="AA5" s="3914"/>
      <c r="AB5" s="3914"/>
      <c r="AC5" s="3914"/>
    </row>
    <row r="6" spans="1:29" ht="15" thickBot="1">
      <c r="A6" s="359"/>
      <c r="B6" s="360"/>
      <c r="C6" s="3979" t="s">
        <v>1918</v>
      </c>
      <c r="D6" s="3980"/>
      <c r="E6" s="3981" t="s">
        <v>1918</v>
      </c>
      <c r="F6" s="3982"/>
      <c r="G6" s="3979" t="s">
        <v>1918</v>
      </c>
      <c r="H6" s="3980"/>
      <c r="I6" s="3979" t="s">
        <v>1918</v>
      </c>
      <c r="J6" s="3980"/>
      <c r="K6" s="558" t="s">
        <v>1677</v>
      </c>
      <c r="L6" s="2712"/>
      <c r="M6" s="2713"/>
      <c r="N6" s="2713"/>
      <c r="O6" s="2713"/>
      <c r="P6" s="3939"/>
      <c r="Q6" s="3940"/>
      <c r="R6" s="3920"/>
      <c r="S6" s="3921"/>
      <c r="T6" s="3941"/>
      <c r="U6" s="3942"/>
      <c r="V6" s="3943"/>
      <c r="W6" s="3943"/>
      <c r="X6" s="1352"/>
      <c r="Y6" s="3941"/>
      <c r="Z6" s="3942"/>
      <c r="AA6" s="3915"/>
      <c r="AB6" s="3915"/>
      <c r="AC6" s="3915"/>
    </row>
    <row r="7" spans="1:29" s="108" customFormat="1" ht="15" thickBot="1">
      <c r="A7" s="361" t="s">
        <v>1678</v>
      </c>
      <c r="B7" s="362"/>
      <c r="C7" s="363">
        <f>'数据-取费表'!B2</f>
        <v>45511</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916" t="s">
        <v>1679</v>
      </c>
      <c r="Q7" s="3944"/>
      <c r="R7" s="699" t="s">
        <v>14</v>
      </c>
      <c r="S7" s="700">
        <f t="shared" ref="S7:S15" si="0">F7</f>
        <v>0</v>
      </c>
      <c r="T7" s="699" t="s">
        <v>14</v>
      </c>
      <c r="U7" s="700">
        <f t="shared" ref="U7:U15" si="1">H7</f>
        <v>0</v>
      </c>
      <c r="V7" s="699" t="s">
        <v>14</v>
      </c>
      <c r="W7" s="700">
        <f t="shared" ref="W7:W15" si="2">J7</f>
        <v>0</v>
      </c>
      <c r="X7" s="701"/>
      <c r="Y7" s="3916" t="s">
        <v>1679</v>
      </c>
      <c r="Z7" s="3917"/>
      <c r="AA7" s="702" t="e">
        <f>D7/F7</f>
        <v>#DIV/0!</v>
      </c>
      <c r="AB7" s="702" t="e">
        <f>D7/H7</f>
        <v>#DIV/0!</v>
      </c>
      <c r="AC7" s="702" t="e">
        <f>D7/J7</f>
        <v>#DIV/0!</v>
      </c>
    </row>
    <row r="8" spans="1:29" s="108" customFormat="1" ht="1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916" t="s">
        <v>1682</v>
      </c>
      <c r="Q8" s="3917"/>
      <c r="R8" s="699" t="s">
        <v>14</v>
      </c>
      <c r="S8" s="700">
        <f t="shared" si="0"/>
        <v>0</v>
      </c>
      <c r="T8" s="699" t="s">
        <v>14</v>
      </c>
      <c r="U8" s="700">
        <f t="shared" si="1"/>
        <v>0</v>
      </c>
      <c r="V8" s="699" t="s">
        <v>14</v>
      </c>
      <c r="W8" s="700">
        <f t="shared" si="2"/>
        <v>0</v>
      </c>
      <c r="X8" s="701"/>
      <c r="Y8" s="3916" t="s">
        <v>1682</v>
      </c>
      <c r="Z8" s="3917"/>
      <c r="AA8" s="702" t="e">
        <f t="shared" ref="AA8:AA40" si="3">D8/F8</f>
        <v>#DIV/0!</v>
      </c>
      <c r="AB8" s="702" t="e">
        <f t="shared" ref="AB8:AB40" si="4">D8/H8</f>
        <v>#DIV/0!</v>
      </c>
      <c r="AC8" s="702" t="e">
        <f t="shared" ref="AC8:AC40" si="5">D8/J8</f>
        <v>#DIV/0!</v>
      </c>
    </row>
    <row r="9" spans="1:29" s="108" customFormat="1" ht="14.4">
      <c r="A9" s="368" t="s">
        <v>1683</v>
      </c>
      <c r="B9" s="63" t="s">
        <v>1684</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948" t="s">
        <v>1685</v>
      </c>
      <c r="Q9" s="1340" t="str">
        <f t="shared" ref="Q9:Q15" si="6">B9</f>
        <v>用途</v>
      </c>
      <c r="R9" s="699" t="s">
        <v>14</v>
      </c>
      <c r="S9" s="700">
        <f t="shared" si="0"/>
        <v>100</v>
      </c>
      <c r="T9" s="699" t="s">
        <v>14</v>
      </c>
      <c r="U9" s="700">
        <f t="shared" si="1"/>
        <v>100</v>
      </c>
      <c r="V9" s="699" t="s">
        <v>14</v>
      </c>
      <c r="W9" s="700">
        <f t="shared" si="2"/>
        <v>100</v>
      </c>
      <c r="X9" s="701"/>
      <c r="Y9" s="3840" t="s">
        <v>1686</v>
      </c>
      <c r="Z9" s="52" t="str">
        <f t="shared" ref="Z9:Z15" si="7">Q9</f>
        <v>用途</v>
      </c>
      <c r="AA9" s="702">
        <f t="shared" si="3"/>
        <v>1</v>
      </c>
      <c r="AB9" s="702">
        <f t="shared" si="4"/>
        <v>1</v>
      </c>
      <c r="AC9" s="702">
        <f t="shared" si="5"/>
        <v>1</v>
      </c>
    </row>
    <row r="10" spans="1:29" s="377" customFormat="1" ht="28.8">
      <c r="A10" s="373"/>
      <c r="B10" s="374" t="s">
        <v>1687</v>
      </c>
      <c r="C10" s="382"/>
      <c r="D10" s="126">
        <v>100</v>
      </c>
      <c r="E10" s="382"/>
      <c r="F10" s="126" t="e">
        <f>ROUND(100/'数据-取费表'!G16,0)</f>
        <v>#DIV/0!</v>
      </c>
      <c r="G10" s="382"/>
      <c r="H10" s="126" t="e">
        <f>ROUND(100/'数据-取费表'!G16,0)</f>
        <v>#DIV/0!</v>
      </c>
      <c r="I10" s="382"/>
      <c r="J10" s="126" t="e">
        <f>ROUND(100/'数据-取费表'!G16,0)</f>
        <v>#DIV/0!</v>
      </c>
      <c r="K10" s="619"/>
      <c r="L10" s="2716"/>
      <c r="M10" s="2717"/>
      <c r="N10" s="2717"/>
      <c r="O10" s="2770"/>
      <c r="P10" s="3948"/>
      <c r="Q10" s="1340" t="str">
        <f t="shared" si="6"/>
        <v>土地使用年限（年）</v>
      </c>
      <c r="R10" s="699" t="s">
        <v>14</v>
      </c>
      <c r="S10" s="700" t="e">
        <f t="shared" si="0"/>
        <v>#DIV/0!</v>
      </c>
      <c r="T10" s="699" t="s">
        <v>14</v>
      </c>
      <c r="U10" s="700" t="e">
        <f t="shared" si="1"/>
        <v>#DIV/0!</v>
      </c>
      <c r="V10" s="699" t="s">
        <v>14</v>
      </c>
      <c r="W10" s="700" t="e">
        <f t="shared" si="2"/>
        <v>#DIV/0!</v>
      </c>
      <c r="X10" s="701"/>
      <c r="Y10" s="3840"/>
      <c r="Z10" s="52" t="str">
        <f t="shared" si="7"/>
        <v>土地使用年限（年）</v>
      </c>
      <c r="AA10" s="702" t="e">
        <f t="shared" si="3"/>
        <v>#DIV/0!</v>
      </c>
      <c r="AB10" s="702" t="e">
        <f t="shared" si="4"/>
        <v>#DIV/0!</v>
      </c>
      <c r="AC10" s="702" t="e">
        <f t="shared" si="5"/>
        <v>#DIV/0!</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948"/>
      <c r="Q11" s="1340" t="str">
        <f t="shared" si="6"/>
        <v>容积率</v>
      </c>
      <c r="R11" s="699" t="s">
        <v>14</v>
      </c>
      <c r="S11" s="700" t="e">
        <f t="shared" si="0"/>
        <v>#N/A</v>
      </c>
      <c r="T11" s="699" t="s">
        <v>14</v>
      </c>
      <c r="U11" s="700" t="e">
        <f t="shared" si="1"/>
        <v>#N/A</v>
      </c>
      <c r="V11" s="699" t="s">
        <v>14</v>
      </c>
      <c r="W11" s="700" t="e">
        <f t="shared" si="2"/>
        <v>#N/A</v>
      </c>
      <c r="X11" s="701"/>
      <c r="Y11" s="3840"/>
      <c r="Z11" s="52" t="str">
        <f t="shared" si="7"/>
        <v>容积率</v>
      </c>
      <c r="AA11" s="702" t="e">
        <f t="shared" si="3"/>
        <v>#N/A</v>
      </c>
      <c r="AB11" s="702" t="e">
        <f t="shared" si="4"/>
        <v>#N/A</v>
      </c>
      <c r="AC11" s="702"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948"/>
      <c r="Q12" s="1340">
        <f t="shared" si="6"/>
        <v>111</v>
      </c>
      <c r="R12" s="699" t="s">
        <v>14</v>
      </c>
      <c r="S12" s="700">
        <f t="shared" si="0"/>
        <v>100</v>
      </c>
      <c r="T12" s="699" t="s">
        <v>14</v>
      </c>
      <c r="U12" s="700">
        <f t="shared" si="1"/>
        <v>100</v>
      </c>
      <c r="V12" s="699" t="s">
        <v>14</v>
      </c>
      <c r="W12" s="700">
        <f t="shared" si="2"/>
        <v>100</v>
      </c>
      <c r="X12" s="701"/>
      <c r="Y12" s="3840"/>
      <c r="Z12" s="52">
        <f t="shared" si="7"/>
        <v>111</v>
      </c>
      <c r="AA12" s="702">
        <f>D12/F12</f>
        <v>1</v>
      </c>
      <c r="AB12" s="702">
        <f>D12/H12</f>
        <v>1</v>
      </c>
      <c r="AC12" s="702">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948"/>
      <c r="Q13" s="1340">
        <f t="shared" si="6"/>
        <v>111</v>
      </c>
      <c r="R13" s="699" t="s">
        <v>14</v>
      </c>
      <c r="S13" s="700">
        <f t="shared" si="0"/>
        <v>100</v>
      </c>
      <c r="T13" s="699" t="s">
        <v>14</v>
      </c>
      <c r="U13" s="700">
        <f t="shared" si="1"/>
        <v>100</v>
      </c>
      <c r="V13" s="699" t="s">
        <v>14</v>
      </c>
      <c r="W13" s="700">
        <f t="shared" si="2"/>
        <v>100</v>
      </c>
      <c r="X13" s="701"/>
      <c r="Y13" s="3840"/>
      <c r="Z13" s="52">
        <f t="shared" si="7"/>
        <v>111</v>
      </c>
      <c r="AA13" s="702">
        <f t="shared" si="3"/>
        <v>1</v>
      </c>
      <c r="AB13" s="702">
        <f t="shared" si="4"/>
        <v>1</v>
      </c>
      <c r="AC13" s="702">
        <f t="shared" si="5"/>
        <v>1</v>
      </c>
    </row>
    <row r="14" spans="1:29" ht="15.6"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948"/>
      <c r="Q14" s="1340">
        <f t="shared" si="6"/>
        <v>111</v>
      </c>
      <c r="R14" s="699" t="s">
        <v>14</v>
      </c>
      <c r="S14" s="700">
        <f t="shared" si="0"/>
        <v>100</v>
      </c>
      <c r="T14" s="699" t="s">
        <v>14</v>
      </c>
      <c r="U14" s="700">
        <f t="shared" si="1"/>
        <v>100</v>
      </c>
      <c r="V14" s="699" t="s">
        <v>14</v>
      </c>
      <c r="W14" s="700">
        <f t="shared" si="2"/>
        <v>100</v>
      </c>
      <c r="X14" s="701"/>
      <c r="Y14" s="3840"/>
      <c r="Z14" s="52">
        <f t="shared" si="7"/>
        <v>111</v>
      </c>
      <c r="AA14" s="702">
        <f t="shared" si="3"/>
        <v>1</v>
      </c>
      <c r="AB14" s="702">
        <f t="shared" si="4"/>
        <v>1</v>
      </c>
      <c r="AC14" s="702">
        <f t="shared" si="5"/>
        <v>1</v>
      </c>
    </row>
    <row r="15" spans="1:29" ht="69">
      <c r="A15" s="390" t="s">
        <v>1689</v>
      </c>
      <c r="B15" s="576" t="s">
        <v>1919</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950" t="s">
        <v>1690</v>
      </c>
      <c r="Q15" s="1349" t="str">
        <f t="shared" si="6"/>
        <v>产业集聚程度</v>
      </c>
      <c r="R15" s="703" t="s">
        <v>14</v>
      </c>
      <c r="S15" s="704">
        <f t="shared" si="0"/>
        <v>100</v>
      </c>
      <c r="T15" s="703" t="s">
        <v>14</v>
      </c>
      <c r="U15" s="704">
        <f t="shared" si="1"/>
        <v>100</v>
      </c>
      <c r="V15" s="703" t="s">
        <v>14</v>
      </c>
      <c r="W15" s="704">
        <f t="shared" si="2"/>
        <v>100</v>
      </c>
      <c r="X15" s="1352"/>
      <c r="Y15" s="3950" t="s">
        <v>1690</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951"/>
      <c r="Q16" s="1349"/>
      <c r="R16" s="703"/>
      <c r="S16" s="704"/>
      <c r="T16" s="703"/>
      <c r="U16" s="704"/>
      <c r="V16" s="703"/>
      <c r="W16" s="704"/>
      <c r="X16" s="1352"/>
      <c r="Y16" s="3951"/>
      <c r="Z16" s="1353"/>
      <c r="AA16" s="1350">
        <v>1</v>
      </c>
      <c r="AB16" s="1350">
        <v>1</v>
      </c>
      <c r="AC16" s="1350">
        <v>1</v>
      </c>
    </row>
    <row r="17" spans="1:29" ht="96.6">
      <c r="A17" s="378"/>
      <c r="B17" s="578" t="s">
        <v>1832</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951"/>
      <c r="Q17" s="1349" t="str">
        <f>B17</f>
        <v>交通便捷度</v>
      </c>
      <c r="R17" s="703" t="s">
        <v>14</v>
      </c>
      <c r="S17" s="704">
        <f>F17</f>
        <v>100</v>
      </c>
      <c r="T17" s="703" t="s">
        <v>14</v>
      </c>
      <c r="U17" s="704">
        <f>H17</f>
        <v>100</v>
      </c>
      <c r="V17" s="703" t="s">
        <v>14</v>
      </c>
      <c r="W17" s="704">
        <f>J17</f>
        <v>100</v>
      </c>
      <c r="X17" s="1352"/>
      <c r="Y17" s="3951"/>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951"/>
      <c r="Q18" s="1349"/>
      <c r="R18" s="703"/>
      <c r="S18" s="704"/>
      <c r="T18" s="703"/>
      <c r="U18" s="704"/>
      <c r="V18" s="703"/>
      <c r="W18" s="704"/>
      <c r="X18" s="1352"/>
      <c r="Y18" s="3951"/>
      <c r="Z18" s="1353"/>
      <c r="AA18" s="1350">
        <v>1</v>
      </c>
      <c r="AB18" s="1350">
        <v>1</v>
      </c>
      <c r="AC18" s="1350">
        <v>1</v>
      </c>
    </row>
    <row r="19" spans="1:29" ht="28.8">
      <c r="A19" s="378"/>
      <c r="B19" s="578" t="s">
        <v>1870</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951"/>
      <c r="Q19" s="1349" t="str">
        <f t="shared" ref="Q19:Q33" si="8">B19</f>
        <v>区域土地利用方向</v>
      </c>
      <c r="R19" s="703" t="s">
        <v>14</v>
      </c>
      <c r="S19" s="704">
        <f>F19</f>
        <v>100</v>
      </c>
      <c r="T19" s="703" t="s">
        <v>14</v>
      </c>
      <c r="U19" s="704">
        <f>H19</f>
        <v>100</v>
      </c>
      <c r="V19" s="703" t="s">
        <v>14</v>
      </c>
      <c r="W19" s="704">
        <f>J19</f>
        <v>100</v>
      </c>
      <c r="X19" s="1352"/>
      <c r="Y19" s="3951"/>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8"/>
      <c r="L20" s="2719"/>
      <c r="M20" s="2713"/>
      <c r="N20" s="2713"/>
      <c r="O20" s="2771"/>
      <c r="P20" s="3951"/>
      <c r="Q20" s="1349"/>
      <c r="R20" s="703"/>
      <c r="S20" s="704"/>
      <c r="T20" s="703"/>
      <c r="U20" s="704"/>
      <c r="V20" s="703"/>
      <c r="W20" s="704"/>
      <c r="X20" s="1352"/>
      <c r="Y20" s="3951"/>
      <c r="Z20" s="1353"/>
      <c r="AA20" s="1350"/>
      <c r="AB20" s="1350"/>
      <c r="AC20" s="1350"/>
    </row>
    <row r="21" spans="1:29" ht="82.8">
      <c r="A21" s="357"/>
      <c r="B21" s="578" t="s">
        <v>1920</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951"/>
      <c r="Q21" s="1349" t="str">
        <f t="shared" si="8"/>
        <v>环境状况</v>
      </c>
      <c r="R21" s="703" t="s">
        <v>14</v>
      </c>
      <c r="S21" s="704">
        <f>F21</f>
        <v>100</v>
      </c>
      <c r="T21" s="703" t="s">
        <v>14</v>
      </c>
      <c r="U21" s="704">
        <f>H21</f>
        <v>100</v>
      </c>
      <c r="V21" s="703" t="s">
        <v>14</v>
      </c>
      <c r="W21" s="704">
        <f>J21</f>
        <v>100</v>
      </c>
      <c r="X21" s="1352"/>
      <c r="Y21" s="3951"/>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951"/>
      <c r="Q22" s="1349"/>
      <c r="R22" s="703"/>
      <c r="S22" s="704"/>
      <c r="T22" s="703"/>
      <c r="U22" s="704"/>
      <c r="V22" s="703"/>
      <c r="W22" s="704"/>
      <c r="X22" s="1352"/>
      <c r="Y22" s="3951"/>
      <c r="Z22" s="1353"/>
      <c r="AA22" s="1350">
        <v>1</v>
      </c>
      <c r="AB22" s="1350">
        <v>1</v>
      </c>
      <c r="AC22" s="1350">
        <v>1</v>
      </c>
    </row>
    <row r="23" spans="1:29" s="108" customFormat="1" ht="41.4">
      <c r="A23" s="596"/>
      <c r="B23" s="580" t="s">
        <v>1777</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951"/>
      <c r="Q23" s="1340" t="str">
        <f t="shared" si="8"/>
        <v>公共配套设施</v>
      </c>
      <c r="R23" s="699" t="s">
        <v>14</v>
      </c>
      <c r="S23" s="700">
        <f>F23</f>
        <v>100</v>
      </c>
      <c r="T23" s="699" t="s">
        <v>14</v>
      </c>
      <c r="U23" s="700">
        <f>H23</f>
        <v>100</v>
      </c>
      <c r="V23" s="699" t="s">
        <v>14</v>
      </c>
      <c r="W23" s="700">
        <f>J23</f>
        <v>100</v>
      </c>
      <c r="X23" s="701"/>
      <c r="Y23" s="3951"/>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951"/>
      <c r="Q24" s="1340"/>
      <c r="R24" s="699"/>
      <c r="S24" s="700"/>
      <c r="T24" s="699"/>
      <c r="U24" s="700"/>
      <c r="V24" s="699"/>
      <c r="W24" s="700"/>
      <c r="X24" s="701"/>
      <c r="Y24" s="3951"/>
      <c r="Z24" s="52"/>
      <c r="AA24" s="702">
        <v>1</v>
      </c>
      <c r="AB24" s="702">
        <v>1</v>
      </c>
      <c r="AC24" s="702">
        <v>1</v>
      </c>
    </row>
    <row r="25" spans="1:29" s="108" customFormat="1" ht="41.4">
      <c r="A25" s="596"/>
      <c r="B25" s="580" t="s">
        <v>1778</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951"/>
      <c r="Q25" s="1340" t="str">
        <f>B25</f>
        <v>基础设施水平</v>
      </c>
      <c r="R25" s="699" t="s">
        <v>14</v>
      </c>
      <c r="S25" s="700">
        <f>F25</f>
        <v>100</v>
      </c>
      <c r="T25" s="699" t="s">
        <v>14</v>
      </c>
      <c r="U25" s="700">
        <f>H25</f>
        <v>100</v>
      </c>
      <c r="V25" s="699" t="s">
        <v>14</v>
      </c>
      <c r="W25" s="700">
        <f>J25</f>
        <v>100</v>
      </c>
      <c r="X25" s="701"/>
      <c r="Y25" s="3951"/>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951"/>
      <c r="Q26" s="1340"/>
      <c r="R26" s="699"/>
      <c r="S26" s="700"/>
      <c r="T26" s="699"/>
      <c r="U26" s="700"/>
      <c r="V26" s="699"/>
      <c r="W26" s="700"/>
      <c r="X26" s="701"/>
      <c r="Y26" s="3951"/>
      <c r="Z26" s="52"/>
      <c r="AA26" s="702">
        <v>1</v>
      </c>
      <c r="AB26" s="702">
        <v>1</v>
      </c>
      <c r="AC26" s="702">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951"/>
      <c r="Q27" s="1349" t="str">
        <f t="shared" si="8"/>
        <v>临街状况</v>
      </c>
      <c r="R27" s="703" t="s">
        <v>14</v>
      </c>
      <c r="S27" s="704">
        <f t="shared" ref="S27:S40" si="9">F27</f>
        <v>100</v>
      </c>
      <c r="T27" s="703" t="s">
        <v>14</v>
      </c>
      <c r="U27" s="704">
        <f t="shared" ref="U27:U40" si="10">H27</f>
        <v>100</v>
      </c>
      <c r="V27" s="703" t="s">
        <v>14</v>
      </c>
      <c r="W27" s="704">
        <f t="shared" ref="W27:W40" si="11">J27</f>
        <v>100</v>
      </c>
      <c r="X27" s="1352"/>
      <c r="Y27" s="3951"/>
      <c r="Z27" s="1353" t="str">
        <f t="shared" ref="Z27:Z40" si="12">Q27</f>
        <v>临街状况</v>
      </c>
      <c r="AA27" s="1350">
        <f t="shared" si="3"/>
        <v>1</v>
      </c>
      <c r="AB27" s="1350">
        <f t="shared" si="4"/>
        <v>1</v>
      </c>
      <c r="AC27" s="1350">
        <f t="shared" si="5"/>
        <v>1</v>
      </c>
    </row>
    <row r="28" spans="1:29" ht="28.8">
      <c r="A28" s="378"/>
      <c r="B28" s="580" t="s">
        <v>1814</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951"/>
      <c r="Q28" s="1349" t="str">
        <f t="shared" si="8"/>
        <v>毗邻道路的类型与等级</v>
      </c>
      <c r="R28" s="703" t="s">
        <v>14</v>
      </c>
      <c r="S28" s="704">
        <f t="shared" si="9"/>
        <v>100</v>
      </c>
      <c r="T28" s="703" t="s">
        <v>14</v>
      </c>
      <c r="U28" s="704">
        <f t="shared" si="10"/>
        <v>100</v>
      </c>
      <c r="V28" s="703" t="s">
        <v>14</v>
      </c>
      <c r="W28" s="704">
        <f t="shared" si="11"/>
        <v>100</v>
      </c>
      <c r="X28" s="1352"/>
      <c r="Y28" s="3951"/>
      <c r="Z28" s="1353" t="str">
        <f t="shared" si="12"/>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951"/>
      <c r="Q29" s="1349"/>
      <c r="R29" s="703"/>
      <c r="S29" s="704"/>
      <c r="T29" s="703"/>
      <c r="U29" s="704"/>
      <c r="V29" s="703"/>
      <c r="W29" s="704"/>
      <c r="X29" s="1352"/>
      <c r="Y29" s="3951"/>
      <c r="Z29" s="1353"/>
      <c r="AA29" s="1350">
        <v>1</v>
      </c>
      <c r="AB29" s="1350">
        <v>1</v>
      </c>
      <c r="AC29" s="1350">
        <v>1</v>
      </c>
    </row>
    <row r="30" spans="1:29" ht="15">
      <c r="A30" s="378"/>
      <c r="B30" s="601" t="s">
        <v>1872</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951"/>
      <c r="Q30" s="1349" t="str">
        <f t="shared" si="8"/>
        <v>土地级别</v>
      </c>
      <c r="R30" s="703" t="s">
        <v>14</v>
      </c>
      <c r="S30" s="704">
        <f t="shared" si="9"/>
        <v>100</v>
      </c>
      <c r="T30" s="703" t="s">
        <v>14</v>
      </c>
      <c r="U30" s="704">
        <f t="shared" si="10"/>
        <v>100</v>
      </c>
      <c r="V30" s="703" t="s">
        <v>14</v>
      </c>
      <c r="W30" s="704">
        <f t="shared" si="11"/>
        <v>100</v>
      </c>
      <c r="X30" s="1352"/>
      <c r="Y30" s="3951"/>
      <c r="Z30" s="1353" t="str">
        <f t="shared" si="12"/>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951"/>
      <c r="Q31" s="1349">
        <f t="shared" si="8"/>
        <v>111</v>
      </c>
      <c r="R31" s="703" t="s">
        <v>14</v>
      </c>
      <c r="S31" s="704">
        <f t="shared" si="9"/>
        <v>100</v>
      </c>
      <c r="T31" s="703" t="s">
        <v>14</v>
      </c>
      <c r="U31" s="704">
        <f t="shared" si="10"/>
        <v>100</v>
      </c>
      <c r="V31" s="703" t="s">
        <v>14</v>
      </c>
      <c r="W31" s="704">
        <f t="shared" si="11"/>
        <v>100</v>
      </c>
      <c r="X31" s="1352"/>
      <c r="Y31" s="3951"/>
      <c r="Z31" s="1353">
        <f t="shared" si="12"/>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974" t="s">
        <v>1695</v>
      </c>
      <c r="Q32" s="1349">
        <f t="shared" si="8"/>
        <v>111</v>
      </c>
      <c r="R32" s="703" t="s">
        <v>14</v>
      </c>
      <c r="S32" s="704">
        <f t="shared" si="9"/>
        <v>100</v>
      </c>
      <c r="T32" s="703" t="s">
        <v>14</v>
      </c>
      <c r="U32" s="704">
        <f t="shared" si="10"/>
        <v>100</v>
      </c>
      <c r="V32" s="703" t="s">
        <v>14</v>
      </c>
      <c r="W32" s="704">
        <f t="shared" si="11"/>
        <v>100</v>
      </c>
      <c r="X32" s="1352"/>
      <c r="Y32" s="3955" t="s">
        <v>1695</v>
      </c>
      <c r="Z32" s="1353">
        <f t="shared" si="12"/>
        <v>111</v>
      </c>
      <c r="AA32" s="1350">
        <f t="shared" si="3"/>
        <v>1</v>
      </c>
      <c r="AB32" s="1350">
        <f t="shared" si="4"/>
        <v>1</v>
      </c>
      <c r="AC32" s="1350">
        <f t="shared" si="5"/>
        <v>1</v>
      </c>
    </row>
    <row r="33" spans="1:31" s="421" customFormat="1" ht="15.6"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955"/>
      <c r="Q33" s="1349">
        <f t="shared" si="8"/>
        <v>111</v>
      </c>
      <c r="R33" s="706" t="s">
        <v>14</v>
      </c>
      <c r="S33" s="707">
        <f t="shared" si="9"/>
        <v>100</v>
      </c>
      <c r="T33" s="706" t="s">
        <v>14</v>
      </c>
      <c r="U33" s="707">
        <f t="shared" si="10"/>
        <v>100</v>
      </c>
      <c r="V33" s="706" t="s">
        <v>14</v>
      </c>
      <c r="W33" s="707">
        <f t="shared" si="11"/>
        <v>100</v>
      </c>
      <c r="X33" s="708"/>
      <c r="Y33" s="3955"/>
      <c r="Z33" s="709">
        <f t="shared" si="12"/>
        <v>111</v>
      </c>
      <c r="AA33" s="1350">
        <f t="shared" si="3"/>
        <v>1</v>
      </c>
      <c r="AB33" s="1350">
        <f t="shared" si="4"/>
        <v>1</v>
      </c>
      <c r="AC33" s="1350">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955"/>
      <c r="Q34" s="1349" t="str">
        <f>B34</f>
        <v>宗地面积</v>
      </c>
      <c r="R34" s="703" t="s">
        <v>14</v>
      </c>
      <c r="S34" s="704" t="e">
        <f t="shared" si="9"/>
        <v>#N/A</v>
      </c>
      <c r="T34" s="703" t="s">
        <v>14</v>
      </c>
      <c r="U34" s="704" t="e">
        <f t="shared" si="10"/>
        <v>#N/A</v>
      </c>
      <c r="V34" s="703" t="s">
        <v>14</v>
      </c>
      <c r="W34" s="704" t="e">
        <f t="shared" si="11"/>
        <v>#N/A</v>
      </c>
      <c r="X34" s="1352"/>
      <c r="Y34" s="3955"/>
      <c r="Z34" s="1353" t="str">
        <f t="shared" si="12"/>
        <v>宗地面积</v>
      </c>
      <c r="AA34" s="1350" t="e">
        <f t="shared" si="3"/>
        <v>#N/A</v>
      </c>
      <c r="AB34" s="1350" t="e">
        <f t="shared" si="4"/>
        <v>#N/A</v>
      </c>
      <c r="AC34" s="1350" t="e">
        <f t="shared" si="5"/>
        <v>#N/A</v>
      </c>
    </row>
    <row r="35" spans="1:31" ht="15">
      <c r="A35" s="422"/>
      <c r="B35" s="374" t="s">
        <v>1874</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955"/>
      <c r="Q35" s="1349" t="str">
        <f t="shared" ref="Q35:Q40" si="13">B35</f>
        <v>宗地形状</v>
      </c>
      <c r="R35" s="703" t="s">
        <v>14</v>
      </c>
      <c r="S35" s="704">
        <f t="shared" si="9"/>
        <v>100</v>
      </c>
      <c r="T35" s="703" t="s">
        <v>14</v>
      </c>
      <c r="U35" s="704">
        <f t="shared" si="10"/>
        <v>100</v>
      </c>
      <c r="V35" s="703" t="s">
        <v>14</v>
      </c>
      <c r="W35" s="704">
        <f t="shared" si="11"/>
        <v>100</v>
      </c>
      <c r="X35" s="1352"/>
      <c r="Y35" s="3955"/>
      <c r="Z35" s="1353" t="str">
        <f t="shared" si="12"/>
        <v>宗地形状</v>
      </c>
      <c r="AA35" s="1350">
        <f t="shared" si="3"/>
        <v>1</v>
      </c>
      <c r="AB35" s="1350">
        <f t="shared" si="4"/>
        <v>1</v>
      </c>
      <c r="AC35" s="1350">
        <f t="shared" si="5"/>
        <v>1</v>
      </c>
    </row>
    <row r="36" spans="1:31" s="108" customFormat="1" ht="15">
      <c r="A36" s="423"/>
      <c r="B36" s="374" t="s">
        <v>1876</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955"/>
      <c r="Q36" s="1349" t="str">
        <f t="shared" si="13"/>
        <v>宗地开发程度</v>
      </c>
      <c r="R36" s="699" t="s">
        <v>14</v>
      </c>
      <c r="S36" s="700">
        <f t="shared" si="9"/>
        <v>100</v>
      </c>
      <c r="T36" s="699" t="s">
        <v>14</v>
      </c>
      <c r="U36" s="700">
        <f t="shared" si="10"/>
        <v>100</v>
      </c>
      <c r="V36" s="699" t="s">
        <v>14</v>
      </c>
      <c r="W36" s="700">
        <f t="shared" si="11"/>
        <v>100</v>
      </c>
      <c r="X36" s="701"/>
      <c r="Y36" s="3955"/>
      <c r="Z36" s="52" t="str">
        <f t="shared" si="12"/>
        <v>宗地开发程度</v>
      </c>
      <c r="AA36" s="702">
        <f t="shared" si="3"/>
        <v>1</v>
      </c>
      <c r="AB36" s="702">
        <f t="shared" si="4"/>
        <v>1</v>
      </c>
      <c r="AC36" s="702">
        <f t="shared" si="5"/>
        <v>1</v>
      </c>
    </row>
    <row r="37" spans="1:31" ht="15">
      <c r="A37" s="422"/>
      <c r="B37" s="374" t="s">
        <v>1877</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955" t="s">
        <v>1695</v>
      </c>
      <c r="Q37" s="1349" t="str">
        <f t="shared" si="13"/>
        <v>工程地质条件</v>
      </c>
      <c r="R37" s="703" t="s">
        <v>14</v>
      </c>
      <c r="S37" s="704">
        <f t="shared" si="9"/>
        <v>100</v>
      </c>
      <c r="T37" s="703" t="s">
        <v>14</v>
      </c>
      <c r="U37" s="704">
        <f t="shared" si="10"/>
        <v>100</v>
      </c>
      <c r="V37" s="703" t="s">
        <v>14</v>
      </c>
      <c r="W37" s="704">
        <f t="shared" si="11"/>
        <v>100</v>
      </c>
      <c r="X37" s="1352"/>
      <c r="Y37" s="3955" t="s">
        <v>1695</v>
      </c>
      <c r="Z37" s="1353" t="str">
        <f t="shared" si="12"/>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955"/>
      <c r="Q38" s="1349">
        <f t="shared" si="13"/>
        <v>111</v>
      </c>
      <c r="R38" s="703" t="s">
        <v>14</v>
      </c>
      <c r="S38" s="704">
        <f t="shared" si="9"/>
        <v>100</v>
      </c>
      <c r="T38" s="703" t="s">
        <v>14</v>
      </c>
      <c r="U38" s="704">
        <f t="shared" si="10"/>
        <v>100</v>
      </c>
      <c r="V38" s="703" t="s">
        <v>14</v>
      </c>
      <c r="W38" s="704">
        <f t="shared" si="11"/>
        <v>100</v>
      </c>
      <c r="X38" s="1352"/>
      <c r="Y38" s="3955"/>
      <c r="Z38" s="1353">
        <f t="shared" si="12"/>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955"/>
      <c r="Q39" s="1349">
        <f t="shared" si="13"/>
        <v>111</v>
      </c>
      <c r="R39" s="703" t="s">
        <v>14</v>
      </c>
      <c r="S39" s="704">
        <f t="shared" si="9"/>
        <v>100</v>
      </c>
      <c r="T39" s="703" t="s">
        <v>14</v>
      </c>
      <c r="U39" s="704">
        <f t="shared" si="10"/>
        <v>100</v>
      </c>
      <c r="V39" s="703" t="s">
        <v>14</v>
      </c>
      <c r="W39" s="704">
        <f t="shared" si="11"/>
        <v>100</v>
      </c>
      <c r="X39" s="1352"/>
      <c r="Y39" s="3955"/>
      <c r="Z39" s="1353">
        <f t="shared" si="12"/>
        <v>111</v>
      </c>
      <c r="AA39" s="1350">
        <f t="shared" si="3"/>
        <v>1</v>
      </c>
      <c r="AB39" s="1350">
        <f t="shared" si="4"/>
        <v>1</v>
      </c>
      <c r="AC39" s="1350">
        <f t="shared" si="5"/>
        <v>1</v>
      </c>
    </row>
    <row r="40" spans="1:31" s="421" customFormat="1" ht="15.6"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955"/>
      <c r="Q40" s="1349">
        <f t="shared" si="13"/>
        <v>111</v>
      </c>
      <c r="R40" s="706" t="s">
        <v>14</v>
      </c>
      <c r="S40" s="707">
        <f t="shared" si="9"/>
        <v>100</v>
      </c>
      <c r="T40" s="706" t="s">
        <v>14</v>
      </c>
      <c r="U40" s="707">
        <f t="shared" si="10"/>
        <v>100</v>
      </c>
      <c r="V40" s="706" t="s">
        <v>14</v>
      </c>
      <c r="W40" s="707">
        <f t="shared" si="11"/>
        <v>100</v>
      </c>
      <c r="X40" s="708"/>
      <c r="Y40" s="3955"/>
      <c r="Z40" s="709">
        <f t="shared" si="12"/>
        <v>111</v>
      </c>
      <c r="AA40" s="1350">
        <f t="shared" si="3"/>
        <v>1</v>
      </c>
      <c r="AB40" s="1350">
        <f t="shared" si="4"/>
        <v>1</v>
      </c>
      <c r="AC40" s="1350">
        <f t="shared" si="5"/>
        <v>1</v>
      </c>
    </row>
    <row r="41" spans="1:31" ht="14.4">
      <c r="A41" s="429" t="s">
        <v>1843</v>
      </c>
      <c r="B41" s="1979" t="s">
        <v>1921</v>
      </c>
      <c r="C41" s="629" t="s">
        <v>0</v>
      </c>
      <c r="D41" s="431"/>
      <c r="E41" s="432"/>
      <c r="F41" s="433"/>
      <c r="G41" s="434"/>
      <c r="H41" s="435"/>
      <c r="I41" s="432"/>
      <c r="J41" s="435"/>
      <c r="K41" s="712"/>
      <c r="L41" s="2721"/>
      <c r="M41" s="2713"/>
      <c r="N41" s="2713"/>
      <c r="O41" s="2722"/>
      <c r="P41" s="3948" t="str">
        <f>A41</f>
        <v>成交单价</v>
      </c>
      <c r="Q41" s="3948"/>
      <c r="R41" s="3943">
        <f>E41</f>
        <v>0</v>
      </c>
      <c r="S41" s="3943"/>
      <c r="T41" s="3943">
        <f>G41</f>
        <v>0</v>
      </c>
      <c r="U41" s="3943"/>
      <c r="V41" s="3943">
        <f>I41</f>
        <v>0</v>
      </c>
      <c r="W41" s="3943"/>
      <c r="X41" s="688"/>
      <c r="Y41" s="710"/>
      <c r="Z41" s="688"/>
      <c r="AA41" s="688"/>
      <c r="AB41" s="688"/>
      <c r="AC41" s="688"/>
    </row>
    <row r="42" spans="1:31" ht="15" thickBot="1">
      <c r="A42" s="436" t="s">
        <v>1792</v>
      </c>
      <c r="B42" s="630"/>
      <c r="C42" s="439" t="e">
        <f>R43</f>
        <v>#DIV/0!</v>
      </c>
      <c r="D42" s="2314" t="s">
        <v>2137</v>
      </c>
      <c r="E42" s="439" t="e">
        <f>R42</f>
        <v>#DIV/0!</v>
      </c>
      <c r="F42" s="2315"/>
      <c r="G42" s="438" t="e">
        <f>T42</f>
        <v>#DIV/0!</v>
      </c>
      <c r="H42" s="2315"/>
      <c r="I42" s="439" t="e">
        <f>V42</f>
        <v>#DIV/0!</v>
      </c>
      <c r="J42" s="2315"/>
      <c r="K42" s="2317">
        <f>F42+H42+J42</f>
        <v>0</v>
      </c>
      <c r="L42" s="2721"/>
      <c r="M42" s="2713"/>
      <c r="N42" s="2713"/>
      <c r="O42" s="2722"/>
      <c r="P42" s="3948" t="str">
        <f>A42</f>
        <v>比较价值（元/平方米）</v>
      </c>
      <c r="Q42" s="3948"/>
      <c r="R42" s="3976" t="e">
        <f>ROUND(PRODUCT(R41,AA7:AA40),0)</f>
        <v>#DIV/0!</v>
      </c>
      <c r="S42" s="3976"/>
      <c r="T42" s="3976" t="e">
        <f>ROUND(PRODUCT(T41,AB7:AB40),0)</f>
        <v>#DIV/0!</v>
      </c>
      <c r="U42" s="3976"/>
      <c r="V42" s="3976" t="e">
        <f>ROUND(PRODUCT(V41,AC7:AC40),0)</f>
        <v>#DIV/0!</v>
      </c>
      <c r="W42" s="3976"/>
      <c r="X42" s="688"/>
      <c r="Y42" s="688"/>
      <c r="Z42" s="688"/>
      <c r="AA42" s="688"/>
      <c r="AB42" s="688"/>
      <c r="AC42" s="688"/>
    </row>
    <row r="43" spans="1:31" ht="15" thickBot="1">
      <c r="A43" s="440" t="s">
        <v>1793</v>
      </c>
      <c r="B43" s="441"/>
      <c r="C43" s="442" t="e">
        <f>R43</f>
        <v>#DIV/0!</v>
      </c>
      <c r="D43" s="442"/>
      <c r="E43" s="442"/>
      <c r="F43" s="442"/>
      <c r="G43" s="442"/>
      <c r="H43" s="442"/>
      <c r="I43" s="442"/>
      <c r="J43" s="442"/>
      <c r="K43" s="713"/>
      <c r="L43" s="2721"/>
      <c r="M43" s="2713"/>
      <c r="N43" s="2713"/>
      <c r="O43" s="2722"/>
      <c r="P43" s="3945" t="str">
        <f>A43</f>
        <v>估价对象XX用房的比较价值（楼面单价，元/平方米）</v>
      </c>
      <c r="Q43" s="3946"/>
      <c r="R43" s="3977" t="e">
        <f>ROUND(IF(D42="简单平均",AVERAGE(R42:W42),R42*F42+T42*H42+V42*J42),0)</f>
        <v>#DIV/0!</v>
      </c>
      <c r="S43" s="3977"/>
      <c r="T43" s="3977"/>
      <c r="U43" s="3977"/>
      <c r="V43" s="3977"/>
      <c r="W43" s="3977"/>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4.4"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1" t="s">
        <v>1880</v>
      </c>
      <c r="B50" s="632" t="s">
        <v>1881</v>
      </c>
      <c r="C50" s="1980" t="s">
        <v>1882</v>
      </c>
      <c r="D50" s="1981" t="s">
        <v>1883</v>
      </c>
      <c r="E50" s="633" t="s">
        <v>1884</v>
      </c>
      <c r="F50" s="634" t="s">
        <v>1885</v>
      </c>
      <c r="G50" s="3931" t="s">
        <v>1886</v>
      </c>
      <c r="H50" s="3978"/>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1889</v>
      </c>
      <c r="B51" s="636" t="e">
        <f>C43</f>
        <v>#DIV/0!</v>
      </c>
      <c r="C51" s="637">
        <v>1</v>
      </c>
      <c r="D51" s="942">
        <v>1</v>
      </c>
      <c r="E51" s="637">
        <f>'数据-汇总表'!E8+'数据-汇总表'!E9</f>
        <v>23912</v>
      </c>
      <c r="F51" s="638" t="e">
        <f t="shared" ref="F51:F60" si="14">ROUND(B51*E51/10000,0)</f>
        <v>#DIV/0!</v>
      </c>
      <c r="G51" s="3930"/>
      <c r="H51" s="3948"/>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1890</v>
      </c>
      <c r="B52" s="217" t="e">
        <f>ROUND($C$43*C52*D52,0)</f>
        <v>#DIV/0!</v>
      </c>
      <c r="C52" s="170">
        <f t="shared" ref="C52:C60" si="15">IF($C$50="北京市系数",I52,J52)</f>
        <v>0</v>
      </c>
      <c r="D52" s="943">
        <v>0.25</v>
      </c>
      <c r="E52" s="641"/>
      <c r="F52" s="638" t="e">
        <f t="shared" si="14"/>
        <v>#DIV/0!</v>
      </c>
      <c r="G52" s="3003" t="s">
        <v>1891</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1892</v>
      </c>
      <c r="B53" s="217" t="e">
        <f t="shared" ref="B53:B60" si="16">ROUND($C$43*C53*D53,0)</f>
        <v>#DIV/0!</v>
      </c>
      <c r="C53" s="170">
        <f t="shared" si="15"/>
        <v>0</v>
      </c>
      <c r="D53" s="943">
        <v>0.25</v>
      </c>
      <c r="E53" s="641"/>
      <c r="F53" s="638" t="e">
        <f t="shared" si="14"/>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1893</v>
      </c>
      <c r="B54" s="217" t="e">
        <f t="shared" si="16"/>
        <v>#DIV/0!</v>
      </c>
      <c r="C54" s="170">
        <f t="shared" si="15"/>
        <v>0</v>
      </c>
      <c r="D54" s="943">
        <v>0.25</v>
      </c>
      <c r="E54" s="641"/>
      <c r="F54" s="638" t="e">
        <f t="shared" si="14"/>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1894</v>
      </c>
      <c r="B56" s="217" t="e">
        <f t="shared" si="16"/>
        <v>#DIV/0!</v>
      </c>
      <c r="C56" s="170">
        <f t="shared" si="15"/>
        <v>0</v>
      </c>
      <c r="D56" s="943">
        <v>0.25</v>
      </c>
      <c r="E56" s="216">
        <f>'数据-汇总表'!E11</f>
        <v>0</v>
      </c>
      <c r="F56" s="638" t="e">
        <f t="shared" si="14"/>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1896</v>
      </c>
      <c r="B57" s="217" t="e">
        <f t="shared" si="16"/>
        <v>#DIV/0!</v>
      </c>
      <c r="C57" s="170">
        <f t="shared" si="15"/>
        <v>0</v>
      </c>
      <c r="D57" s="943">
        <v>0.25</v>
      </c>
      <c r="E57" s="216">
        <f>'数据-汇总表'!E12</f>
        <v>3422</v>
      </c>
      <c r="F57" s="638" t="e">
        <f t="shared" si="14"/>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1898</v>
      </c>
      <c r="B58" s="217" t="e">
        <f t="shared" si="16"/>
        <v>#DIV/0!</v>
      </c>
      <c r="C58" s="170">
        <f t="shared" si="15"/>
        <v>0</v>
      </c>
      <c r="D58" s="943">
        <v>0.25</v>
      </c>
      <c r="E58" s="216">
        <f>'数据-汇总表'!E13</f>
        <v>10279.290000000001</v>
      </c>
      <c r="F58" s="638" t="e">
        <f t="shared" si="14"/>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1900</v>
      </c>
      <c r="B59" s="217" t="e">
        <f t="shared" si="16"/>
        <v>#DIV/0!</v>
      </c>
      <c r="C59" s="170">
        <f t="shared" si="15"/>
        <v>0</v>
      </c>
      <c r="D59" s="943">
        <v>0.25</v>
      </c>
      <c r="E59" s="216">
        <f>'数据-汇总表'!E14</f>
        <v>0</v>
      </c>
      <c r="F59" s="638" t="e">
        <f t="shared" si="14"/>
        <v>#DIV/0!</v>
      </c>
      <c r="G59" s="1984" t="s">
        <v>1891</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4.4" thickBot="1">
      <c r="A60" s="640" t="s">
        <v>1901</v>
      </c>
      <c r="B60" s="217" t="e">
        <f t="shared" si="16"/>
        <v>#DIV/0!</v>
      </c>
      <c r="C60" s="170">
        <f t="shared" si="15"/>
        <v>0</v>
      </c>
      <c r="D60" s="943">
        <v>0.25</v>
      </c>
      <c r="E60" s="216">
        <f>'数据-汇总表'!E15</f>
        <v>0</v>
      </c>
      <c r="F60" s="638" t="e">
        <f t="shared" si="14"/>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4.4" thickBot="1">
      <c r="A61" s="642" t="s">
        <v>1902</v>
      </c>
      <c r="B61" s="643" t="s">
        <v>22</v>
      </c>
      <c r="C61" s="643" t="s">
        <v>23</v>
      </c>
      <c r="D61" s="643" t="s">
        <v>392</v>
      </c>
      <c r="E61" s="643">
        <f>IF(B41="楼面地价",SUM(E51:E60),'数据-汇总表'!D3)</f>
        <v>14060.635630028937</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2024-8-1</v>
      </c>
      <c r="D63" s="690">
        <f>EDATE(C63,-3)</f>
        <v>45413</v>
      </c>
      <c r="E63" s="690">
        <f>EDATE(D63,-3)</f>
        <v>45323</v>
      </c>
      <c r="F63" s="690">
        <f t="shared" ref="F63:O63" si="17">EDATE(E63,-3)</f>
        <v>45231</v>
      </c>
      <c r="G63" s="690">
        <f t="shared" si="17"/>
        <v>45139</v>
      </c>
      <c r="H63" s="690">
        <f t="shared" si="17"/>
        <v>45047</v>
      </c>
      <c r="I63" s="690">
        <f t="shared" si="17"/>
        <v>44958</v>
      </c>
      <c r="J63" s="690">
        <f t="shared" si="17"/>
        <v>44866</v>
      </c>
      <c r="K63" s="690">
        <f t="shared" si="17"/>
        <v>44774</v>
      </c>
      <c r="L63" s="690">
        <f t="shared" si="17"/>
        <v>44682</v>
      </c>
      <c r="M63" s="690">
        <f t="shared" si="17"/>
        <v>44593</v>
      </c>
      <c r="N63" s="690">
        <f t="shared" si="17"/>
        <v>44501</v>
      </c>
      <c r="O63" s="690">
        <f t="shared" si="17"/>
        <v>44409</v>
      </c>
      <c r="P63" s="2722"/>
      <c r="Q63" s="2722"/>
      <c r="R63" s="2722"/>
      <c r="S63" s="2722"/>
      <c r="T63" s="2722"/>
      <c r="U63" s="2722"/>
      <c r="V63" s="2722"/>
      <c r="W63" s="2722"/>
      <c r="X63" s="2722"/>
      <c r="Y63" s="2722"/>
      <c r="Z63" s="2722"/>
      <c r="AA63" s="2722"/>
      <c r="AB63" s="2722"/>
      <c r="AC63" s="2722"/>
      <c r="AD63" s="2722"/>
      <c r="AE63" s="2722"/>
    </row>
    <row r="64" spans="1:31" ht="22.2"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6" customFormat="1" ht="14.4">
      <c r="A65" s="1986" t="s">
        <v>1903</v>
      </c>
      <c r="B65" s="1106"/>
      <c r="C65" s="1179" t="str">
        <f>YEAR(C63)&amp;"-"&amp;ROUNDUP(MONTH(C63)/3,0)</f>
        <v>2024-3</v>
      </c>
      <c r="D65" s="1179" t="str">
        <f t="shared" ref="D65:O65" si="18">YEAR(D63)&amp;"-"&amp;ROUNDUP(MONTH(D63)/3,0)</f>
        <v>2024-2</v>
      </c>
      <c r="E65" s="1179" t="str">
        <f t="shared" si="18"/>
        <v>2024-1</v>
      </c>
      <c r="F65" s="1179" t="str">
        <f t="shared" si="18"/>
        <v>2023-4</v>
      </c>
      <c r="G65" s="1179" t="str">
        <f t="shared" si="18"/>
        <v>2023-3</v>
      </c>
      <c r="H65" s="1179" t="str">
        <f t="shared" si="18"/>
        <v>2023-2</v>
      </c>
      <c r="I65" s="1179" t="str">
        <f t="shared" si="18"/>
        <v>2023-1</v>
      </c>
      <c r="J65" s="1179" t="str">
        <f t="shared" si="18"/>
        <v>2022-4</v>
      </c>
      <c r="K65" s="1179" t="str">
        <f t="shared" si="18"/>
        <v>2022-3</v>
      </c>
      <c r="L65" s="1179" t="str">
        <f t="shared" si="18"/>
        <v>2022-2</v>
      </c>
      <c r="M65" s="1179" t="str">
        <f t="shared" si="18"/>
        <v>2022-1</v>
      </c>
      <c r="N65" s="1179" t="str">
        <f t="shared" si="18"/>
        <v>2021-4</v>
      </c>
      <c r="O65" s="1179" t="str">
        <f t="shared" si="18"/>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 thickBot="1">
      <c r="A67" s="463" t="s">
        <v>1715</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4.4">
      <c r="A68" s="469" t="s">
        <v>1680</v>
      </c>
      <c r="B68" s="458"/>
      <c r="C68" s="470" t="s">
        <v>1775</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ht="14.4">
      <c r="A70" s="475" t="s">
        <v>1718</v>
      </c>
      <c r="B70" s="476" t="s">
        <v>1684</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2"/>
      <c r="B72" s="486" t="s">
        <v>1687</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2"/>
      <c r="B74" s="494" t="s">
        <v>1688</v>
      </c>
      <c r="C74" s="495" t="str">
        <f>C75&amp;"（含）"&amp;"-"&amp;D75</f>
        <v>（含）-</v>
      </c>
      <c r="D74" s="495" t="str">
        <f t="shared" ref="D74:L74" si="19">D75&amp;"（含）"&amp;"-"&amp;E75</f>
        <v>（含）-</v>
      </c>
      <c r="E74" s="495" t="str">
        <f t="shared" si="19"/>
        <v>（含）-</v>
      </c>
      <c r="F74" s="495" t="str">
        <f t="shared" si="19"/>
        <v>（含）-</v>
      </c>
      <c r="G74" s="495" t="str">
        <f t="shared" si="19"/>
        <v>（含）-</v>
      </c>
      <c r="H74" s="495" t="str">
        <f t="shared" si="19"/>
        <v>（含）-</v>
      </c>
      <c r="I74" s="495" t="str">
        <f t="shared" si="19"/>
        <v>（含）-</v>
      </c>
      <c r="J74" s="495" t="str">
        <f t="shared" si="19"/>
        <v>（含）-</v>
      </c>
      <c r="K74" s="495" t="str">
        <f t="shared" si="19"/>
        <v>（含）-</v>
      </c>
      <c r="L74" s="495" t="str">
        <f t="shared" si="19"/>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2"/>
      <c r="B76" s="483"/>
      <c r="C76" s="492">
        <v>100</v>
      </c>
      <c r="D76" s="492">
        <f>IF($B$41="单位面积地价",C76+$K11,C76-$K11)</f>
        <v>100</v>
      </c>
      <c r="E76" s="492">
        <f t="shared" ref="E76:M76" si="20">IF($B$41="单位面积地价",D76+$K11,D76-$K11)</f>
        <v>100</v>
      </c>
      <c r="F76" s="492">
        <f t="shared" si="20"/>
        <v>100</v>
      </c>
      <c r="G76" s="492">
        <f t="shared" si="20"/>
        <v>100</v>
      </c>
      <c r="H76" s="492">
        <f t="shared" si="20"/>
        <v>100</v>
      </c>
      <c r="I76" s="492">
        <f t="shared" si="20"/>
        <v>100</v>
      </c>
      <c r="J76" s="492">
        <f t="shared" si="20"/>
        <v>100</v>
      </c>
      <c r="K76" s="492">
        <f t="shared" si="20"/>
        <v>100</v>
      </c>
      <c r="L76" s="492">
        <f t="shared" si="20"/>
        <v>100</v>
      </c>
      <c r="M76" s="492">
        <f t="shared" si="20"/>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4.4"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4.4"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4.4"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4.4"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4.4"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4.4"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ht="14.4">
      <c r="A83" s="475" t="s">
        <v>1689</v>
      </c>
      <c r="B83" s="476" t="s">
        <v>1828</v>
      </c>
      <c r="C83" s="521" t="s">
        <v>1720</v>
      </c>
      <c r="D83" s="521" t="s">
        <v>1721</v>
      </c>
      <c r="E83" s="521" t="s">
        <v>1722</v>
      </c>
      <c r="F83" s="521" t="s">
        <v>1723</v>
      </c>
      <c r="G83" s="521" t="s">
        <v>1724</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2"/>
      <c r="B85" s="486" t="s">
        <v>1725</v>
      </c>
      <c r="C85" s="526" t="s">
        <v>1720</v>
      </c>
      <c r="D85" s="526" t="s">
        <v>1721</v>
      </c>
      <c r="E85" s="526" t="s">
        <v>1722</v>
      </c>
      <c r="F85" s="526" t="s">
        <v>1723</v>
      </c>
      <c r="G85" s="526" t="s">
        <v>1724</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7"/>
      <c r="B87" s="486" t="s">
        <v>1906</v>
      </c>
      <c r="C87" s="521" t="s">
        <v>1720</v>
      </c>
      <c r="D87" s="521" t="s">
        <v>1721</v>
      </c>
      <c r="E87" s="521" t="s">
        <v>1722</v>
      </c>
      <c r="F87" s="521" t="s">
        <v>1723</v>
      </c>
      <c r="G87" s="521" t="s">
        <v>1724</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7"/>
      <c r="B89" s="486" t="s">
        <v>1907</v>
      </c>
      <c r="C89" s="521" t="s">
        <v>1720</v>
      </c>
      <c r="D89" s="521" t="s">
        <v>1721</v>
      </c>
      <c r="E89" s="521" t="s">
        <v>1722</v>
      </c>
      <c r="F89" s="521" t="s">
        <v>1723</v>
      </c>
      <c r="G89" s="521" t="s">
        <v>1724</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 thickTop="1">
      <c r="A91" s="501"/>
      <c r="B91" s="486" t="s">
        <v>1777</v>
      </c>
      <c r="C91" s="521" t="s">
        <v>1720</v>
      </c>
      <c r="D91" s="521" t="s">
        <v>1721</v>
      </c>
      <c r="E91" s="521" t="s">
        <v>1722</v>
      </c>
      <c r="F91" s="521" t="s">
        <v>1723</v>
      </c>
      <c r="G91" s="521" t="s">
        <v>1724</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 thickTop="1">
      <c r="A93" s="501"/>
      <c r="B93" s="494" t="s">
        <v>1924</v>
      </c>
      <c r="C93" s="607" t="s">
        <v>1798</v>
      </c>
      <c r="D93" s="607" t="s">
        <v>1799</v>
      </c>
      <c r="E93" s="607" t="s">
        <v>1800</v>
      </c>
      <c r="F93" s="607" t="s">
        <v>1801</v>
      </c>
      <c r="G93" s="607" t="s">
        <v>1802</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29"/>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2"/>
      <c r="B95" s="486" t="str">
        <f>B27</f>
        <v>临街状况</v>
      </c>
      <c r="C95" s="487" t="s">
        <v>1908</v>
      </c>
      <c r="D95" s="487" t="s">
        <v>1909</v>
      </c>
      <c r="E95" s="487" t="s">
        <v>1910</v>
      </c>
      <c r="F95" s="487" t="s">
        <v>1911</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2"/>
      <c r="B96" s="491"/>
      <c r="C96" s="492">
        <v>100</v>
      </c>
      <c r="D96" s="492">
        <f t="shared" ref="D96:M96" si="21">C96-$K27</f>
        <v>100</v>
      </c>
      <c r="E96" s="492">
        <f t="shared" si="21"/>
        <v>100</v>
      </c>
      <c r="F96" s="492">
        <f t="shared" si="21"/>
        <v>100</v>
      </c>
      <c r="G96" s="492">
        <f t="shared" si="21"/>
        <v>100</v>
      </c>
      <c r="H96" s="492">
        <f t="shared" si="21"/>
        <v>100</v>
      </c>
      <c r="I96" s="492">
        <f t="shared" si="21"/>
        <v>100</v>
      </c>
      <c r="J96" s="492">
        <f t="shared" si="21"/>
        <v>100</v>
      </c>
      <c r="K96" s="492">
        <f t="shared" si="21"/>
        <v>100</v>
      </c>
      <c r="L96" s="492">
        <f t="shared" si="21"/>
        <v>100</v>
      </c>
      <c r="M96" s="492">
        <f t="shared" si="21"/>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2"/>
      <c r="B97" s="486" t="s">
        <v>1814</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2"/>
      <c r="B98" s="491"/>
      <c r="C98" s="492">
        <v>100</v>
      </c>
      <c r="D98" s="492">
        <f t="shared" ref="D98:M98" si="22">C98-$K28</f>
        <v>100</v>
      </c>
      <c r="E98" s="492">
        <f t="shared" si="22"/>
        <v>100</v>
      </c>
      <c r="F98" s="492">
        <f t="shared" si="22"/>
        <v>100</v>
      </c>
      <c r="G98" s="492">
        <f t="shared" si="22"/>
        <v>100</v>
      </c>
      <c r="H98" s="492">
        <f t="shared" si="22"/>
        <v>100</v>
      </c>
      <c r="I98" s="492">
        <f t="shared" si="22"/>
        <v>100</v>
      </c>
      <c r="J98" s="492">
        <f t="shared" si="22"/>
        <v>100</v>
      </c>
      <c r="K98" s="492">
        <f t="shared" si="22"/>
        <v>100</v>
      </c>
      <c r="L98" s="492">
        <f t="shared" si="22"/>
        <v>100</v>
      </c>
      <c r="M98" s="492">
        <f t="shared" si="22"/>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2"/>
      <c r="B99" s="486" t="s">
        <v>1872</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2"/>
      <c r="B100" s="491"/>
      <c r="C100" s="492">
        <v>100</v>
      </c>
      <c r="D100" s="492">
        <f t="shared" ref="D100:M100" si="23">C100-$K30</f>
        <v>100</v>
      </c>
      <c r="E100" s="492">
        <f t="shared" si="23"/>
        <v>100</v>
      </c>
      <c r="F100" s="492">
        <f t="shared" si="23"/>
        <v>100</v>
      </c>
      <c r="G100" s="492">
        <f t="shared" si="23"/>
        <v>100</v>
      </c>
      <c r="H100" s="492">
        <f t="shared" si="23"/>
        <v>100</v>
      </c>
      <c r="I100" s="492">
        <f t="shared" si="23"/>
        <v>100</v>
      </c>
      <c r="J100" s="492">
        <f t="shared" si="23"/>
        <v>100</v>
      </c>
      <c r="K100" s="492">
        <f t="shared" si="23"/>
        <v>100</v>
      </c>
      <c r="L100" s="492">
        <f t="shared" si="23"/>
        <v>100</v>
      </c>
      <c r="M100" s="492">
        <f t="shared" si="23"/>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4.4"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4.4"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5" t="s">
        <v>1693</v>
      </c>
      <c r="B107" s="476" t="s">
        <v>1912</v>
      </c>
      <c r="C107" s="477" t="str">
        <f t="shared" ref="C107:L107" si="24">C108&amp;"(含)"&amp;"-"&amp;D108</f>
        <v>(含)-</v>
      </c>
      <c r="D107" s="477" t="str">
        <f t="shared" si="24"/>
        <v>(含)-</v>
      </c>
      <c r="E107" s="477" t="str">
        <f t="shared" si="24"/>
        <v>(含)-</v>
      </c>
      <c r="F107" s="477" t="str">
        <f t="shared" si="24"/>
        <v>(含)-</v>
      </c>
      <c r="G107" s="477" t="str">
        <f t="shared" si="24"/>
        <v>(含)-</v>
      </c>
      <c r="H107" s="477" t="str">
        <f t="shared" si="24"/>
        <v>(含)-</v>
      </c>
      <c r="I107" s="477" t="str">
        <f t="shared" si="24"/>
        <v>(含)-</v>
      </c>
      <c r="J107" s="477" t="str">
        <f t="shared" si="24"/>
        <v>(含)-</v>
      </c>
      <c r="K107" s="1330" t="str">
        <f t="shared" si="24"/>
        <v>(含)-</v>
      </c>
      <c r="L107" s="1330" t="str">
        <f t="shared" si="24"/>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1913</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2"/>
      <c r="B111" s="491"/>
      <c r="C111" s="492">
        <v>100</v>
      </c>
      <c r="D111" s="492">
        <f t="shared" ref="D111:M111" si="25">C111-$K35</f>
        <v>100</v>
      </c>
      <c r="E111" s="492">
        <f t="shared" si="25"/>
        <v>100</v>
      </c>
      <c r="F111" s="492">
        <f t="shared" si="25"/>
        <v>100</v>
      </c>
      <c r="G111" s="492">
        <f t="shared" si="25"/>
        <v>100</v>
      </c>
      <c r="H111" s="492">
        <f t="shared" si="25"/>
        <v>100</v>
      </c>
      <c r="I111" s="492">
        <f t="shared" si="25"/>
        <v>100</v>
      </c>
      <c r="J111" s="492">
        <f t="shared" si="25"/>
        <v>100</v>
      </c>
      <c r="K111" s="492">
        <f t="shared" si="25"/>
        <v>100</v>
      </c>
      <c r="L111" s="492">
        <f t="shared" si="25"/>
        <v>100</v>
      </c>
      <c r="M111" s="493">
        <f t="shared" si="25"/>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1915</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4.4" thickBot="1">
      <c r="A113" s="501"/>
      <c r="B113" s="491"/>
      <c r="C113" s="492">
        <v>100</v>
      </c>
      <c r="D113" s="492">
        <f t="shared" ref="D113:M113" si="26">C113-$K36</f>
        <v>100</v>
      </c>
      <c r="E113" s="492">
        <f t="shared" si="26"/>
        <v>100</v>
      </c>
      <c r="F113" s="492">
        <f t="shared" si="26"/>
        <v>100</v>
      </c>
      <c r="G113" s="492">
        <f t="shared" si="26"/>
        <v>100</v>
      </c>
      <c r="H113" s="492">
        <f t="shared" si="26"/>
        <v>100</v>
      </c>
      <c r="I113" s="492">
        <f t="shared" si="26"/>
        <v>100</v>
      </c>
      <c r="J113" s="492">
        <f t="shared" si="26"/>
        <v>100</v>
      </c>
      <c r="K113" s="492">
        <f t="shared" si="26"/>
        <v>100</v>
      </c>
      <c r="L113" s="492">
        <f t="shared" si="26"/>
        <v>100</v>
      </c>
      <c r="M113" s="493">
        <f t="shared" si="26"/>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1916</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2"/>
      <c r="B115" s="491"/>
      <c r="C115" s="492">
        <v>100</v>
      </c>
      <c r="D115" s="492">
        <f t="shared" ref="D115:M115" si="27">C115-$K37</f>
        <v>100</v>
      </c>
      <c r="E115" s="492">
        <f t="shared" si="27"/>
        <v>100</v>
      </c>
      <c r="F115" s="492">
        <f t="shared" si="27"/>
        <v>100</v>
      </c>
      <c r="G115" s="492">
        <f t="shared" si="27"/>
        <v>100</v>
      </c>
      <c r="H115" s="492">
        <f t="shared" si="27"/>
        <v>100</v>
      </c>
      <c r="I115" s="492">
        <f t="shared" si="27"/>
        <v>100</v>
      </c>
      <c r="J115" s="492">
        <f t="shared" si="27"/>
        <v>100</v>
      </c>
      <c r="K115" s="492">
        <f t="shared" si="27"/>
        <v>100</v>
      </c>
      <c r="L115" s="492">
        <f t="shared" si="27"/>
        <v>100</v>
      </c>
      <c r="M115" s="493">
        <f t="shared" si="27"/>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4.4"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4.4"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5" priority="18" stopIfTrue="1" operator="containsText" text="超过">
      <formula>NOT(ISERROR(SEARCH("超过",F46)))</formula>
    </cfRule>
  </conditionalFormatting>
  <conditionalFormatting sqref="J48">
    <cfRule type="containsText" dxfId="14" priority="17" stopIfTrue="1" operator="containsText" text="超过">
      <formula>NOT(ISERROR(SEARCH("超过",J48)))</formula>
    </cfRule>
  </conditionalFormatting>
  <conditionalFormatting sqref="H48">
    <cfRule type="containsText" dxfId="13" priority="16" stopIfTrue="1" operator="containsText" text="超过">
      <formula>NOT(ISERROR(SEARCH("超过",H48)))</formula>
    </cfRule>
  </conditionalFormatting>
  <conditionalFormatting sqref="F48">
    <cfRule type="containsText" dxfId="12" priority="15" stopIfTrue="1" operator="containsText" text="超过">
      <formula>NOT(ISERROR(SEARCH("超过",F48)))</formula>
    </cfRule>
  </conditionalFormatting>
  <conditionalFormatting sqref="F47 H47 J47">
    <cfRule type="containsText" dxfId="11" priority="14" stopIfTrue="1" operator="containsText" text="超过">
      <formula>NOT(ISERROR(SEARCH("超过",F47)))</formula>
    </cfRule>
  </conditionalFormatting>
  <conditionalFormatting sqref="E46">
    <cfRule type="expression" dxfId="10" priority="13" stopIfTrue="1">
      <formula>$F$46="超过30%"</formula>
    </cfRule>
  </conditionalFormatting>
  <conditionalFormatting sqref="G48">
    <cfRule type="expression" dxfId="9" priority="12" stopIfTrue="1">
      <formula>$H$48="超过30%"</formula>
    </cfRule>
  </conditionalFormatting>
  <conditionalFormatting sqref="E48">
    <cfRule type="expression" dxfId="8" priority="10" stopIfTrue="1">
      <formula>$F$48="超过30%"</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E47">
    <cfRule type="expression" dxfId="2" priority="53" stopIfTrue="1">
      <formula>#REF!+$F$47="超过20%"</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3.8"/>
  <cols>
    <col min="1" max="1" width="0.77734375" style="1489" customWidth="1"/>
    <col min="2" max="2" width="37.1093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908</v>
      </c>
      <c r="B1" s="1488"/>
      <c r="C1" s="1488"/>
      <c r="D1" s="1488"/>
      <c r="E1" s="1488"/>
    </row>
    <row r="2" spans="1:5" ht="78" customHeight="1">
      <c r="A2" s="36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1"/>
      <c r="C2" s="3631"/>
      <c r="D2" s="3631"/>
      <c r="E2" s="3631"/>
    </row>
    <row r="3" spans="1:5" ht="17.399999999999999">
      <c r="A3" s="3632" t="str">
        <f>IF(项目基本情况!B9="房地产市场价值","估价结果一览表（市场价值不需“结果表-1”）","估价结果一览表")</f>
        <v>估价结果一览表（市场价值不需“结果表-1”）</v>
      </c>
      <c r="B3" s="3632"/>
      <c r="C3" s="3632"/>
      <c r="D3" s="3632"/>
      <c r="E3" s="3632"/>
    </row>
    <row r="4" spans="1:5" ht="18" thickBot="1">
      <c r="A4" s="1490"/>
      <c r="B4" s="3630" t="s">
        <v>917</v>
      </c>
      <c r="C4" s="3630"/>
      <c r="D4" s="3630"/>
      <c r="E4" s="1490"/>
    </row>
    <row r="5" spans="1:5" ht="16.2" thickTop="1">
      <c r="A5" s="1488"/>
      <c r="B5" s="3628" t="s">
        <v>909</v>
      </c>
      <c r="C5" s="1491" t="s">
        <v>910</v>
      </c>
      <c r="D5" s="848" t="e">
        <f ca="1">结果表!H101</f>
        <v>#REF!</v>
      </c>
      <c r="E5" s="1488"/>
    </row>
    <row r="6" spans="1:5" ht="15.6">
      <c r="A6" s="1488"/>
      <c r="B6" s="3628"/>
      <c r="C6" s="1491" t="s">
        <v>911</v>
      </c>
      <c r="D6" s="848" t="e">
        <f ca="1">NUMBERSTRING(INT(D5*10000),2)&amp;"元整"</f>
        <v>#REF!</v>
      </c>
      <c r="E6" s="1488"/>
    </row>
    <row r="7" spans="1:5" ht="15.6">
      <c r="A7" s="1488"/>
      <c r="B7" s="3633"/>
      <c r="C7" s="1492" t="s">
        <v>912</v>
      </c>
      <c r="D7" s="849" t="e">
        <f ca="1">结果表!H102</f>
        <v>#REF!</v>
      </c>
      <c r="E7" s="1488"/>
    </row>
    <row r="8" spans="1:5" ht="15.6">
      <c r="A8" s="1488"/>
      <c r="B8" s="3634" t="str">
        <f>结果表!E103</f>
        <v>2.估价师知悉的法定优先受偿款</v>
      </c>
      <c r="C8" s="1493" t="s">
        <v>913</v>
      </c>
      <c r="D8" s="849">
        <f>结果表!H103</f>
        <v>0</v>
      </c>
      <c r="E8" s="1488"/>
    </row>
    <row r="9" spans="1:5" ht="15.6">
      <c r="A9" s="1488"/>
      <c r="B9" s="3636"/>
      <c r="C9" s="1491" t="s">
        <v>911</v>
      </c>
      <c r="D9" s="848" t="str">
        <f>NUMBERSTRING(INT(D8*10000),2)&amp;"元整"</f>
        <v>零元整</v>
      </c>
      <c r="E9" s="1488"/>
    </row>
    <row r="10" spans="1:5" ht="15.6">
      <c r="A10" s="1488"/>
      <c r="B10" s="1494" t="s">
        <v>916</v>
      </c>
      <c r="C10" s="1495" t="s">
        <v>914</v>
      </c>
      <c r="D10" s="850">
        <f>结果表!H104</f>
        <v>0</v>
      </c>
      <c r="E10" s="1488"/>
    </row>
    <row r="11" spans="1:5" ht="15.6">
      <c r="A11" s="1488"/>
      <c r="B11" s="1494" t="s">
        <v>918</v>
      </c>
      <c r="C11" s="1495" t="s">
        <v>919</v>
      </c>
      <c r="D11" s="850">
        <f>结果表!H105</f>
        <v>0</v>
      </c>
      <c r="E11" s="1488"/>
    </row>
    <row r="12" spans="1:5" ht="15.6">
      <c r="A12" s="1488"/>
      <c r="B12" s="1494" t="s">
        <v>920</v>
      </c>
      <c r="C12" s="1495" t="s">
        <v>919</v>
      </c>
      <c r="D12" s="850">
        <f>结果表!H106</f>
        <v>0</v>
      </c>
      <c r="E12" s="1488"/>
    </row>
    <row r="13" spans="1:5" ht="15.6">
      <c r="A13" s="1488"/>
      <c r="B13" s="3627" t="str">
        <f>结果表!E107</f>
        <v>3.房地产抵押价值</v>
      </c>
      <c r="C13" s="1496" t="s">
        <v>910</v>
      </c>
      <c r="D13" s="851" t="e">
        <f ca="1">结果表!H107</f>
        <v>#REF!</v>
      </c>
      <c r="E13" s="1488"/>
    </row>
    <row r="14" spans="1:5" ht="15.6">
      <c r="A14" s="1488"/>
      <c r="B14" s="3628"/>
      <c r="C14" s="1491" t="s">
        <v>911</v>
      </c>
      <c r="D14" s="848" t="e">
        <f ca="1">NUMBERSTRING(INT(D13*10000),2)&amp;"元整"</f>
        <v>#REF!</v>
      </c>
      <c r="E14" s="1488"/>
    </row>
    <row r="15" spans="1:5" ht="15.6">
      <c r="A15" s="1488"/>
      <c r="B15" s="3633"/>
      <c r="C15" s="1492" t="s">
        <v>921</v>
      </c>
      <c r="D15" s="857" t="e">
        <f ca="1">结果表!H108</f>
        <v>#REF!</v>
      </c>
      <c r="E15" s="1488"/>
    </row>
    <row r="16" spans="1:5" ht="15.6">
      <c r="A16" s="1488"/>
      <c r="B16" s="3634" t="str">
        <f>结果表!E109</f>
        <v>——</v>
      </c>
      <c r="C16" s="1496" t="s">
        <v>922</v>
      </c>
      <c r="D16" s="1497" t="str">
        <f>结果表!H109</f>
        <v>——</v>
      </c>
      <c r="E16" s="1488"/>
    </row>
    <row r="17" spans="1:5" ht="15.6">
      <c r="A17" s="1488"/>
      <c r="B17" s="3635"/>
      <c r="C17" s="1491" t="s">
        <v>923</v>
      </c>
      <c r="D17" s="848" t="e">
        <f>NUMBERSTRING(INT(D16*10000),2)&amp;"元整"</f>
        <v>#VALUE!</v>
      </c>
      <c r="E17" s="1488"/>
    </row>
    <row r="18" spans="1:5" ht="15.6">
      <c r="A18" s="1488"/>
      <c r="B18" s="3636"/>
      <c r="C18" s="1492" t="s">
        <v>912</v>
      </c>
      <c r="D18" s="857" t="str">
        <f>结果表!H110</f>
        <v>——</v>
      </c>
      <c r="E18" s="1488"/>
    </row>
    <row r="19" spans="1:5" ht="15.6">
      <c r="A19" s="1488"/>
      <c r="B19" s="3627" t="str">
        <f>结果表!E111</f>
        <v>——</v>
      </c>
      <c r="C19" s="1496" t="s">
        <v>910</v>
      </c>
      <c r="D19" s="849" t="str">
        <f>结果表!H111</f>
        <v>——</v>
      </c>
      <c r="E19" s="1488"/>
    </row>
    <row r="20" spans="1:5" ht="15.6">
      <c r="A20" s="1488"/>
      <c r="B20" s="3628"/>
      <c r="C20" s="1491" t="s">
        <v>923</v>
      </c>
      <c r="D20" s="848" t="e">
        <f>NUMBERSTRING(INT(D19*10000),2)&amp;"元整"</f>
        <v>#VALUE!</v>
      </c>
      <c r="E20" s="1488"/>
    </row>
    <row r="21" spans="1:5" ht="16.2" thickBot="1">
      <c r="A21" s="1488"/>
      <c r="B21" s="3629"/>
      <c r="C21" s="1498" t="s">
        <v>921</v>
      </c>
      <c r="D21" s="858" t="str">
        <f>结果表!H112</f>
        <v>——</v>
      </c>
      <c r="E21" s="1488"/>
    </row>
    <row r="22" spans="1:5" ht="14.4" thickTop="1">
      <c r="A22" s="1488"/>
      <c r="B22" s="1499" t="s">
        <v>924</v>
      </c>
      <c r="C22" s="1488"/>
      <c r="D22" s="1488"/>
      <c r="E22" s="1488"/>
    </row>
    <row r="23" spans="1:5">
      <c r="A23" s="1488"/>
      <c r="B23" s="1488"/>
      <c r="C23" s="1488"/>
      <c r="D23" s="1488"/>
      <c r="E23" s="1488"/>
    </row>
    <row r="24" spans="1:5" ht="17.399999999999999">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1093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2082</v>
      </c>
      <c r="C1" s="3986" t="s">
        <v>2083</v>
      </c>
      <c r="D1" s="3987"/>
      <c r="E1" s="3987"/>
      <c r="F1" s="3987"/>
      <c r="G1" s="3987"/>
      <c r="H1" s="3987"/>
      <c r="I1" s="3987"/>
      <c r="J1" s="3987"/>
      <c r="K1" s="3987"/>
      <c r="L1" s="3987"/>
      <c r="M1" s="3987"/>
      <c r="N1" s="3987"/>
      <c r="O1" s="3987"/>
      <c r="P1" s="3987"/>
      <c r="Q1" s="3987"/>
      <c r="R1" s="3987"/>
      <c r="S1" s="3988"/>
      <c r="T1" s="981" t="s">
        <v>2084</v>
      </c>
    </row>
    <row r="2" spans="1:45" s="654" customFormat="1">
      <c r="A2" s="982"/>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R2" si="1">M3&amp;"(含)"&amp;"-"&amp;N3</f>
        <v>(含)-</v>
      </c>
      <c r="N2" s="652" t="str">
        <f t="shared" si="1"/>
        <v>(含)-</v>
      </c>
      <c r="O2" s="652" t="str">
        <f t="shared" si="1"/>
        <v>(含)-</v>
      </c>
      <c r="P2" s="652" t="str">
        <f t="shared" si="1"/>
        <v>(含)-</v>
      </c>
      <c r="Q2" s="652" t="str">
        <f t="shared" si="1"/>
        <v>(含)-</v>
      </c>
      <c r="R2" s="652" t="str">
        <f t="shared" si="1"/>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2"/>
      <c r="G3" s="1302"/>
      <c r="H3" s="1302"/>
      <c r="I3" s="1302"/>
      <c r="J3" s="1302"/>
      <c r="K3" s="1302"/>
      <c r="L3" s="1303"/>
      <c r="M3" s="1304"/>
      <c r="N3" s="1304"/>
      <c r="O3" s="1302"/>
      <c r="P3" s="1302"/>
      <c r="Q3" s="1302"/>
      <c r="R3" s="1302"/>
      <c r="S3" s="1305"/>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8"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2">D6-$T5</f>
        <v>100</v>
      </c>
      <c r="F6" s="1313">
        <f t="shared" si="2"/>
        <v>100</v>
      </c>
      <c r="G6" s="1313">
        <f t="shared" si="2"/>
        <v>100</v>
      </c>
      <c r="H6" s="1313">
        <f t="shared" si="2"/>
        <v>100</v>
      </c>
      <c r="I6" s="1313">
        <f t="shared" si="2"/>
        <v>100</v>
      </c>
      <c r="J6" s="1313">
        <f t="shared" si="2"/>
        <v>100</v>
      </c>
      <c r="K6" s="1313">
        <f t="shared" si="2"/>
        <v>100</v>
      </c>
      <c r="L6" s="1313">
        <f t="shared" si="2"/>
        <v>100</v>
      </c>
      <c r="M6" s="1313">
        <f t="shared" si="2"/>
        <v>100</v>
      </c>
      <c r="N6" s="1313">
        <f t="shared" si="2"/>
        <v>100</v>
      </c>
      <c r="O6" s="1313">
        <f t="shared" si="2"/>
        <v>100</v>
      </c>
      <c r="P6" s="1313">
        <f t="shared" si="2"/>
        <v>100</v>
      </c>
      <c r="Q6" s="1313">
        <f t="shared" si="2"/>
        <v>100</v>
      </c>
      <c r="R6" s="1313">
        <f t="shared" si="2"/>
        <v>100</v>
      </c>
      <c r="S6" s="1313">
        <f t="shared" si="2"/>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3">D8-$T7</f>
        <v>100</v>
      </c>
      <c r="F8" s="1313">
        <f t="shared" si="3"/>
        <v>100</v>
      </c>
      <c r="G8" s="1313">
        <f t="shared" si="3"/>
        <v>100</v>
      </c>
      <c r="H8" s="1313">
        <f t="shared" si="3"/>
        <v>100</v>
      </c>
      <c r="I8" s="1313">
        <f t="shared" si="3"/>
        <v>100</v>
      </c>
      <c r="J8" s="1313">
        <f t="shared" si="3"/>
        <v>100</v>
      </c>
      <c r="K8" s="1313">
        <f t="shared" si="3"/>
        <v>100</v>
      </c>
      <c r="L8" s="1313">
        <f t="shared" si="3"/>
        <v>100</v>
      </c>
      <c r="M8" s="1313">
        <f t="shared" si="3"/>
        <v>100</v>
      </c>
      <c r="N8" s="1313">
        <f t="shared" si="3"/>
        <v>100</v>
      </c>
      <c r="O8" s="1313">
        <f t="shared" si="3"/>
        <v>100</v>
      </c>
      <c r="P8" s="1313">
        <f t="shared" si="3"/>
        <v>100</v>
      </c>
      <c r="Q8" s="1313">
        <f t="shared" si="3"/>
        <v>100</v>
      </c>
      <c r="R8" s="1313">
        <f t="shared" si="3"/>
        <v>100</v>
      </c>
      <c r="S8" s="1313">
        <f t="shared" si="3"/>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4">D10-$T9</f>
        <v>100</v>
      </c>
      <c r="F10" s="1323">
        <f t="shared" si="4"/>
        <v>100</v>
      </c>
      <c r="G10" s="1323">
        <f t="shared" si="4"/>
        <v>100</v>
      </c>
      <c r="H10" s="1323">
        <f t="shared" si="4"/>
        <v>100</v>
      </c>
      <c r="I10" s="1323">
        <f t="shared" si="4"/>
        <v>100</v>
      </c>
      <c r="J10" s="1323">
        <f t="shared" si="4"/>
        <v>100</v>
      </c>
      <c r="K10" s="1323">
        <f t="shared" si="4"/>
        <v>100</v>
      </c>
      <c r="L10" s="1323">
        <f t="shared" si="4"/>
        <v>100</v>
      </c>
      <c r="M10" s="1323">
        <f t="shared" si="4"/>
        <v>100</v>
      </c>
      <c r="N10" s="1323">
        <f t="shared" si="4"/>
        <v>100</v>
      </c>
      <c r="O10" s="1323">
        <f t="shared" si="4"/>
        <v>100</v>
      </c>
      <c r="P10" s="1323">
        <f t="shared" si="4"/>
        <v>100</v>
      </c>
      <c r="Q10" s="1323">
        <f t="shared" si="4"/>
        <v>100</v>
      </c>
      <c r="R10" s="1323">
        <f t="shared" si="4"/>
        <v>100</v>
      </c>
      <c r="S10" s="1323">
        <f t="shared" si="4"/>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5">D12-$T11</f>
        <v>100</v>
      </c>
      <c r="F12" s="900">
        <f t="shared" si="5"/>
        <v>100</v>
      </c>
      <c r="G12" s="900">
        <f t="shared" si="5"/>
        <v>100</v>
      </c>
      <c r="H12" s="900">
        <f t="shared" si="5"/>
        <v>100</v>
      </c>
      <c r="I12" s="900">
        <f t="shared" si="5"/>
        <v>100</v>
      </c>
      <c r="J12" s="900">
        <f t="shared" si="5"/>
        <v>100</v>
      </c>
      <c r="K12" s="900">
        <f t="shared" si="5"/>
        <v>100</v>
      </c>
      <c r="L12" s="900">
        <f t="shared" si="5"/>
        <v>100</v>
      </c>
      <c r="M12" s="900">
        <f t="shared" si="5"/>
        <v>100</v>
      </c>
      <c r="N12" s="900">
        <f t="shared" si="5"/>
        <v>100</v>
      </c>
      <c r="O12" s="900">
        <f t="shared" si="5"/>
        <v>100</v>
      </c>
      <c r="P12" s="900">
        <f t="shared" si="5"/>
        <v>100</v>
      </c>
      <c r="Q12" s="900">
        <f t="shared" si="5"/>
        <v>100</v>
      </c>
      <c r="R12" s="900">
        <f>Q12-$T11</f>
        <v>100</v>
      </c>
      <c r="S12" s="900">
        <f t="shared" si="5"/>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5" t="s">
        <v>2092</v>
      </c>
      <c r="B17" s="2146"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7" t="s">
        <v>2094</v>
      </c>
      <c r="E19" s="1337"/>
      <c r="F19" s="1337"/>
      <c r="G19" s="1337"/>
      <c r="H19" s="1056"/>
      <c r="I19" s="158"/>
      <c r="J19" s="158"/>
      <c r="K19" s="158"/>
      <c r="L19" s="158"/>
      <c r="M19" s="158"/>
      <c r="N19" s="158"/>
      <c r="O19" s="158"/>
      <c r="P19" s="158"/>
      <c r="Q19" s="158"/>
      <c r="R19" s="716"/>
      <c r="S19" s="128"/>
    </row>
    <row r="20" spans="1:45" ht="16.2" thickBot="1">
      <c r="A20" s="661" t="s">
        <v>2095</v>
      </c>
      <c r="B20" s="293" t="e">
        <f ca="1">IF(D20="——",S22,S22-F20)</f>
        <v>#REF!</v>
      </c>
      <c r="C20" s="158"/>
      <c r="D20" s="2148"/>
      <c r="E20" s="1338"/>
      <c r="F20" s="981" t="e">
        <f ca="1">SUMIF(INDIRECT("'"&amp;H20&amp;"'"&amp;"!A:A"),"承租人权益价值",INDIRECT("'"&amp;H20&amp;"'"&amp;"!c:c"))</f>
        <v>#REF!</v>
      </c>
      <c r="G20" s="981" t="s">
        <v>2096</v>
      </c>
      <c r="H20" s="2149"/>
      <c r="I20" s="158"/>
      <c r="J20" s="158"/>
      <c r="K20" s="158"/>
      <c r="L20" s="158"/>
      <c r="M20" s="158"/>
      <c r="N20" s="158"/>
      <c r="O20" s="158"/>
      <c r="P20" s="158"/>
      <c r="Q20" s="158"/>
      <c r="R20" s="716"/>
      <c r="S20" s="128"/>
    </row>
    <row r="21" spans="1:45" ht="15.6">
      <c r="A21" s="661" t="s">
        <v>2097</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2098</v>
      </c>
      <c r="B22" s="21">
        <f>SUM(B24:B10000)</f>
        <v>0</v>
      </c>
      <c r="C22" s="3983" t="s">
        <v>27</v>
      </c>
      <c r="D22" s="3984"/>
      <c r="E22" s="3984"/>
      <c r="F22" s="3984"/>
      <c r="G22" s="3984"/>
      <c r="H22" s="3984"/>
      <c r="I22" s="3984"/>
      <c r="J22" s="3984"/>
      <c r="K22" s="3984"/>
      <c r="L22" s="3984"/>
      <c r="M22" s="3984"/>
      <c r="N22" s="3984"/>
      <c r="O22" s="3984"/>
      <c r="P22" s="3984"/>
      <c r="Q22" s="3985"/>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2104</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6">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6"/>
        <v>0</v>
      </c>
    </row>
    <row r="26" spans="1:45">
      <c r="A26" s="149"/>
      <c r="B26" s="54"/>
      <c r="C26" s="21">
        <f t="shared" ref="C26:C89" si="7">IF(B26="",1,(LOOKUP(B26,$3:$3,$4:$4)-LOOKUP($B$24,$3:$3,$4:$4)+100)/100)</f>
        <v>1</v>
      </c>
      <c r="D26" s="666"/>
      <c r="E26" s="21">
        <f t="shared" ref="E26:E89" si="8">(SUMIF($5:$5,D26,$6:$6)-SUMIF($5:$5,$D$24,$6:$6)+100)/100</f>
        <v>1</v>
      </c>
      <c r="F26" s="666"/>
      <c r="G26" s="21">
        <f t="shared" ref="G26:G89" si="9">(SUMIF($7:$7,F26,$8:$8)-SUMIF($7:$7,$F$24,$8:$8)+100)/100</f>
        <v>1</v>
      </c>
      <c r="H26" s="666"/>
      <c r="I26" s="21">
        <f t="shared" ref="I26:I89" si="10">(SUMIF($9:$9,H26,$10:$10)-SUMIF($9:$9,$H$24,$10:$10)+100)/100</f>
        <v>1</v>
      </c>
      <c r="J26" s="666"/>
      <c r="K26" s="21">
        <f t="shared" ref="K26:K89" si="11">(SUMIF($11:$11,J26,$12:$12)-SUMIF($11:$11,$J$24,$12:$12)+100)/100</f>
        <v>1</v>
      </c>
      <c r="L26" s="666"/>
      <c r="M26" s="21">
        <f t="shared" ref="M26:M89" si="12">(SUMIF($13:$13,L26,$14:$14)-SUMIF($13:$13,$L$24,$14:$14)+100)/100</f>
        <v>1</v>
      </c>
      <c r="N26" s="666"/>
      <c r="O26" s="21">
        <f t="shared" ref="O26:O89" si="13">(SUMIF($15:$15,N26,$16:$16)-SUMIF($15:$15,$N$24,$16:$16)+100)/100</f>
        <v>1</v>
      </c>
      <c r="P26" s="666"/>
      <c r="Q26" s="21">
        <f t="shared" ref="Q26:Q89" si="14">(SUMIF($17:$17,P26,$18:$18)-SUMIF($17:$17,$P$24,$18:$18)+100)/100</f>
        <v>1</v>
      </c>
      <c r="R26" s="662">
        <f t="shared" ref="R26:R89" si="15">IF(B26="",0,ROUND($R$24*C26*E26*G26*I26*K26*M26*O26*Q26,0))</f>
        <v>0</v>
      </c>
      <c r="S26" s="315">
        <f t="shared" si="6"/>
        <v>0</v>
      </c>
    </row>
    <row r="27" spans="1:45">
      <c r="A27" s="149"/>
      <c r="B27" s="54"/>
      <c r="C27" s="21">
        <f t="shared" si="7"/>
        <v>1</v>
      </c>
      <c r="D27" s="666"/>
      <c r="E27" s="21">
        <f t="shared" si="8"/>
        <v>1</v>
      </c>
      <c r="F27" s="666"/>
      <c r="G27" s="21">
        <f t="shared" si="9"/>
        <v>1</v>
      </c>
      <c r="H27" s="666"/>
      <c r="I27" s="21">
        <f t="shared" si="10"/>
        <v>1</v>
      </c>
      <c r="J27" s="666"/>
      <c r="K27" s="21">
        <f t="shared" si="11"/>
        <v>1</v>
      </c>
      <c r="L27" s="666"/>
      <c r="M27" s="21">
        <f t="shared" si="12"/>
        <v>1</v>
      </c>
      <c r="N27" s="666"/>
      <c r="O27" s="21">
        <f t="shared" si="13"/>
        <v>1</v>
      </c>
      <c r="P27" s="666"/>
      <c r="Q27" s="21">
        <f t="shared" si="14"/>
        <v>1</v>
      </c>
      <c r="R27" s="662">
        <f t="shared" si="15"/>
        <v>0</v>
      </c>
      <c r="S27" s="315">
        <f t="shared" si="6"/>
        <v>0</v>
      </c>
    </row>
    <row r="28" spans="1:45">
      <c r="A28" s="149"/>
      <c r="B28" s="54"/>
      <c r="C28" s="21">
        <f t="shared" si="7"/>
        <v>1</v>
      </c>
      <c r="D28" s="666"/>
      <c r="E28" s="21">
        <f t="shared" si="8"/>
        <v>1</v>
      </c>
      <c r="F28" s="666"/>
      <c r="G28" s="21">
        <f t="shared" si="9"/>
        <v>1</v>
      </c>
      <c r="H28" s="666"/>
      <c r="I28" s="21">
        <f t="shared" si="10"/>
        <v>1</v>
      </c>
      <c r="J28" s="666"/>
      <c r="K28" s="21">
        <f t="shared" si="11"/>
        <v>1</v>
      </c>
      <c r="L28" s="666"/>
      <c r="M28" s="21">
        <f t="shared" si="12"/>
        <v>1</v>
      </c>
      <c r="N28" s="666"/>
      <c r="O28" s="21">
        <f t="shared" si="13"/>
        <v>1</v>
      </c>
      <c r="P28" s="666"/>
      <c r="Q28" s="21">
        <f t="shared" si="14"/>
        <v>1</v>
      </c>
      <c r="R28" s="662">
        <f t="shared" si="15"/>
        <v>0</v>
      </c>
      <c r="S28" s="315">
        <f t="shared" si="6"/>
        <v>0</v>
      </c>
    </row>
    <row r="29" spans="1:45">
      <c r="A29" s="149"/>
      <c r="B29" s="54"/>
      <c r="C29" s="21">
        <f t="shared" si="7"/>
        <v>1</v>
      </c>
      <c r="D29" s="666"/>
      <c r="E29" s="21">
        <f t="shared" si="8"/>
        <v>1</v>
      </c>
      <c r="F29" s="666"/>
      <c r="G29" s="21">
        <f t="shared" si="9"/>
        <v>1</v>
      </c>
      <c r="H29" s="666"/>
      <c r="I29" s="21">
        <f t="shared" si="10"/>
        <v>1</v>
      </c>
      <c r="J29" s="666"/>
      <c r="K29" s="21">
        <f t="shared" si="11"/>
        <v>1</v>
      </c>
      <c r="L29" s="666"/>
      <c r="M29" s="21">
        <f t="shared" si="12"/>
        <v>1</v>
      </c>
      <c r="N29" s="666"/>
      <c r="O29" s="21">
        <f t="shared" si="13"/>
        <v>1</v>
      </c>
      <c r="P29" s="666"/>
      <c r="Q29" s="21">
        <f t="shared" si="14"/>
        <v>1</v>
      </c>
      <c r="R29" s="662">
        <f t="shared" si="15"/>
        <v>0</v>
      </c>
      <c r="S29" s="315">
        <f t="shared" si="6"/>
        <v>0</v>
      </c>
    </row>
    <row r="30" spans="1:45">
      <c r="A30" s="149"/>
      <c r="B30" s="54"/>
      <c r="C30" s="21">
        <f t="shared" si="7"/>
        <v>1</v>
      </c>
      <c r="D30" s="666"/>
      <c r="E30" s="21">
        <f t="shared" si="8"/>
        <v>1</v>
      </c>
      <c r="F30" s="666"/>
      <c r="G30" s="21">
        <f t="shared" si="9"/>
        <v>1</v>
      </c>
      <c r="H30" s="666"/>
      <c r="I30" s="21">
        <f t="shared" si="10"/>
        <v>1</v>
      </c>
      <c r="J30" s="666"/>
      <c r="K30" s="21">
        <f t="shared" si="11"/>
        <v>1</v>
      </c>
      <c r="L30" s="666"/>
      <c r="M30" s="21">
        <f t="shared" si="12"/>
        <v>1</v>
      </c>
      <c r="N30" s="666"/>
      <c r="O30" s="21">
        <f t="shared" si="13"/>
        <v>1</v>
      </c>
      <c r="P30" s="666"/>
      <c r="Q30" s="21">
        <f t="shared" si="14"/>
        <v>1</v>
      </c>
      <c r="R30" s="662">
        <f t="shared" si="15"/>
        <v>0</v>
      </c>
      <c r="S30" s="315">
        <f t="shared" si="6"/>
        <v>0</v>
      </c>
    </row>
    <row r="31" spans="1:45">
      <c r="A31" s="149"/>
      <c r="B31" s="54"/>
      <c r="C31" s="21">
        <f t="shared" si="7"/>
        <v>1</v>
      </c>
      <c r="D31" s="666"/>
      <c r="E31" s="21">
        <f t="shared" si="8"/>
        <v>1</v>
      </c>
      <c r="F31" s="666"/>
      <c r="G31" s="21">
        <f t="shared" si="9"/>
        <v>1</v>
      </c>
      <c r="H31" s="666"/>
      <c r="I31" s="21">
        <f t="shared" si="10"/>
        <v>1</v>
      </c>
      <c r="J31" s="666"/>
      <c r="K31" s="21">
        <f t="shared" si="11"/>
        <v>1</v>
      </c>
      <c r="L31" s="666"/>
      <c r="M31" s="21">
        <f t="shared" si="12"/>
        <v>1</v>
      </c>
      <c r="N31" s="666"/>
      <c r="O31" s="21">
        <f t="shared" si="13"/>
        <v>1</v>
      </c>
      <c r="P31" s="666"/>
      <c r="Q31" s="21">
        <f t="shared" si="14"/>
        <v>1</v>
      </c>
      <c r="R31" s="662">
        <f t="shared" si="15"/>
        <v>0</v>
      </c>
      <c r="S31" s="315">
        <f t="shared" si="6"/>
        <v>0</v>
      </c>
    </row>
    <row r="32" spans="1:45">
      <c r="A32" s="149"/>
      <c r="B32" s="54"/>
      <c r="C32" s="21">
        <f t="shared" si="7"/>
        <v>1</v>
      </c>
      <c r="D32" s="666"/>
      <c r="E32" s="21">
        <f t="shared" si="8"/>
        <v>1</v>
      </c>
      <c r="F32" s="666"/>
      <c r="G32" s="21">
        <f t="shared" si="9"/>
        <v>1</v>
      </c>
      <c r="H32" s="666"/>
      <c r="I32" s="21">
        <f t="shared" si="10"/>
        <v>1</v>
      </c>
      <c r="J32" s="666"/>
      <c r="K32" s="21">
        <f t="shared" si="11"/>
        <v>1</v>
      </c>
      <c r="L32" s="666"/>
      <c r="M32" s="21">
        <f t="shared" si="12"/>
        <v>1</v>
      </c>
      <c r="N32" s="666"/>
      <c r="O32" s="21">
        <f t="shared" si="13"/>
        <v>1</v>
      </c>
      <c r="P32" s="666"/>
      <c r="Q32" s="21">
        <f t="shared" si="14"/>
        <v>1</v>
      </c>
      <c r="R32" s="662">
        <f t="shared" si="15"/>
        <v>0</v>
      </c>
      <c r="S32" s="315">
        <f t="shared" si="6"/>
        <v>0</v>
      </c>
    </row>
    <row r="33" spans="1:19">
      <c r="A33" s="149"/>
      <c r="B33" s="54"/>
      <c r="C33" s="21">
        <f t="shared" si="7"/>
        <v>1</v>
      </c>
      <c r="D33" s="666"/>
      <c r="E33" s="21">
        <f t="shared" si="8"/>
        <v>1</v>
      </c>
      <c r="F33" s="666"/>
      <c r="G33" s="21">
        <f t="shared" si="9"/>
        <v>1</v>
      </c>
      <c r="H33" s="666"/>
      <c r="I33" s="21">
        <f t="shared" si="10"/>
        <v>1</v>
      </c>
      <c r="J33" s="666"/>
      <c r="K33" s="21">
        <f t="shared" si="11"/>
        <v>1</v>
      </c>
      <c r="L33" s="666"/>
      <c r="M33" s="21">
        <f t="shared" si="12"/>
        <v>1</v>
      </c>
      <c r="N33" s="666"/>
      <c r="O33" s="21">
        <f t="shared" si="13"/>
        <v>1</v>
      </c>
      <c r="P33" s="666"/>
      <c r="Q33" s="21">
        <f t="shared" si="14"/>
        <v>1</v>
      </c>
      <c r="R33" s="662">
        <f t="shared" si="15"/>
        <v>0</v>
      </c>
      <c r="S33" s="315">
        <f t="shared" si="6"/>
        <v>0</v>
      </c>
    </row>
    <row r="34" spans="1:19">
      <c r="A34" s="149"/>
      <c r="B34" s="54"/>
      <c r="C34" s="21">
        <f t="shared" si="7"/>
        <v>1</v>
      </c>
      <c r="D34" s="666"/>
      <c r="E34" s="21">
        <f t="shared" si="8"/>
        <v>1</v>
      </c>
      <c r="F34" s="666"/>
      <c r="G34" s="21">
        <f t="shared" si="9"/>
        <v>1</v>
      </c>
      <c r="H34" s="666"/>
      <c r="I34" s="21">
        <f t="shared" si="10"/>
        <v>1</v>
      </c>
      <c r="J34" s="666"/>
      <c r="K34" s="21">
        <f t="shared" si="11"/>
        <v>1</v>
      </c>
      <c r="L34" s="666"/>
      <c r="M34" s="21">
        <f t="shared" si="12"/>
        <v>1</v>
      </c>
      <c r="N34" s="666"/>
      <c r="O34" s="21">
        <f t="shared" si="13"/>
        <v>1</v>
      </c>
      <c r="P34" s="666"/>
      <c r="Q34" s="21">
        <f t="shared" si="14"/>
        <v>1</v>
      </c>
      <c r="R34" s="662">
        <f t="shared" si="15"/>
        <v>0</v>
      </c>
      <c r="S34" s="315">
        <f t="shared" si="6"/>
        <v>0</v>
      </c>
    </row>
    <row r="35" spans="1:19">
      <c r="A35" s="149"/>
      <c r="B35" s="54"/>
      <c r="C35" s="21">
        <f t="shared" si="7"/>
        <v>1</v>
      </c>
      <c r="D35" s="666"/>
      <c r="E35" s="21">
        <f t="shared" si="8"/>
        <v>1</v>
      </c>
      <c r="F35" s="666"/>
      <c r="G35" s="21">
        <f t="shared" si="9"/>
        <v>1</v>
      </c>
      <c r="H35" s="666"/>
      <c r="I35" s="21">
        <f t="shared" si="10"/>
        <v>1</v>
      </c>
      <c r="J35" s="666"/>
      <c r="K35" s="21">
        <f t="shared" si="11"/>
        <v>1</v>
      </c>
      <c r="L35" s="666"/>
      <c r="M35" s="21">
        <f t="shared" si="12"/>
        <v>1</v>
      </c>
      <c r="N35" s="666"/>
      <c r="O35" s="21">
        <f t="shared" si="13"/>
        <v>1</v>
      </c>
      <c r="P35" s="666"/>
      <c r="Q35" s="21">
        <f t="shared" si="14"/>
        <v>1</v>
      </c>
      <c r="R35" s="662">
        <f t="shared" si="15"/>
        <v>0</v>
      </c>
      <c r="S35" s="315">
        <f t="shared" si="6"/>
        <v>0</v>
      </c>
    </row>
    <row r="36" spans="1:19">
      <c r="A36" s="149"/>
      <c r="B36" s="54"/>
      <c r="C36" s="21">
        <f t="shared" si="7"/>
        <v>1</v>
      </c>
      <c r="D36" s="666"/>
      <c r="E36" s="21">
        <f t="shared" si="8"/>
        <v>1</v>
      </c>
      <c r="F36" s="666"/>
      <c r="G36" s="21">
        <f t="shared" si="9"/>
        <v>1</v>
      </c>
      <c r="H36" s="666"/>
      <c r="I36" s="21">
        <f t="shared" si="10"/>
        <v>1</v>
      </c>
      <c r="J36" s="666"/>
      <c r="K36" s="21">
        <f t="shared" si="11"/>
        <v>1</v>
      </c>
      <c r="L36" s="666"/>
      <c r="M36" s="21">
        <f t="shared" si="12"/>
        <v>1</v>
      </c>
      <c r="N36" s="666"/>
      <c r="O36" s="21">
        <f t="shared" si="13"/>
        <v>1</v>
      </c>
      <c r="P36" s="666"/>
      <c r="Q36" s="21">
        <f t="shared" si="14"/>
        <v>1</v>
      </c>
      <c r="R36" s="662">
        <f t="shared" si="15"/>
        <v>0</v>
      </c>
      <c r="S36" s="315">
        <f t="shared" si="6"/>
        <v>0</v>
      </c>
    </row>
    <row r="37" spans="1:19">
      <c r="A37" s="149"/>
      <c r="B37" s="54"/>
      <c r="C37" s="21">
        <f t="shared" si="7"/>
        <v>1</v>
      </c>
      <c r="D37" s="666"/>
      <c r="E37" s="21">
        <f t="shared" si="8"/>
        <v>1</v>
      </c>
      <c r="F37" s="666"/>
      <c r="G37" s="21">
        <f t="shared" si="9"/>
        <v>1</v>
      </c>
      <c r="H37" s="666"/>
      <c r="I37" s="21">
        <f t="shared" si="10"/>
        <v>1</v>
      </c>
      <c r="J37" s="666"/>
      <c r="K37" s="21">
        <f t="shared" si="11"/>
        <v>1</v>
      </c>
      <c r="L37" s="666"/>
      <c r="M37" s="21">
        <f t="shared" si="12"/>
        <v>1</v>
      </c>
      <c r="N37" s="666"/>
      <c r="O37" s="21">
        <f t="shared" si="13"/>
        <v>1</v>
      </c>
      <c r="P37" s="666"/>
      <c r="Q37" s="21">
        <f t="shared" si="14"/>
        <v>1</v>
      </c>
      <c r="R37" s="662">
        <f t="shared" si="15"/>
        <v>0</v>
      </c>
      <c r="S37" s="315">
        <f t="shared" si="6"/>
        <v>0</v>
      </c>
    </row>
    <row r="38" spans="1:19">
      <c r="A38" s="149"/>
      <c r="B38" s="54"/>
      <c r="C38" s="21">
        <f t="shared" si="7"/>
        <v>1</v>
      </c>
      <c r="D38" s="666"/>
      <c r="E38" s="21">
        <f t="shared" si="8"/>
        <v>1</v>
      </c>
      <c r="F38" s="666"/>
      <c r="G38" s="21">
        <f t="shared" si="9"/>
        <v>1</v>
      </c>
      <c r="H38" s="666"/>
      <c r="I38" s="21">
        <f t="shared" si="10"/>
        <v>1</v>
      </c>
      <c r="J38" s="666"/>
      <c r="K38" s="21">
        <f t="shared" si="11"/>
        <v>1</v>
      </c>
      <c r="L38" s="666"/>
      <c r="M38" s="21">
        <f t="shared" si="12"/>
        <v>1</v>
      </c>
      <c r="N38" s="666"/>
      <c r="O38" s="21">
        <f t="shared" si="13"/>
        <v>1</v>
      </c>
      <c r="P38" s="666"/>
      <c r="Q38" s="21">
        <f t="shared" si="14"/>
        <v>1</v>
      </c>
      <c r="R38" s="662">
        <f t="shared" si="15"/>
        <v>0</v>
      </c>
      <c r="S38" s="315">
        <f t="shared" si="6"/>
        <v>0</v>
      </c>
    </row>
    <row r="39" spans="1:19">
      <c r="A39" s="149"/>
      <c r="B39" s="54"/>
      <c r="C39" s="21">
        <f t="shared" si="7"/>
        <v>1</v>
      </c>
      <c r="D39" s="666"/>
      <c r="E39" s="21">
        <f t="shared" si="8"/>
        <v>1</v>
      </c>
      <c r="F39" s="666"/>
      <c r="G39" s="21">
        <f t="shared" si="9"/>
        <v>1</v>
      </c>
      <c r="H39" s="666"/>
      <c r="I39" s="21">
        <f t="shared" si="10"/>
        <v>1</v>
      </c>
      <c r="J39" s="666"/>
      <c r="K39" s="21">
        <f t="shared" si="11"/>
        <v>1</v>
      </c>
      <c r="L39" s="666"/>
      <c r="M39" s="21">
        <f t="shared" si="12"/>
        <v>1</v>
      </c>
      <c r="N39" s="666"/>
      <c r="O39" s="21">
        <f t="shared" si="13"/>
        <v>1</v>
      </c>
      <c r="P39" s="666"/>
      <c r="Q39" s="21">
        <f t="shared" si="14"/>
        <v>1</v>
      </c>
      <c r="R39" s="662">
        <f t="shared" si="15"/>
        <v>0</v>
      </c>
      <c r="S39" s="315">
        <f t="shared" si="6"/>
        <v>0</v>
      </c>
    </row>
    <row r="40" spans="1:19">
      <c r="A40" s="149"/>
      <c r="B40" s="54"/>
      <c r="C40" s="21">
        <f t="shared" si="7"/>
        <v>1</v>
      </c>
      <c r="D40" s="666"/>
      <c r="E40" s="21">
        <f t="shared" si="8"/>
        <v>1</v>
      </c>
      <c r="F40" s="666"/>
      <c r="G40" s="21">
        <f t="shared" si="9"/>
        <v>1</v>
      </c>
      <c r="H40" s="666"/>
      <c r="I40" s="21">
        <f t="shared" si="10"/>
        <v>1</v>
      </c>
      <c r="J40" s="666"/>
      <c r="K40" s="21">
        <f t="shared" si="11"/>
        <v>1</v>
      </c>
      <c r="L40" s="666"/>
      <c r="M40" s="21">
        <f t="shared" si="12"/>
        <v>1</v>
      </c>
      <c r="N40" s="666"/>
      <c r="O40" s="21">
        <f t="shared" si="13"/>
        <v>1</v>
      </c>
      <c r="P40" s="666"/>
      <c r="Q40" s="21">
        <f t="shared" si="14"/>
        <v>1</v>
      </c>
      <c r="R40" s="662">
        <f t="shared" si="15"/>
        <v>0</v>
      </c>
      <c r="S40" s="315">
        <f t="shared" si="6"/>
        <v>0</v>
      </c>
    </row>
    <row r="41" spans="1:19">
      <c r="A41" s="149"/>
      <c r="B41" s="54"/>
      <c r="C41" s="21">
        <f t="shared" si="7"/>
        <v>1</v>
      </c>
      <c r="D41" s="666"/>
      <c r="E41" s="21">
        <f t="shared" si="8"/>
        <v>1</v>
      </c>
      <c r="F41" s="666"/>
      <c r="G41" s="21">
        <f t="shared" si="9"/>
        <v>1</v>
      </c>
      <c r="H41" s="666"/>
      <c r="I41" s="21">
        <f t="shared" si="10"/>
        <v>1</v>
      </c>
      <c r="J41" s="666"/>
      <c r="K41" s="21">
        <f t="shared" si="11"/>
        <v>1</v>
      </c>
      <c r="L41" s="666"/>
      <c r="M41" s="21">
        <f t="shared" si="12"/>
        <v>1</v>
      </c>
      <c r="N41" s="666"/>
      <c r="O41" s="21">
        <f t="shared" si="13"/>
        <v>1</v>
      </c>
      <c r="P41" s="666"/>
      <c r="Q41" s="21">
        <f t="shared" si="14"/>
        <v>1</v>
      </c>
      <c r="R41" s="662">
        <f t="shared" si="15"/>
        <v>0</v>
      </c>
      <c r="S41" s="315">
        <f t="shared" si="6"/>
        <v>0</v>
      </c>
    </row>
    <row r="42" spans="1:19">
      <c r="A42" s="149"/>
      <c r="B42" s="54"/>
      <c r="C42" s="21">
        <f t="shared" si="7"/>
        <v>1</v>
      </c>
      <c r="D42" s="666"/>
      <c r="E42" s="21">
        <f t="shared" si="8"/>
        <v>1</v>
      </c>
      <c r="F42" s="666"/>
      <c r="G42" s="21">
        <f t="shared" si="9"/>
        <v>1</v>
      </c>
      <c r="H42" s="666"/>
      <c r="I42" s="21">
        <f t="shared" si="10"/>
        <v>1</v>
      </c>
      <c r="J42" s="666"/>
      <c r="K42" s="21">
        <f t="shared" si="11"/>
        <v>1</v>
      </c>
      <c r="L42" s="666"/>
      <c r="M42" s="21">
        <f t="shared" si="12"/>
        <v>1</v>
      </c>
      <c r="N42" s="666"/>
      <c r="O42" s="21">
        <f t="shared" si="13"/>
        <v>1</v>
      </c>
      <c r="P42" s="666"/>
      <c r="Q42" s="21">
        <f t="shared" si="14"/>
        <v>1</v>
      </c>
      <c r="R42" s="662">
        <f t="shared" si="15"/>
        <v>0</v>
      </c>
      <c r="S42" s="315">
        <f t="shared" si="6"/>
        <v>0</v>
      </c>
    </row>
    <row r="43" spans="1:19">
      <c r="A43" s="149"/>
      <c r="B43" s="54"/>
      <c r="C43" s="21">
        <f t="shared" si="7"/>
        <v>1</v>
      </c>
      <c r="D43" s="666"/>
      <c r="E43" s="21">
        <f t="shared" si="8"/>
        <v>1</v>
      </c>
      <c r="F43" s="666"/>
      <c r="G43" s="21">
        <f t="shared" si="9"/>
        <v>1</v>
      </c>
      <c r="H43" s="666"/>
      <c r="I43" s="21">
        <f t="shared" si="10"/>
        <v>1</v>
      </c>
      <c r="J43" s="666"/>
      <c r="K43" s="21">
        <f t="shared" si="11"/>
        <v>1</v>
      </c>
      <c r="L43" s="666"/>
      <c r="M43" s="21">
        <f t="shared" si="12"/>
        <v>1</v>
      </c>
      <c r="N43" s="666"/>
      <c r="O43" s="21">
        <f t="shared" si="13"/>
        <v>1</v>
      </c>
      <c r="P43" s="666"/>
      <c r="Q43" s="21">
        <f t="shared" si="14"/>
        <v>1</v>
      </c>
      <c r="R43" s="662">
        <f t="shared" si="15"/>
        <v>0</v>
      </c>
      <c r="S43" s="315">
        <f t="shared" si="6"/>
        <v>0</v>
      </c>
    </row>
    <row r="44" spans="1:19">
      <c r="A44" s="149"/>
      <c r="B44" s="54"/>
      <c r="C44" s="21">
        <f t="shared" si="7"/>
        <v>1</v>
      </c>
      <c r="D44" s="666"/>
      <c r="E44" s="21">
        <f t="shared" si="8"/>
        <v>1</v>
      </c>
      <c r="F44" s="666"/>
      <c r="G44" s="21">
        <f t="shared" si="9"/>
        <v>1</v>
      </c>
      <c r="H44" s="666"/>
      <c r="I44" s="21">
        <f t="shared" si="10"/>
        <v>1</v>
      </c>
      <c r="J44" s="666"/>
      <c r="K44" s="21">
        <f t="shared" si="11"/>
        <v>1</v>
      </c>
      <c r="L44" s="666"/>
      <c r="M44" s="21">
        <f t="shared" si="12"/>
        <v>1</v>
      </c>
      <c r="N44" s="666"/>
      <c r="O44" s="21">
        <f t="shared" si="13"/>
        <v>1</v>
      </c>
      <c r="P44" s="666"/>
      <c r="Q44" s="21">
        <f t="shared" si="14"/>
        <v>1</v>
      </c>
      <c r="R44" s="662">
        <f t="shared" si="15"/>
        <v>0</v>
      </c>
      <c r="S44" s="315">
        <f t="shared" si="6"/>
        <v>0</v>
      </c>
    </row>
    <row r="45" spans="1:19">
      <c r="A45" s="149"/>
      <c r="B45" s="54"/>
      <c r="C45" s="21">
        <f t="shared" si="7"/>
        <v>1</v>
      </c>
      <c r="D45" s="666"/>
      <c r="E45" s="21">
        <f t="shared" si="8"/>
        <v>1</v>
      </c>
      <c r="F45" s="666"/>
      <c r="G45" s="21">
        <f t="shared" si="9"/>
        <v>1</v>
      </c>
      <c r="H45" s="666"/>
      <c r="I45" s="21">
        <f t="shared" si="10"/>
        <v>1</v>
      </c>
      <c r="J45" s="666"/>
      <c r="K45" s="21">
        <f t="shared" si="11"/>
        <v>1</v>
      </c>
      <c r="L45" s="666"/>
      <c r="M45" s="21">
        <f t="shared" si="12"/>
        <v>1</v>
      </c>
      <c r="N45" s="666"/>
      <c r="O45" s="21">
        <f t="shared" si="13"/>
        <v>1</v>
      </c>
      <c r="P45" s="666"/>
      <c r="Q45" s="21">
        <f t="shared" si="14"/>
        <v>1</v>
      </c>
      <c r="R45" s="662">
        <f t="shared" si="15"/>
        <v>0</v>
      </c>
      <c r="S45" s="315">
        <f t="shared" si="6"/>
        <v>0</v>
      </c>
    </row>
    <row r="46" spans="1:19">
      <c r="A46" s="149"/>
      <c r="B46" s="54"/>
      <c r="C46" s="21">
        <f t="shared" si="7"/>
        <v>1</v>
      </c>
      <c r="D46" s="666"/>
      <c r="E46" s="21">
        <f t="shared" si="8"/>
        <v>1</v>
      </c>
      <c r="F46" s="666"/>
      <c r="G46" s="21">
        <f t="shared" si="9"/>
        <v>1</v>
      </c>
      <c r="H46" s="666"/>
      <c r="I46" s="21">
        <f t="shared" si="10"/>
        <v>1</v>
      </c>
      <c r="J46" s="666"/>
      <c r="K46" s="21">
        <f t="shared" si="11"/>
        <v>1</v>
      </c>
      <c r="L46" s="666"/>
      <c r="M46" s="21">
        <f t="shared" si="12"/>
        <v>1</v>
      </c>
      <c r="N46" s="666"/>
      <c r="O46" s="21">
        <f t="shared" si="13"/>
        <v>1</v>
      </c>
      <c r="P46" s="666"/>
      <c r="Q46" s="21">
        <f t="shared" si="14"/>
        <v>1</v>
      </c>
      <c r="R46" s="662">
        <f t="shared" si="15"/>
        <v>0</v>
      </c>
      <c r="S46" s="315">
        <f t="shared" si="6"/>
        <v>0</v>
      </c>
    </row>
    <row r="47" spans="1:19">
      <c r="A47" s="149"/>
      <c r="B47" s="54"/>
      <c r="C47" s="21">
        <f t="shared" si="7"/>
        <v>1</v>
      </c>
      <c r="D47" s="666"/>
      <c r="E47" s="21">
        <f t="shared" si="8"/>
        <v>1</v>
      </c>
      <c r="F47" s="666"/>
      <c r="G47" s="21">
        <f t="shared" si="9"/>
        <v>1</v>
      </c>
      <c r="H47" s="666"/>
      <c r="I47" s="21">
        <f t="shared" si="10"/>
        <v>1</v>
      </c>
      <c r="J47" s="666"/>
      <c r="K47" s="21">
        <f t="shared" si="11"/>
        <v>1</v>
      </c>
      <c r="L47" s="666"/>
      <c r="M47" s="21">
        <f t="shared" si="12"/>
        <v>1</v>
      </c>
      <c r="N47" s="666"/>
      <c r="O47" s="21">
        <f t="shared" si="13"/>
        <v>1</v>
      </c>
      <c r="P47" s="666"/>
      <c r="Q47" s="21">
        <f t="shared" si="14"/>
        <v>1</v>
      </c>
      <c r="R47" s="662">
        <f t="shared" si="15"/>
        <v>0</v>
      </c>
      <c r="S47" s="315">
        <f t="shared" si="6"/>
        <v>0</v>
      </c>
    </row>
    <row r="48" spans="1:19">
      <c r="A48" s="149"/>
      <c r="B48" s="54"/>
      <c r="C48" s="21">
        <f t="shared" si="7"/>
        <v>1</v>
      </c>
      <c r="D48" s="666"/>
      <c r="E48" s="21">
        <f t="shared" si="8"/>
        <v>1</v>
      </c>
      <c r="F48" s="666"/>
      <c r="G48" s="21">
        <f t="shared" si="9"/>
        <v>1</v>
      </c>
      <c r="H48" s="666"/>
      <c r="I48" s="21">
        <f t="shared" si="10"/>
        <v>1</v>
      </c>
      <c r="J48" s="666"/>
      <c r="K48" s="21">
        <f t="shared" si="11"/>
        <v>1</v>
      </c>
      <c r="L48" s="666"/>
      <c r="M48" s="21">
        <f t="shared" si="12"/>
        <v>1</v>
      </c>
      <c r="N48" s="666"/>
      <c r="O48" s="21">
        <f t="shared" si="13"/>
        <v>1</v>
      </c>
      <c r="P48" s="666"/>
      <c r="Q48" s="21">
        <f t="shared" si="14"/>
        <v>1</v>
      </c>
      <c r="R48" s="662">
        <f t="shared" si="15"/>
        <v>0</v>
      </c>
      <c r="S48" s="315">
        <f t="shared" si="6"/>
        <v>0</v>
      </c>
    </row>
    <row r="49" spans="1:19">
      <c r="A49" s="149"/>
      <c r="B49" s="54"/>
      <c r="C49" s="21">
        <f t="shared" si="7"/>
        <v>1</v>
      </c>
      <c r="D49" s="666"/>
      <c r="E49" s="21">
        <f t="shared" si="8"/>
        <v>1</v>
      </c>
      <c r="F49" s="666"/>
      <c r="G49" s="21">
        <f t="shared" si="9"/>
        <v>1</v>
      </c>
      <c r="H49" s="666"/>
      <c r="I49" s="21">
        <f t="shared" si="10"/>
        <v>1</v>
      </c>
      <c r="J49" s="666"/>
      <c r="K49" s="21">
        <f t="shared" si="11"/>
        <v>1</v>
      </c>
      <c r="L49" s="666"/>
      <c r="M49" s="21">
        <f t="shared" si="12"/>
        <v>1</v>
      </c>
      <c r="N49" s="666"/>
      <c r="O49" s="21">
        <f t="shared" si="13"/>
        <v>1</v>
      </c>
      <c r="P49" s="666"/>
      <c r="Q49" s="21">
        <f t="shared" si="14"/>
        <v>1</v>
      </c>
      <c r="R49" s="662">
        <f t="shared" si="15"/>
        <v>0</v>
      </c>
      <c r="S49" s="315">
        <f t="shared" si="6"/>
        <v>0</v>
      </c>
    </row>
    <row r="50" spans="1:19">
      <c r="A50" s="149"/>
      <c r="B50" s="54"/>
      <c r="C50" s="21">
        <f t="shared" si="7"/>
        <v>1</v>
      </c>
      <c r="D50" s="666"/>
      <c r="E50" s="21">
        <f t="shared" si="8"/>
        <v>1</v>
      </c>
      <c r="F50" s="666"/>
      <c r="G50" s="21">
        <f t="shared" si="9"/>
        <v>1</v>
      </c>
      <c r="H50" s="666"/>
      <c r="I50" s="21">
        <f t="shared" si="10"/>
        <v>1</v>
      </c>
      <c r="J50" s="666"/>
      <c r="K50" s="21">
        <f t="shared" si="11"/>
        <v>1</v>
      </c>
      <c r="L50" s="666"/>
      <c r="M50" s="21">
        <f t="shared" si="12"/>
        <v>1</v>
      </c>
      <c r="N50" s="666"/>
      <c r="O50" s="21">
        <f t="shared" si="13"/>
        <v>1</v>
      </c>
      <c r="P50" s="666"/>
      <c r="Q50" s="21">
        <f t="shared" si="14"/>
        <v>1</v>
      </c>
      <c r="R50" s="662">
        <f t="shared" si="15"/>
        <v>0</v>
      </c>
      <c r="S50" s="315">
        <f t="shared" si="6"/>
        <v>0</v>
      </c>
    </row>
    <row r="51" spans="1:19">
      <c r="A51" s="149"/>
      <c r="B51" s="54"/>
      <c r="C51" s="21">
        <f t="shared" si="7"/>
        <v>1</v>
      </c>
      <c r="D51" s="666"/>
      <c r="E51" s="21">
        <f t="shared" si="8"/>
        <v>1</v>
      </c>
      <c r="F51" s="666"/>
      <c r="G51" s="21">
        <f t="shared" si="9"/>
        <v>1</v>
      </c>
      <c r="H51" s="666"/>
      <c r="I51" s="21">
        <f t="shared" si="10"/>
        <v>1</v>
      </c>
      <c r="J51" s="666"/>
      <c r="K51" s="21">
        <f t="shared" si="11"/>
        <v>1</v>
      </c>
      <c r="L51" s="666"/>
      <c r="M51" s="21">
        <f t="shared" si="12"/>
        <v>1</v>
      </c>
      <c r="N51" s="666"/>
      <c r="O51" s="21">
        <f t="shared" si="13"/>
        <v>1</v>
      </c>
      <c r="P51" s="666"/>
      <c r="Q51" s="21">
        <f t="shared" si="14"/>
        <v>1</v>
      </c>
      <c r="R51" s="662">
        <f t="shared" si="15"/>
        <v>0</v>
      </c>
      <c r="S51" s="315">
        <f t="shared" si="6"/>
        <v>0</v>
      </c>
    </row>
    <row r="52" spans="1:19">
      <c r="A52" s="149"/>
      <c r="B52" s="54"/>
      <c r="C52" s="21">
        <f t="shared" si="7"/>
        <v>1</v>
      </c>
      <c r="D52" s="666"/>
      <c r="E52" s="21">
        <f t="shared" si="8"/>
        <v>1</v>
      </c>
      <c r="F52" s="666"/>
      <c r="G52" s="21">
        <f t="shared" si="9"/>
        <v>1</v>
      </c>
      <c r="H52" s="666"/>
      <c r="I52" s="21">
        <f t="shared" si="10"/>
        <v>1</v>
      </c>
      <c r="J52" s="666"/>
      <c r="K52" s="21">
        <f t="shared" si="11"/>
        <v>1</v>
      </c>
      <c r="L52" s="666"/>
      <c r="M52" s="21">
        <f t="shared" si="12"/>
        <v>1</v>
      </c>
      <c r="N52" s="666"/>
      <c r="O52" s="21">
        <f t="shared" si="13"/>
        <v>1</v>
      </c>
      <c r="P52" s="666"/>
      <c r="Q52" s="21">
        <f t="shared" si="14"/>
        <v>1</v>
      </c>
      <c r="R52" s="662">
        <f t="shared" si="15"/>
        <v>0</v>
      </c>
      <c r="S52" s="315">
        <f t="shared" si="6"/>
        <v>0</v>
      </c>
    </row>
    <row r="53" spans="1:19">
      <c r="A53" s="149"/>
      <c r="B53" s="54"/>
      <c r="C53" s="21">
        <f t="shared" si="7"/>
        <v>1</v>
      </c>
      <c r="D53" s="666"/>
      <c r="E53" s="21">
        <f t="shared" si="8"/>
        <v>1</v>
      </c>
      <c r="F53" s="666"/>
      <c r="G53" s="21">
        <f t="shared" si="9"/>
        <v>1</v>
      </c>
      <c r="H53" s="666"/>
      <c r="I53" s="21">
        <f t="shared" si="10"/>
        <v>1</v>
      </c>
      <c r="J53" s="666"/>
      <c r="K53" s="21">
        <f t="shared" si="11"/>
        <v>1</v>
      </c>
      <c r="L53" s="666"/>
      <c r="M53" s="21">
        <f t="shared" si="12"/>
        <v>1</v>
      </c>
      <c r="N53" s="666"/>
      <c r="O53" s="21">
        <f t="shared" si="13"/>
        <v>1</v>
      </c>
      <c r="P53" s="666"/>
      <c r="Q53" s="21">
        <f t="shared" si="14"/>
        <v>1</v>
      </c>
      <c r="R53" s="662">
        <f t="shared" si="15"/>
        <v>0</v>
      </c>
      <c r="S53" s="315">
        <f t="shared" si="6"/>
        <v>0</v>
      </c>
    </row>
    <row r="54" spans="1:19">
      <c r="A54" s="149"/>
      <c r="B54" s="54"/>
      <c r="C54" s="21">
        <f t="shared" si="7"/>
        <v>1</v>
      </c>
      <c r="D54" s="666"/>
      <c r="E54" s="21">
        <f t="shared" si="8"/>
        <v>1</v>
      </c>
      <c r="F54" s="666"/>
      <c r="G54" s="21">
        <f t="shared" si="9"/>
        <v>1</v>
      </c>
      <c r="H54" s="666"/>
      <c r="I54" s="21">
        <f t="shared" si="10"/>
        <v>1</v>
      </c>
      <c r="J54" s="666"/>
      <c r="K54" s="21">
        <f t="shared" si="11"/>
        <v>1</v>
      </c>
      <c r="L54" s="666"/>
      <c r="M54" s="21">
        <f t="shared" si="12"/>
        <v>1</v>
      </c>
      <c r="N54" s="666"/>
      <c r="O54" s="21">
        <f t="shared" si="13"/>
        <v>1</v>
      </c>
      <c r="P54" s="666"/>
      <c r="Q54" s="21">
        <f t="shared" si="14"/>
        <v>1</v>
      </c>
      <c r="R54" s="662">
        <f t="shared" si="15"/>
        <v>0</v>
      </c>
      <c r="S54" s="315">
        <f t="shared" si="6"/>
        <v>0</v>
      </c>
    </row>
    <row r="55" spans="1:19">
      <c r="A55" s="149"/>
      <c r="B55" s="54"/>
      <c r="C55" s="21">
        <f t="shared" si="7"/>
        <v>1</v>
      </c>
      <c r="D55" s="666"/>
      <c r="E55" s="21">
        <f t="shared" si="8"/>
        <v>1</v>
      </c>
      <c r="F55" s="666"/>
      <c r="G55" s="21">
        <f t="shared" si="9"/>
        <v>1</v>
      </c>
      <c r="H55" s="666"/>
      <c r="I55" s="21">
        <f t="shared" si="10"/>
        <v>1</v>
      </c>
      <c r="J55" s="666"/>
      <c r="K55" s="21">
        <f t="shared" si="11"/>
        <v>1</v>
      </c>
      <c r="L55" s="666"/>
      <c r="M55" s="21">
        <f t="shared" si="12"/>
        <v>1</v>
      </c>
      <c r="N55" s="666"/>
      <c r="O55" s="21">
        <f t="shared" si="13"/>
        <v>1</v>
      </c>
      <c r="P55" s="666"/>
      <c r="Q55" s="21">
        <f t="shared" si="14"/>
        <v>1</v>
      </c>
      <c r="R55" s="662">
        <f t="shared" si="15"/>
        <v>0</v>
      </c>
      <c r="S55" s="315">
        <f t="shared" ref="S55:S77" si="16">ROUND(R55*B55/10000,0)</f>
        <v>0</v>
      </c>
    </row>
    <row r="56" spans="1:19">
      <c r="A56" s="149"/>
      <c r="B56" s="54"/>
      <c r="C56" s="21">
        <f t="shared" si="7"/>
        <v>1</v>
      </c>
      <c r="D56" s="666"/>
      <c r="E56" s="21">
        <f t="shared" si="8"/>
        <v>1</v>
      </c>
      <c r="F56" s="666"/>
      <c r="G56" s="21">
        <f t="shared" si="9"/>
        <v>1</v>
      </c>
      <c r="H56" s="666"/>
      <c r="I56" s="21">
        <f t="shared" si="10"/>
        <v>1</v>
      </c>
      <c r="J56" s="666"/>
      <c r="K56" s="21">
        <f t="shared" si="11"/>
        <v>1</v>
      </c>
      <c r="L56" s="666"/>
      <c r="M56" s="21">
        <f t="shared" si="12"/>
        <v>1</v>
      </c>
      <c r="N56" s="666"/>
      <c r="O56" s="21">
        <f t="shared" si="13"/>
        <v>1</v>
      </c>
      <c r="P56" s="666"/>
      <c r="Q56" s="21">
        <f t="shared" si="14"/>
        <v>1</v>
      </c>
      <c r="R56" s="662">
        <f t="shared" si="15"/>
        <v>0</v>
      </c>
      <c r="S56" s="315">
        <f t="shared" si="16"/>
        <v>0</v>
      </c>
    </row>
    <row r="57" spans="1:19">
      <c r="A57" s="149"/>
      <c r="B57" s="54"/>
      <c r="C57" s="21">
        <f t="shared" si="7"/>
        <v>1</v>
      </c>
      <c r="D57" s="666"/>
      <c r="E57" s="21">
        <f t="shared" si="8"/>
        <v>1</v>
      </c>
      <c r="F57" s="666"/>
      <c r="G57" s="21">
        <f t="shared" si="9"/>
        <v>1</v>
      </c>
      <c r="H57" s="666"/>
      <c r="I57" s="21">
        <f t="shared" si="10"/>
        <v>1</v>
      </c>
      <c r="J57" s="666"/>
      <c r="K57" s="21">
        <f t="shared" si="11"/>
        <v>1</v>
      </c>
      <c r="L57" s="666"/>
      <c r="M57" s="21">
        <f t="shared" si="12"/>
        <v>1</v>
      </c>
      <c r="N57" s="666"/>
      <c r="O57" s="21">
        <f t="shared" si="13"/>
        <v>1</v>
      </c>
      <c r="P57" s="666"/>
      <c r="Q57" s="21">
        <f t="shared" si="14"/>
        <v>1</v>
      </c>
      <c r="R57" s="662">
        <f t="shared" si="15"/>
        <v>0</v>
      </c>
      <c r="S57" s="315">
        <f t="shared" si="16"/>
        <v>0</v>
      </c>
    </row>
    <row r="58" spans="1:19">
      <c r="A58" s="149"/>
      <c r="B58" s="54"/>
      <c r="C58" s="21">
        <f t="shared" si="7"/>
        <v>1</v>
      </c>
      <c r="D58" s="666"/>
      <c r="E58" s="21">
        <f t="shared" si="8"/>
        <v>1</v>
      </c>
      <c r="F58" s="666"/>
      <c r="G58" s="21">
        <f t="shared" si="9"/>
        <v>1</v>
      </c>
      <c r="H58" s="666"/>
      <c r="I58" s="21">
        <f t="shared" si="10"/>
        <v>1</v>
      </c>
      <c r="J58" s="666"/>
      <c r="K58" s="21">
        <f t="shared" si="11"/>
        <v>1</v>
      </c>
      <c r="L58" s="666"/>
      <c r="M58" s="21">
        <f t="shared" si="12"/>
        <v>1</v>
      </c>
      <c r="N58" s="666"/>
      <c r="O58" s="21">
        <f t="shared" si="13"/>
        <v>1</v>
      </c>
      <c r="P58" s="666"/>
      <c r="Q58" s="21">
        <f t="shared" si="14"/>
        <v>1</v>
      </c>
      <c r="R58" s="662">
        <f t="shared" si="15"/>
        <v>0</v>
      </c>
      <c r="S58" s="315">
        <f t="shared" si="16"/>
        <v>0</v>
      </c>
    </row>
    <row r="59" spans="1:19">
      <c r="A59" s="149"/>
      <c r="B59" s="54"/>
      <c r="C59" s="21">
        <f t="shared" si="7"/>
        <v>1</v>
      </c>
      <c r="D59" s="666"/>
      <c r="E59" s="21">
        <f t="shared" si="8"/>
        <v>1</v>
      </c>
      <c r="F59" s="666"/>
      <c r="G59" s="21">
        <f t="shared" si="9"/>
        <v>1</v>
      </c>
      <c r="H59" s="666"/>
      <c r="I59" s="21">
        <f t="shared" si="10"/>
        <v>1</v>
      </c>
      <c r="J59" s="666"/>
      <c r="K59" s="21">
        <f t="shared" si="11"/>
        <v>1</v>
      </c>
      <c r="L59" s="666"/>
      <c r="M59" s="21">
        <f t="shared" si="12"/>
        <v>1</v>
      </c>
      <c r="N59" s="666"/>
      <c r="O59" s="21">
        <f t="shared" si="13"/>
        <v>1</v>
      </c>
      <c r="P59" s="666"/>
      <c r="Q59" s="21">
        <f t="shared" si="14"/>
        <v>1</v>
      </c>
      <c r="R59" s="662">
        <f t="shared" si="15"/>
        <v>0</v>
      </c>
      <c r="S59" s="315">
        <f t="shared" si="16"/>
        <v>0</v>
      </c>
    </row>
    <row r="60" spans="1:19">
      <c r="A60" s="149"/>
      <c r="B60" s="54"/>
      <c r="C60" s="21">
        <f t="shared" si="7"/>
        <v>1</v>
      </c>
      <c r="D60" s="666"/>
      <c r="E60" s="21">
        <f t="shared" si="8"/>
        <v>1</v>
      </c>
      <c r="F60" s="666"/>
      <c r="G60" s="21">
        <f t="shared" si="9"/>
        <v>1</v>
      </c>
      <c r="H60" s="666"/>
      <c r="I60" s="21">
        <f t="shared" si="10"/>
        <v>1</v>
      </c>
      <c r="J60" s="666"/>
      <c r="K60" s="21">
        <f t="shared" si="11"/>
        <v>1</v>
      </c>
      <c r="L60" s="666"/>
      <c r="M60" s="21">
        <f t="shared" si="12"/>
        <v>1</v>
      </c>
      <c r="N60" s="666"/>
      <c r="O60" s="21">
        <f t="shared" si="13"/>
        <v>1</v>
      </c>
      <c r="P60" s="666"/>
      <c r="Q60" s="21">
        <f t="shared" si="14"/>
        <v>1</v>
      </c>
      <c r="R60" s="662">
        <f t="shared" si="15"/>
        <v>0</v>
      </c>
      <c r="S60" s="315">
        <f t="shared" si="16"/>
        <v>0</v>
      </c>
    </row>
    <row r="61" spans="1:19">
      <c r="A61" s="149"/>
      <c r="B61" s="54"/>
      <c r="C61" s="21">
        <f t="shared" si="7"/>
        <v>1</v>
      </c>
      <c r="D61" s="666"/>
      <c r="E61" s="21">
        <f t="shared" si="8"/>
        <v>1</v>
      </c>
      <c r="F61" s="666"/>
      <c r="G61" s="21">
        <f t="shared" si="9"/>
        <v>1</v>
      </c>
      <c r="H61" s="666"/>
      <c r="I61" s="21">
        <f t="shared" si="10"/>
        <v>1</v>
      </c>
      <c r="J61" s="666"/>
      <c r="K61" s="21">
        <f t="shared" si="11"/>
        <v>1</v>
      </c>
      <c r="L61" s="666"/>
      <c r="M61" s="21">
        <f t="shared" si="12"/>
        <v>1</v>
      </c>
      <c r="N61" s="666"/>
      <c r="O61" s="21">
        <f t="shared" si="13"/>
        <v>1</v>
      </c>
      <c r="P61" s="666"/>
      <c r="Q61" s="21">
        <f t="shared" si="14"/>
        <v>1</v>
      </c>
      <c r="R61" s="662">
        <f t="shared" si="15"/>
        <v>0</v>
      </c>
      <c r="S61" s="315">
        <f t="shared" si="16"/>
        <v>0</v>
      </c>
    </row>
    <row r="62" spans="1:19">
      <c r="A62" s="149"/>
      <c r="B62" s="54"/>
      <c r="C62" s="21">
        <f t="shared" si="7"/>
        <v>1</v>
      </c>
      <c r="D62" s="666"/>
      <c r="E62" s="21">
        <f t="shared" si="8"/>
        <v>1</v>
      </c>
      <c r="F62" s="666"/>
      <c r="G62" s="21">
        <f t="shared" si="9"/>
        <v>1</v>
      </c>
      <c r="H62" s="666"/>
      <c r="I62" s="21">
        <f t="shared" si="10"/>
        <v>1</v>
      </c>
      <c r="J62" s="666"/>
      <c r="K62" s="21">
        <f t="shared" si="11"/>
        <v>1</v>
      </c>
      <c r="L62" s="666"/>
      <c r="M62" s="21">
        <f t="shared" si="12"/>
        <v>1</v>
      </c>
      <c r="N62" s="666"/>
      <c r="O62" s="21">
        <f t="shared" si="13"/>
        <v>1</v>
      </c>
      <c r="P62" s="666"/>
      <c r="Q62" s="21">
        <f t="shared" si="14"/>
        <v>1</v>
      </c>
      <c r="R62" s="662">
        <f t="shared" si="15"/>
        <v>0</v>
      </c>
      <c r="S62" s="315">
        <f t="shared" si="16"/>
        <v>0</v>
      </c>
    </row>
    <row r="63" spans="1:19">
      <c r="A63" s="149"/>
      <c r="B63" s="54"/>
      <c r="C63" s="21">
        <f t="shared" si="7"/>
        <v>1</v>
      </c>
      <c r="D63" s="666"/>
      <c r="E63" s="21">
        <f t="shared" si="8"/>
        <v>1</v>
      </c>
      <c r="F63" s="666"/>
      <c r="G63" s="21">
        <f t="shared" si="9"/>
        <v>1</v>
      </c>
      <c r="H63" s="666"/>
      <c r="I63" s="21">
        <f t="shared" si="10"/>
        <v>1</v>
      </c>
      <c r="J63" s="666"/>
      <c r="K63" s="21">
        <f t="shared" si="11"/>
        <v>1</v>
      </c>
      <c r="L63" s="666"/>
      <c r="M63" s="21">
        <f t="shared" si="12"/>
        <v>1</v>
      </c>
      <c r="N63" s="666"/>
      <c r="O63" s="21">
        <f t="shared" si="13"/>
        <v>1</v>
      </c>
      <c r="P63" s="666"/>
      <c r="Q63" s="21">
        <f t="shared" si="14"/>
        <v>1</v>
      </c>
      <c r="R63" s="662">
        <f t="shared" si="15"/>
        <v>0</v>
      </c>
      <c r="S63" s="315">
        <f t="shared" si="16"/>
        <v>0</v>
      </c>
    </row>
    <row r="64" spans="1:19">
      <c r="A64" s="149"/>
      <c r="B64" s="54"/>
      <c r="C64" s="21">
        <f t="shared" si="7"/>
        <v>1</v>
      </c>
      <c r="D64" s="666"/>
      <c r="E64" s="21">
        <f t="shared" si="8"/>
        <v>1</v>
      </c>
      <c r="F64" s="666"/>
      <c r="G64" s="21">
        <f t="shared" si="9"/>
        <v>1</v>
      </c>
      <c r="H64" s="666"/>
      <c r="I64" s="21">
        <f t="shared" si="10"/>
        <v>1</v>
      </c>
      <c r="J64" s="666"/>
      <c r="K64" s="21">
        <f t="shared" si="11"/>
        <v>1</v>
      </c>
      <c r="L64" s="666"/>
      <c r="M64" s="21">
        <f t="shared" si="12"/>
        <v>1</v>
      </c>
      <c r="N64" s="666"/>
      <c r="O64" s="21">
        <f t="shared" si="13"/>
        <v>1</v>
      </c>
      <c r="P64" s="666"/>
      <c r="Q64" s="21">
        <f t="shared" si="14"/>
        <v>1</v>
      </c>
      <c r="R64" s="662">
        <f t="shared" si="15"/>
        <v>0</v>
      </c>
      <c r="S64" s="315">
        <f t="shared" si="16"/>
        <v>0</v>
      </c>
    </row>
    <row r="65" spans="1:19">
      <c r="A65" s="149"/>
      <c r="B65" s="54"/>
      <c r="C65" s="21">
        <f t="shared" si="7"/>
        <v>1</v>
      </c>
      <c r="D65" s="666"/>
      <c r="E65" s="21">
        <f t="shared" si="8"/>
        <v>1</v>
      </c>
      <c r="F65" s="666"/>
      <c r="G65" s="21">
        <f t="shared" si="9"/>
        <v>1</v>
      </c>
      <c r="H65" s="666"/>
      <c r="I65" s="21">
        <f t="shared" si="10"/>
        <v>1</v>
      </c>
      <c r="J65" s="666"/>
      <c r="K65" s="21">
        <f t="shared" si="11"/>
        <v>1</v>
      </c>
      <c r="L65" s="666"/>
      <c r="M65" s="21">
        <f t="shared" si="12"/>
        <v>1</v>
      </c>
      <c r="N65" s="666"/>
      <c r="O65" s="21">
        <f t="shared" si="13"/>
        <v>1</v>
      </c>
      <c r="P65" s="666"/>
      <c r="Q65" s="21">
        <f t="shared" si="14"/>
        <v>1</v>
      </c>
      <c r="R65" s="662">
        <f t="shared" si="15"/>
        <v>0</v>
      </c>
      <c r="S65" s="315">
        <f t="shared" si="16"/>
        <v>0</v>
      </c>
    </row>
    <row r="66" spans="1:19">
      <c r="A66" s="149"/>
      <c r="B66" s="54"/>
      <c r="C66" s="21">
        <f t="shared" si="7"/>
        <v>1</v>
      </c>
      <c r="D66" s="666"/>
      <c r="E66" s="21">
        <f t="shared" si="8"/>
        <v>1</v>
      </c>
      <c r="F66" s="666"/>
      <c r="G66" s="21">
        <f t="shared" si="9"/>
        <v>1</v>
      </c>
      <c r="H66" s="666"/>
      <c r="I66" s="21">
        <f t="shared" si="10"/>
        <v>1</v>
      </c>
      <c r="J66" s="666"/>
      <c r="K66" s="21">
        <f t="shared" si="11"/>
        <v>1</v>
      </c>
      <c r="L66" s="666"/>
      <c r="M66" s="21">
        <f t="shared" si="12"/>
        <v>1</v>
      </c>
      <c r="N66" s="666"/>
      <c r="O66" s="21">
        <f t="shared" si="13"/>
        <v>1</v>
      </c>
      <c r="P66" s="666"/>
      <c r="Q66" s="21">
        <f t="shared" si="14"/>
        <v>1</v>
      </c>
      <c r="R66" s="662">
        <f t="shared" si="15"/>
        <v>0</v>
      </c>
      <c r="S66" s="315">
        <f t="shared" si="16"/>
        <v>0</v>
      </c>
    </row>
    <row r="67" spans="1:19">
      <c r="A67" s="149"/>
      <c r="B67" s="54"/>
      <c r="C67" s="21">
        <f t="shared" si="7"/>
        <v>1</v>
      </c>
      <c r="D67" s="666"/>
      <c r="E67" s="21">
        <f t="shared" si="8"/>
        <v>1</v>
      </c>
      <c r="F67" s="666"/>
      <c r="G67" s="21">
        <f t="shared" si="9"/>
        <v>1</v>
      </c>
      <c r="H67" s="666"/>
      <c r="I67" s="21">
        <f t="shared" si="10"/>
        <v>1</v>
      </c>
      <c r="J67" s="666"/>
      <c r="K67" s="21">
        <f t="shared" si="11"/>
        <v>1</v>
      </c>
      <c r="L67" s="666"/>
      <c r="M67" s="21">
        <f t="shared" si="12"/>
        <v>1</v>
      </c>
      <c r="N67" s="666"/>
      <c r="O67" s="21">
        <f t="shared" si="13"/>
        <v>1</v>
      </c>
      <c r="P67" s="666"/>
      <c r="Q67" s="21">
        <f t="shared" si="14"/>
        <v>1</v>
      </c>
      <c r="R67" s="662">
        <f t="shared" si="15"/>
        <v>0</v>
      </c>
      <c r="S67" s="315">
        <f t="shared" si="16"/>
        <v>0</v>
      </c>
    </row>
    <row r="68" spans="1:19">
      <c r="A68" s="149"/>
      <c r="B68" s="54"/>
      <c r="C68" s="21">
        <f t="shared" si="7"/>
        <v>1</v>
      </c>
      <c r="D68" s="666"/>
      <c r="E68" s="21">
        <f t="shared" si="8"/>
        <v>1</v>
      </c>
      <c r="F68" s="666"/>
      <c r="G68" s="21">
        <f t="shared" si="9"/>
        <v>1</v>
      </c>
      <c r="H68" s="666"/>
      <c r="I68" s="21">
        <f t="shared" si="10"/>
        <v>1</v>
      </c>
      <c r="J68" s="666"/>
      <c r="K68" s="21">
        <f t="shared" si="11"/>
        <v>1</v>
      </c>
      <c r="L68" s="666"/>
      <c r="M68" s="21">
        <f t="shared" si="12"/>
        <v>1</v>
      </c>
      <c r="N68" s="666"/>
      <c r="O68" s="21">
        <f t="shared" si="13"/>
        <v>1</v>
      </c>
      <c r="P68" s="666"/>
      <c r="Q68" s="21">
        <f t="shared" si="14"/>
        <v>1</v>
      </c>
      <c r="R68" s="662">
        <f t="shared" si="15"/>
        <v>0</v>
      </c>
      <c r="S68" s="315">
        <f t="shared" si="16"/>
        <v>0</v>
      </c>
    </row>
    <row r="69" spans="1:19">
      <c r="A69" s="149"/>
      <c r="B69" s="54"/>
      <c r="C69" s="21">
        <f t="shared" si="7"/>
        <v>1</v>
      </c>
      <c r="D69" s="666"/>
      <c r="E69" s="21">
        <f t="shared" si="8"/>
        <v>1</v>
      </c>
      <c r="F69" s="666"/>
      <c r="G69" s="21">
        <f t="shared" si="9"/>
        <v>1</v>
      </c>
      <c r="H69" s="666"/>
      <c r="I69" s="21">
        <f t="shared" si="10"/>
        <v>1</v>
      </c>
      <c r="J69" s="666"/>
      <c r="K69" s="21">
        <f t="shared" si="11"/>
        <v>1</v>
      </c>
      <c r="L69" s="666"/>
      <c r="M69" s="21">
        <f t="shared" si="12"/>
        <v>1</v>
      </c>
      <c r="N69" s="666"/>
      <c r="O69" s="21">
        <f t="shared" si="13"/>
        <v>1</v>
      </c>
      <c r="P69" s="666"/>
      <c r="Q69" s="21">
        <f t="shared" si="14"/>
        <v>1</v>
      </c>
      <c r="R69" s="662">
        <f t="shared" si="15"/>
        <v>0</v>
      </c>
      <c r="S69" s="315">
        <f t="shared" si="16"/>
        <v>0</v>
      </c>
    </row>
    <row r="70" spans="1:19">
      <c r="A70" s="149"/>
      <c r="B70" s="54"/>
      <c r="C70" s="21">
        <f t="shared" si="7"/>
        <v>1</v>
      </c>
      <c r="D70" s="666"/>
      <c r="E70" s="21">
        <f t="shared" si="8"/>
        <v>1</v>
      </c>
      <c r="F70" s="666"/>
      <c r="G70" s="21">
        <f t="shared" si="9"/>
        <v>1</v>
      </c>
      <c r="H70" s="666"/>
      <c r="I70" s="21">
        <f t="shared" si="10"/>
        <v>1</v>
      </c>
      <c r="J70" s="666"/>
      <c r="K70" s="21">
        <f t="shared" si="11"/>
        <v>1</v>
      </c>
      <c r="L70" s="666"/>
      <c r="M70" s="21">
        <f t="shared" si="12"/>
        <v>1</v>
      </c>
      <c r="N70" s="666"/>
      <c r="O70" s="21">
        <f t="shared" si="13"/>
        <v>1</v>
      </c>
      <c r="P70" s="666"/>
      <c r="Q70" s="21">
        <f t="shared" si="14"/>
        <v>1</v>
      </c>
      <c r="R70" s="662">
        <f t="shared" si="15"/>
        <v>0</v>
      </c>
      <c r="S70" s="315">
        <f t="shared" si="16"/>
        <v>0</v>
      </c>
    </row>
    <row r="71" spans="1:19">
      <c r="A71" s="149"/>
      <c r="B71" s="54"/>
      <c r="C71" s="21">
        <f t="shared" si="7"/>
        <v>1</v>
      </c>
      <c r="D71" s="666"/>
      <c r="E71" s="21">
        <f t="shared" si="8"/>
        <v>1</v>
      </c>
      <c r="F71" s="666"/>
      <c r="G71" s="21">
        <f t="shared" si="9"/>
        <v>1</v>
      </c>
      <c r="H71" s="666"/>
      <c r="I71" s="21">
        <f t="shared" si="10"/>
        <v>1</v>
      </c>
      <c r="J71" s="666"/>
      <c r="K71" s="21">
        <f t="shared" si="11"/>
        <v>1</v>
      </c>
      <c r="L71" s="666"/>
      <c r="M71" s="21">
        <f t="shared" si="12"/>
        <v>1</v>
      </c>
      <c r="N71" s="666"/>
      <c r="O71" s="21">
        <f t="shared" si="13"/>
        <v>1</v>
      </c>
      <c r="P71" s="666"/>
      <c r="Q71" s="21">
        <f t="shared" si="14"/>
        <v>1</v>
      </c>
      <c r="R71" s="662">
        <f t="shared" si="15"/>
        <v>0</v>
      </c>
      <c r="S71" s="315">
        <f t="shared" si="16"/>
        <v>0</v>
      </c>
    </row>
    <row r="72" spans="1:19">
      <c r="A72" s="149"/>
      <c r="B72" s="54"/>
      <c r="C72" s="21">
        <f t="shared" si="7"/>
        <v>1</v>
      </c>
      <c r="D72" s="666"/>
      <c r="E72" s="21">
        <f t="shared" si="8"/>
        <v>1</v>
      </c>
      <c r="F72" s="666"/>
      <c r="G72" s="21">
        <f t="shared" si="9"/>
        <v>1</v>
      </c>
      <c r="H72" s="666"/>
      <c r="I72" s="21">
        <f t="shared" si="10"/>
        <v>1</v>
      </c>
      <c r="J72" s="666"/>
      <c r="K72" s="21">
        <f t="shared" si="11"/>
        <v>1</v>
      </c>
      <c r="L72" s="666"/>
      <c r="M72" s="21">
        <f t="shared" si="12"/>
        <v>1</v>
      </c>
      <c r="N72" s="666"/>
      <c r="O72" s="21">
        <f t="shared" si="13"/>
        <v>1</v>
      </c>
      <c r="P72" s="666"/>
      <c r="Q72" s="21">
        <f t="shared" si="14"/>
        <v>1</v>
      </c>
      <c r="R72" s="662">
        <f t="shared" si="15"/>
        <v>0</v>
      </c>
      <c r="S72" s="315">
        <f t="shared" si="16"/>
        <v>0</v>
      </c>
    </row>
    <row r="73" spans="1:19">
      <c r="A73" s="149"/>
      <c r="B73" s="54"/>
      <c r="C73" s="21">
        <f t="shared" si="7"/>
        <v>1</v>
      </c>
      <c r="D73" s="666"/>
      <c r="E73" s="21">
        <f t="shared" si="8"/>
        <v>1</v>
      </c>
      <c r="F73" s="666"/>
      <c r="G73" s="21">
        <f t="shared" si="9"/>
        <v>1</v>
      </c>
      <c r="H73" s="666"/>
      <c r="I73" s="21">
        <f t="shared" si="10"/>
        <v>1</v>
      </c>
      <c r="J73" s="666"/>
      <c r="K73" s="21">
        <f t="shared" si="11"/>
        <v>1</v>
      </c>
      <c r="L73" s="666"/>
      <c r="M73" s="21">
        <f t="shared" si="12"/>
        <v>1</v>
      </c>
      <c r="N73" s="666"/>
      <c r="O73" s="21">
        <f t="shared" si="13"/>
        <v>1</v>
      </c>
      <c r="P73" s="666"/>
      <c r="Q73" s="21">
        <f t="shared" si="14"/>
        <v>1</v>
      </c>
      <c r="R73" s="662">
        <f t="shared" si="15"/>
        <v>0</v>
      </c>
      <c r="S73" s="315">
        <f t="shared" si="16"/>
        <v>0</v>
      </c>
    </row>
    <row r="74" spans="1:19">
      <c r="A74" s="149"/>
      <c r="B74" s="54"/>
      <c r="C74" s="21">
        <f t="shared" si="7"/>
        <v>1</v>
      </c>
      <c r="D74" s="666"/>
      <c r="E74" s="21">
        <f t="shared" si="8"/>
        <v>1</v>
      </c>
      <c r="F74" s="666"/>
      <c r="G74" s="21">
        <f t="shared" si="9"/>
        <v>1</v>
      </c>
      <c r="H74" s="666"/>
      <c r="I74" s="21">
        <f t="shared" si="10"/>
        <v>1</v>
      </c>
      <c r="J74" s="666"/>
      <c r="K74" s="21">
        <f t="shared" si="11"/>
        <v>1</v>
      </c>
      <c r="L74" s="666"/>
      <c r="M74" s="21">
        <f t="shared" si="12"/>
        <v>1</v>
      </c>
      <c r="N74" s="666"/>
      <c r="O74" s="21">
        <f t="shared" si="13"/>
        <v>1</v>
      </c>
      <c r="P74" s="666"/>
      <c r="Q74" s="21">
        <f t="shared" si="14"/>
        <v>1</v>
      </c>
      <c r="R74" s="662">
        <f t="shared" si="15"/>
        <v>0</v>
      </c>
      <c r="S74" s="315">
        <f t="shared" si="16"/>
        <v>0</v>
      </c>
    </row>
    <row r="75" spans="1:19">
      <c r="A75" s="149"/>
      <c r="B75" s="54"/>
      <c r="C75" s="21">
        <f t="shared" si="7"/>
        <v>1</v>
      </c>
      <c r="D75" s="666"/>
      <c r="E75" s="21">
        <f t="shared" si="8"/>
        <v>1</v>
      </c>
      <c r="F75" s="666"/>
      <c r="G75" s="21">
        <f t="shared" si="9"/>
        <v>1</v>
      </c>
      <c r="H75" s="666"/>
      <c r="I75" s="21">
        <f t="shared" si="10"/>
        <v>1</v>
      </c>
      <c r="J75" s="666"/>
      <c r="K75" s="21">
        <f t="shared" si="11"/>
        <v>1</v>
      </c>
      <c r="L75" s="666"/>
      <c r="M75" s="21">
        <f t="shared" si="12"/>
        <v>1</v>
      </c>
      <c r="N75" s="666"/>
      <c r="O75" s="21">
        <f t="shared" si="13"/>
        <v>1</v>
      </c>
      <c r="P75" s="666"/>
      <c r="Q75" s="21">
        <f t="shared" si="14"/>
        <v>1</v>
      </c>
      <c r="R75" s="662">
        <f t="shared" si="15"/>
        <v>0</v>
      </c>
      <c r="S75" s="315">
        <f t="shared" si="16"/>
        <v>0</v>
      </c>
    </row>
    <row r="76" spans="1:19">
      <c r="A76" s="149"/>
      <c r="B76" s="54"/>
      <c r="C76" s="21">
        <f t="shared" si="7"/>
        <v>1</v>
      </c>
      <c r="D76" s="666"/>
      <c r="E76" s="21">
        <f t="shared" si="8"/>
        <v>1</v>
      </c>
      <c r="F76" s="666"/>
      <c r="G76" s="21">
        <f t="shared" si="9"/>
        <v>1</v>
      </c>
      <c r="H76" s="666"/>
      <c r="I76" s="21">
        <f t="shared" si="10"/>
        <v>1</v>
      </c>
      <c r="J76" s="666"/>
      <c r="K76" s="21">
        <f t="shared" si="11"/>
        <v>1</v>
      </c>
      <c r="L76" s="666"/>
      <c r="M76" s="21">
        <f t="shared" si="12"/>
        <v>1</v>
      </c>
      <c r="N76" s="666"/>
      <c r="O76" s="21">
        <f t="shared" si="13"/>
        <v>1</v>
      </c>
      <c r="P76" s="666"/>
      <c r="Q76" s="21">
        <f t="shared" si="14"/>
        <v>1</v>
      </c>
      <c r="R76" s="662">
        <f t="shared" si="15"/>
        <v>0</v>
      </c>
      <c r="S76" s="315">
        <f t="shared" si="16"/>
        <v>0</v>
      </c>
    </row>
    <row r="77" spans="1:19">
      <c r="A77" s="149"/>
      <c r="B77" s="54"/>
      <c r="C77" s="21">
        <f t="shared" si="7"/>
        <v>1</v>
      </c>
      <c r="D77" s="666"/>
      <c r="E77" s="21">
        <f t="shared" si="8"/>
        <v>1</v>
      </c>
      <c r="F77" s="666"/>
      <c r="G77" s="21">
        <f t="shared" si="9"/>
        <v>1</v>
      </c>
      <c r="H77" s="666"/>
      <c r="I77" s="21">
        <f t="shared" si="10"/>
        <v>1</v>
      </c>
      <c r="J77" s="666"/>
      <c r="K77" s="21">
        <f t="shared" si="11"/>
        <v>1</v>
      </c>
      <c r="L77" s="666"/>
      <c r="M77" s="21">
        <f t="shared" si="12"/>
        <v>1</v>
      </c>
      <c r="N77" s="666"/>
      <c r="O77" s="21">
        <f t="shared" si="13"/>
        <v>1</v>
      </c>
      <c r="P77" s="666"/>
      <c r="Q77" s="21">
        <f t="shared" si="14"/>
        <v>1</v>
      </c>
      <c r="R77" s="662">
        <f t="shared" si="15"/>
        <v>0</v>
      </c>
      <c r="S77" s="315">
        <f t="shared" si="16"/>
        <v>0</v>
      </c>
    </row>
    <row r="78" spans="1:19">
      <c r="A78" s="149"/>
      <c r="B78" s="54"/>
      <c r="C78" s="21">
        <f t="shared" si="7"/>
        <v>1</v>
      </c>
      <c r="D78" s="666"/>
      <c r="E78" s="21">
        <f t="shared" si="8"/>
        <v>1</v>
      </c>
      <c r="F78" s="666"/>
      <c r="G78" s="21">
        <f t="shared" si="9"/>
        <v>1</v>
      </c>
      <c r="H78" s="666"/>
      <c r="I78" s="21">
        <f t="shared" si="10"/>
        <v>1</v>
      </c>
      <c r="J78" s="666"/>
      <c r="K78" s="21">
        <f t="shared" si="11"/>
        <v>1</v>
      </c>
      <c r="L78" s="666"/>
      <c r="M78" s="21">
        <f t="shared" si="12"/>
        <v>1</v>
      </c>
      <c r="N78" s="666"/>
      <c r="O78" s="21">
        <f t="shared" si="13"/>
        <v>1</v>
      </c>
      <c r="P78" s="666"/>
      <c r="Q78" s="21">
        <f t="shared" si="14"/>
        <v>1</v>
      </c>
      <c r="R78" s="662">
        <f t="shared" si="15"/>
        <v>0</v>
      </c>
      <c r="S78" s="315">
        <f t="shared" ref="S78:S122" si="17">ROUND(R78*B78/10000,0)</f>
        <v>0</v>
      </c>
    </row>
    <row r="79" spans="1:19">
      <c r="A79" s="149"/>
      <c r="B79" s="54"/>
      <c r="C79" s="21">
        <f t="shared" si="7"/>
        <v>1</v>
      </c>
      <c r="D79" s="666"/>
      <c r="E79" s="21">
        <f t="shared" si="8"/>
        <v>1</v>
      </c>
      <c r="F79" s="666"/>
      <c r="G79" s="21">
        <f t="shared" si="9"/>
        <v>1</v>
      </c>
      <c r="H79" s="666"/>
      <c r="I79" s="21">
        <f t="shared" si="10"/>
        <v>1</v>
      </c>
      <c r="J79" s="666"/>
      <c r="K79" s="21">
        <f t="shared" si="11"/>
        <v>1</v>
      </c>
      <c r="L79" s="666"/>
      <c r="M79" s="21">
        <f t="shared" si="12"/>
        <v>1</v>
      </c>
      <c r="N79" s="666"/>
      <c r="O79" s="21">
        <f t="shared" si="13"/>
        <v>1</v>
      </c>
      <c r="P79" s="666"/>
      <c r="Q79" s="21">
        <f t="shared" si="14"/>
        <v>1</v>
      </c>
      <c r="R79" s="662">
        <f t="shared" si="15"/>
        <v>0</v>
      </c>
      <c r="S79" s="315">
        <f t="shared" si="17"/>
        <v>0</v>
      </c>
    </row>
    <row r="80" spans="1:19">
      <c r="A80" s="149"/>
      <c r="B80" s="54"/>
      <c r="C80" s="21">
        <f t="shared" si="7"/>
        <v>1</v>
      </c>
      <c r="D80" s="666"/>
      <c r="E80" s="21">
        <f t="shared" si="8"/>
        <v>1</v>
      </c>
      <c r="F80" s="666"/>
      <c r="G80" s="21">
        <f t="shared" si="9"/>
        <v>1</v>
      </c>
      <c r="H80" s="666"/>
      <c r="I80" s="21">
        <f t="shared" si="10"/>
        <v>1</v>
      </c>
      <c r="J80" s="666"/>
      <c r="K80" s="21">
        <f t="shared" si="11"/>
        <v>1</v>
      </c>
      <c r="L80" s="666"/>
      <c r="M80" s="21">
        <f t="shared" si="12"/>
        <v>1</v>
      </c>
      <c r="N80" s="666"/>
      <c r="O80" s="21">
        <f t="shared" si="13"/>
        <v>1</v>
      </c>
      <c r="P80" s="666"/>
      <c r="Q80" s="21">
        <f t="shared" si="14"/>
        <v>1</v>
      </c>
      <c r="R80" s="662">
        <f t="shared" si="15"/>
        <v>0</v>
      </c>
      <c r="S80" s="315">
        <f t="shared" si="17"/>
        <v>0</v>
      </c>
    </row>
    <row r="81" spans="1:19">
      <c r="A81" s="149"/>
      <c r="B81" s="54"/>
      <c r="C81" s="21">
        <f t="shared" si="7"/>
        <v>1</v>
      </c>
      <c r="D81" s="666"/>
      <c r="E81" s="21">
        <f t="shared" si="8"/>
        <v>1</v>
      </c>
      <c r="F81" s="666"/>
      <c r="G81" s="21">
        <f t="shared" si="9"/>
        <v>1</v>
      </c>
      <c r="H81" s="666"/>
      <c r="I81" s="21">
        <f t="shared" si="10"/>
        <v>1</v>
      </c>
      <c r="J81" s="666"/>
      <c r="K81" s="21">
        <f t="shared" si="11"/>
        <v>1</v>
      </c>
      <c r="L81" s="666"/>
      <c r="M81" s="21">
        <f t="shared" si="12"/>
        <v>1</v>
      </c>
      <c r="N81" s="666"/>
      <c r="O81" s="21">
        <f t="shared" si="13"/>
        <v>1</v>
      </c>
      <c r="P81" s="666"/>
      <c r="Q81" s="21">
        <f t="shared" si="14"/>
        <v>1</v>
      </c>
      <c r="R81" s="662">
        <f t="shared" si="15"/>
        <v>0</v>
      </c>
      <c r="S81" s="315">
        <f t="shared" si="17"/>
        <v>0</v>
      </c>
    </row>
    <row r="82" spans="1:19">
      <c r="A82" s="149"/>
      <c r="B82" s="54"/>
      <c r="C82" s="21">
        <f t="shared" si="7"/>
        <v>1</v>
      </c>
      <c r="D82" s="666"/>
      <c r="E82" s="21">
        <f t="shared" si="8"/>
        <v>1</v>
      </c>
      <c r="F82" s="666"/>
      <c r="G82" s="21">
        <f t="shared" si="9"/>
        <v>1</v>
      </c>
      <c r="H82" s="666"/>
      <c r="I82" s="21">
        <f t="shared" si="10"/>
        <v>1</v>
      </c>
      <c r="J82" s="666"/>
      <c r="K82" s="21">
        <f t="shared" si="11"/>
        <v>1</v>
      </c>
      <c r="L82" s="666"/>
      <c r="M82" s="21">
        <f t="shared" si="12"/>
        <v>1</v>
      </c>
      <c r="N82" s="666"/>
      <c r="O82" s="21">
        <f t="shared" si="13"/>
        <v>1</v>
      </c>
      <c r="P82" s="666"/>
      <c r="Q82" s="21">
        <f t="shared" si="14"/>
        <v>1</v>
      </c>
      <c r="R82" s="662">
        <f t="shared" si="15"/>
        <v>0</v>
      </c>
      <c r="S82" s="315">
        <f t="shared" si="17"/>
        <v>0</v>
      </c>
    </row>
    <row r="83" spans="1:19">
      <c r="A83" s="149"/>
      <c r="B83" s="54"/>
      <c r="C83" s="21">
        <f t="shared" si="7"/>
        <v>1</v>
      </c>
      <c r="D83" s="666"/>
      <c r="E83" s="21">
        <f t="shared" si="8"/>
        <v>1</v>
      </c>
      <c r="F83" s="666"/>
      <c r="G83" s="21">
        <f t="shared" si="9"/>
        <v>1</v>
      </c>
      <c r="H83" s="666"/>
      <c r="I83" s="21">
        <f t="shared" si="10"/>
        <v>1</v>
      </c>
      <c r="J83" s="666"/>
      <c r="K83" s="21">
        <f t="shared" si="11"/>
        <v>1</v>
      </c>
      <c r="L83" s="666"/>
      <c r="M83" s="21">
        <f t="shared" si="12"/>
        <v>1</v>
      </c>
      <c r="N83" s="666"/>
      <c r="O83" s="21">
        <f t="shared" si="13"/>
        <v>1</v>
      </c>
      <c r="P83" s="666"/>
      <c r="Q83" s="21">
        <f t="shared" si="14"/>
        <v>1</v>
      </c>
      <c r="R83" s="662">
        <f t="shared" si="15"/>
        <v>0</v>
      </c>
      <c r="S83" s="315">
        <f t="shared" si="17"/>
        <v>0</v>
      </c>
    </row>
    <row r="84" spans="1:19">
      <c r="A84" s="149"/>
      <c r="B84" s="54"/>
      <c r="C84" s="21">
        <f t="shared" si="7"/>
        <v>1</v>
      </c>
      <c r="D84" s="666"/>
      <c r="E84" s="21">
        <f t="shared" si="8"/>
        <v>1</v>
      </c>
      <c r="F84" s="666"/>
      <c r="G84" s="21">
        <f t="shared" si="9"/>
        <v>1</v>
      </c>
      <c r="H84" s="666"/>
      <c r="I84" s="21">
        <f t="shared" si="10"/>
        <v>1</v>
      </c>
      <c r="J84" s="666"/>
      <c r="K84" s="21">
        <f t="shared" si="11"/>
        <v>1</v>
      </c>
      <c r="L84" s="666"/>
      <c r="M84" s="21">
        <f t="shared" si="12"/>
        <v>1</v>
      </c>
      <c r="N84" s="666"/>
      <c r="O84" s="21">
        <f t="shared" si="13"/>
        <v>1</v>
      </c>
      <c r="P84" s="666"/>
      <c r="Q84" s="21">
        <f t="shared" si="14"/>
        <v>1</v>
      </c>
      <c r="R84" s="662">
        <f t="shared" si="15"/>
        <v>0</v>
      </c>
      <c r="S84" s="315">
        <f t="shared" si="17"/>
        <v>0</v>
      </c>
    </row>
    <row r="85" spans="1:19">
      <c r="A85" s="149"/>
      <c r="B85" s="54"/>
      <c r="C85" s="21">
        <f t="shared" si="7"/>
        <v>1</v>
      </c>
      <c r="D85" s="666"/>
      <c r="E85" s="21">
        <f t="shared" si="8"/>
        <v>1</v>
      </c>
      <c r="F85" s="666"/>
      <c r="G85" s="21">
        <f t="shared" si="9"/>
        <v>1</v>
      </c>
      <c r="H85" s="666"/>
      <c r="I85" s="21">
        <f t="shared" si="10"/>
        <v>1</v>
      </c>
      <c r="J85" s="666"/>
      <c r="K85" s="21">
        <f t="shared" si="11"/>
        <v>1</v>
      </c>
      <c r="L85" s="666"/>
      <c r="M85" s="21">
        <f t="shared" si="12"/>
        <v>1</v>
      </c>
      <c r="N85" s="666"/>
      <c r="O85" s="21">
        <f t="shared" si="13"/>
        <v>1</v>
      </c>
      <c r="P85" s="666"/>
      <c r="Q85" s="21">
        <f t="shared" si="14"/>
        <v>1</v>
      </c>
      <c r="R85" s="662">
        <f t="shared" si="15"/>
        <v>0</v>
      </c>
      <c r="S85" s="315">
        <f t="shared" si="17"/>
        <v>0</v>
      </c>
    </row>
    <row r="86" spans="1:19">
      <c r="A86" s="149"/>
      <c r="B86" s="54"/>
      <c r="C86" s="21">
        <f t="shared" si="7"/>
        <v>1</v>
      </c>
      <c r="D86" s="666"/>
      <c r="E86" s="21">
        <f t="shared" si="8"/>
        <v>1</v>
      </c>
      <c r="F86" s="666"/>
      <c r="G86" s="21">
        <f t="shared" si="9"/>
        <v>1</v>
      </c>
      <c r="H86" s="666"/>
      <c r="I86" s="21">
        <f t="shared" si="10"/>
        <v>1</v>
      </c>
      <c r="J86" s="666"/>
      <c r="K86" s="21">
        <f t="shared" si="11"/>
        <v>1</v>
      </c>
      <c r="L86" s="666"/>
      <c r="M86" s="21">
        <f t="shared" si="12"/>
        <v>1</v>
      </c>
      <c r="N86" s="666"/>
      <c r="O86" s="21">
        <f t="shared" si="13"/>
        <v>1</v>
      </c>
      <c r="P86" s="666"/>
      <c r="Q86" s="21">
        <f t="shared" si="14"/>
        <v>1</v>
      </c>
      <c r="R86" s="662">
        <f t="shared" si="15"/>
        <v>0</v>
      </c>
      <c r="S86" s="315">
        <f t="shared" si="17"/>
        <v>0</v>
      </c>
    </row>
    <row r="87" spans="1:19">
      <c r="A87" s="149"/>
      <c r="B87" s="54"/>
      <c r="C87" s="21">
        <f t="shared" si="7"/>
        <v>1</v>
      </c>
      <c r="D87" s="666"/>
      <c r="E87" s="21">
        <f t="shared" si="8"/>
        <v>1</v>
      </c>
      <c r="F87" s="666"/>
      <c r="G87" s="21">
        <f t="shared" si="9"/>
        <v>1</v>
      </c>
      <c r="H87" s="666"/>
      <c r="I87" s="21">
        <f t="shared" si="10"/>
        <v>1</v>
      </c>
      <c r="J87" s="666"/>
      <c r="K87" s="21">
        <f t="shared" si="11"/>
        <v>1</v>
      </c>
      <c r="L87" s="666"/>
      <c r="M87" s="21">
        <f t="shared" si="12"/>
        <v>1</v>
      </c>
      <c r="N87" s="666"/>
      <c r="O87" s="21">
        <f t="shared" si="13"/>
        <v>1</v>
      </c>
      <c r="P87" s="666"/>
      <c r="Q87" s="21">
        <f t="shared" si="14"/>
        <v>1</v>
      </c>
      <c r="R87" s="662">
        <f t="shared" si="15"/>
        <v>0</v>
      </c>
      <c r="S87" s="315">
        <f t="shared" si="17"/>
        <v>0</v>
      </c>
    </row>
    <row r="88" spans="1:19">
      <c r="A88" s="149"/>
      <c r="B88" s="54"/>
      <c r="C88" s="21">
        <f t="shared" si="7"/>
        <v>1</v>
      </c>
      <c r="D88" s="666"/>
      <c r="E88" s="21">
        <f t="shared" si="8"/>
        <v>1</v>
      </c>
      <c r="F88" s="666"/>
      <c r="G88" s="21">
        <f t="shared" si="9"/>
        <v>1</v>
      </c>
      <c r="H88" s="666"/>
      <c r="I88" s="21">
        <f t="shared" si="10"/>
        <v>1</v>
      </c>
      <c r="J88" s="666"/>
      <c r="K88" s="21">
        <f t="shared" si="11"/>
        <v>1</v>
      </c>
      <c r="L88" s="666"/>
      <c r="M88" s="21">
        <f t="shared" si="12"/>
        <v>1</v>
      </c>
      <c r="N88" s="666"/>
      <c r="O88" s="21">
        <f t="shared" si="13"/>
        <v>1</v>
      </c>
      <c r="P88" s="666"/>
      <c r="Q88" s="21">
        <f t="shared" si="14"/>
        <v>1</v>
      </c>
      <c r="R88" s="662">
        <f t="shared" si="15"/>
        <v>0</v>
      </c>
      <c r="S88" s="315">
        <f t="shared" si="17"/>
        <v>0</v>
      </c>
    </row>
    <row r="89" spans="1:19">
      <c r="A89" s="149"/>
      <c r="B89" s="54"/>
      <c r="C89" s="21">
        <f t="shared" si="7"/>
        <v>1</v>
      </c>
      <c r="D89" s="666"/>
      <c r="E89" s="21">
        <f t="shared" si="8"/>
        <v>1</v>
      </c>
      <c r="F89" s="666"/>
      <c r="G89" s="21">
        <f t="shared" si="9"/>
        <v>1</v>
      </c>
      <c r="H89" s="666"/>
      <c r="I89" s="21">
        <f t="shared" si="10"/>
        <v>1</v>
      </c>
      <c r="J89" s="666"/>
      <c r="K89" s="21">
        <f t="shared" si="11"/>
        <v>1</v>
      </c>
      <c r="L89" s="666"/>
      <c r="M89" s="21">
        <f t="shared" si="12"/>
        <v>1</v>
      </c>
      <c r="N89" s="666"/>
      <c r="O89" s="21">
        <f t="shared" si="13"/>
        <v>1</v>
      </c>
      <c r="P89" s="666"/>
      <c r="Q89" s="21">
        <f t="shared" si="14"/>
        <v>1</v>
      </c>
      <c r="R89" s="662">
        <f t="shared" si="15"/>
        <v>0</v>
      </c>
      <c r="S89" s="315">
        <f t="shared" si="17"/>
        <v>0</v>
      </c>
    </row>
    <row r="90" spans="1:19">
      <c r="A90" s="149"/>
      <c r="B90" s="54"/>
      <c r="C90" s="21">
        <f t="shared" ref="C90:C153" si="18">IF(B90="",1,(LOOKUP(B90,$3:$3,$4:$4)-LOOKUP($B$24,$3:$3,$4:$4)+100)/100)</f>
        <v>1</v>
      </c>
      <c r="D90" s="666"/>
      <c r="E90" s="21">
        <f t="shared" ref="E90:E153" si="19">(SUMIF($5:$5,D90,$6:$6)-SUMIF($5:$5,$D$24,$6:$6)+100)/100</f>
        <v>1</v>
      </c>
      <c r="F90" s="666"/>
      <c r="G90" s="21">
        <f t="shared" ref="G90:G153" si="20">(SUMIF($7:$7,F90,$8:$8)-SUMIF($7:$7,$F$24,$8:$8)+100)/100</f>
        <v>1</v>
      </c>
      <c r="H90" s="666"/>
      <c r="I90" s="21">
        <f t="shared" ref="I90:I153" si="21">(SUMIF($9:$9,H90,$10:$10)-SUMIF($9:$9,$H$24,$10:$10)+100)/100</f>
        <v>1</v>
      </c>
      <c r="J90" s="666"/>
      <c r="K90" s="21">
        <f t="shared" ref="K90:K153" si="22">(SUMIF($11:$11,J90,$12:$12)-SUMIF($11:$11,$J$24,$12:$12)+100)/100</f>
        <v>1</v>
      </c>
      <c r="L90" s="666"/>
      <c r="M90" s="21">
        <f t="shared" ref="M90:M153" si="23">(SUMIF($13:$13,L90,$14:$14)-SUMIF($13:$13,$L$24,$14:$14)+100)/100</f>
        <v>1</v>
      </c>
      <c r="N90" s="666"/>
      <c r="O90" s="21">
        <f t="shared" ref="O90:O153" si="24">(SUMIF($15:$15,N90,$16:$16)-SUMIF($15:$15,$N$24,$16:$16)+100)/100</f>
        <v>1</v>
      </c>
      <c r="P90" s="666"/>
      <c r="Q90" s="21">
        <f t="shared" ref="Q90:Q153" si="25">(SUMIF($17:$17,P90,$18:$18)-SUMIF($17:$17,$P$24,$18:$18)+100)/100</f>
        <v>1</v>
      </c>
      <c r="R90" s="662">
        <f t="shared" ref="R90:R153" si="26">IF(B90="",0,ROUND($R$24*C90*E90*G90*I90*K90*M90*O90*Q90,0))</f>
        <v>0</v>
      </c>
      <c r="S90" s="315">
        <f t="shared" si="17"/>
        <v>0</v>
      </c>
    </row>
    <row r="91" spans="1:19">
      <c r="A91" s="149"/>
      <c r="B91" s="54"/>
      <c r="C91" s="21">
        <f t="shared" si="18"/>
        <v>1</v>
      </c>
      <c r="D91" s="666"/>
      <c r="E91" s="21">
        <f t="shared" si="19"/>
        <v>1</v>
      </c>
      <c r="F91" s="666"/>
      <c r="G91" s="21">
        <f t="shared" si="20"/>
        <v>1</v>
      </c>
      <c r="H91" s="666"/>
      <c r="I91" s="21">
        <f t="shared" si="21"/>
        <v>1</v>
      </c>
      <c r="J91" s="666"/>
      <c r="K91" s="21">
        <f t="shared" si="22"/>
        <v>1</v>
      </c>
      <c r="L91" s="666"/>
      <c r="M91" s="21">
        <f t="shared" si="23"/>
        <v>1</v>
      </c>
      <c r="N91" s="666"/>
      <c r="O91" s="21">
        <f t="shared" si="24"/>
        <v>1</v>
      </c>
      <c r="P91" s="666"/>
      <c r="Q91" s="21">
        <f t="shared" si="25"/>
        <v>1</v>
      </c>
      <c r="R91" s="662">
        <f t="shared" si="26"/>
        <v>0</v>
      </c>
      <c r="S91" s="315">
        <f t="shared" si="17"/>
        <v>0</v>
      </c>
    </row>
    <row r="92" spans="1:19">
      <c r="A92" s="149"/>
      <c r="B92" s="54"/>
      <c r="C92" s="21">
        <f t="shared" si="18"/>
        <v>1</v>
      </c>
      <c r="D92" s="666"/>
      <c r="E92" s="21">
        <f t="shared" si="19"/>
        <v>1</v>
      </c>
      <c r="F92" s="666"/>
      <c r="G92" s="21">
        <f t="shared" si="20"/>
        <v>1</v>
      </c>
      <c r="H92" s="666"/>
      <c r="I92" s="21">
        <f t="shared" si="21"/>
        <v>1</v>
      </c>
      <c r="J92" s="666"/>
      <c r="K92" s="21">
        <f t="shared" si="22"/>
        <v>1</v>
      </c>
      <c r="L92" s="666"/>
      <c r="M92" s="21">
        <f t="shared" si="23"/>
        <v>1</v>
      </c>
      <c r="N92" s="666"/>
      <c r="O92" s="21">
        <f t="shared" si="24"/>
        <v>1</v>
      </c>
      <c r="P92" s="666"/>
      <c r="Q92" s="21">
        <f t="shared" si="25"/>
        <v>1</v>
      </c>
      <c r="R92" s="662">
        <f t="shared" si="26"/>
        <v>0</v>
      </c>
      <c r="S92" s="315">
        <f t="shared" si="17"/>
        <v>0</v>
      </c>
    </row>
    <row r="93" spans="1:19">
      <c r="A93" s="149"/>
      <c r="B93" s="54"/>
      <c r="C93" s="21">
        <f t="shared" si="18"/>
        <v>1</v>
      </c>
      <c r="D93" s="666"/>
      <c r="E93" s="21">
        <f t="shared" si="19"/>
        <v>1</v>
      </c>
      <c r="F93" s="666"/>
      <c r="G93" s="21">
        <f t="shared" si="20"/>
        <v>1</v>
      </c>
      <c r="H93" s="666"/>
      <c r="I93" s="21">
        <f t="shared" si="21"/>
        <v>1</v>
      </c>
      <c r="J93" s="666"/>
      <c r="K93" s="21">
        <f t="shared" si="22"/>
        <v>1</v>
      </c>
      <c r="L93" s="666"/>
      <c r="M93" s="21">
        <f t="shared" si="23"/>
        <v>1</v>
      </c>
      <c r="N93" s="666"/>
      <c r="O93" s="21">
        <f t="shared" si="24"/>
        <v>1</v>
      </c>
      <c r="P93" s="666"/>
      <c r="Q93" s="21">
        <f t="shared" si="25"/>
        <v>1</v>
      </c>
      <c r="R93" s="662">
        <f t="shared" si="26"/>
        <v>0</v>
      </c>
      <c r="S93" s="315">
        <f t="shared" si="17"/>
        <v>0</v>
      </c>
    </row>
    <row r="94" spans="1:19">
      <c r="A94" s="149"/>
      <c r="B94" s="54"/>
      <c r="C94" s="21">
        <f t="shared" si="18"/>
        <v>1</v>
      </c>
      <c r="D94" s="666"/>
      <c r="E94" s="21">
        <f t="shared" si="19"/>
        <v>1</v>
      </c>
      <c r="F94" s="666"/>
      <c r="G94" s="21">
        <f t="shared" si="20"/>
        <v>1</v>
      </c>
      <c r="H94" s="666"/>
      <c r="I94" s="21">
        <f t="shared" si="21"/>
        <v>1</v>
      </c>
      <c r="J94" s="666"/>
      <c r="K94" s="21">
        <f t="shared" si="22"/>
        <v>1</v>
      </c>
      <c r="L94" s="666"/>
      <c r="M94" s="21">
        <f t="shared" si="23"/>
        <v>1</v>
      </c>
      <c r="N94" s="666"/>
      <c r="O94" s="21">
        <f t="shared" si="24"/>
        <v>1</v>
      </c>
      <c r="P94" s="666"/>
      <c r="Q94" s="21">
        <f t="shared" si="25"/>
        <v>1</v>
      </c>
      <c r="R94" s="662">
        <f t="shared" si="26"/>
        <v>0</v>
      </c>
      <c r="S94" s="315">
        <f t="shared" si="17"/>
        <v>0</v>
      </c>
    </row>
    <row r="95" spans="1:19">
      <c r="A95" s="149"/>
      <c r="B95" s="54"/>
      <c r="C95" s="21">
        <f t="shared" si="18"/>
        <v>1</v>
      </c>
      <c r="D95" s="666"/>
      <c r="E95" s="21">
        <f t="shared" si="19"/>
        <v>1</v>
      </c>
      <c r="F95" s="666"/>
      <c r="G95" s="21">
        <f t="shared" si="20"/>
        <v>1</v>
      </c>
      <c r="H95" s="666"/>
      <c r="I95" s="21">
        <f t="shared" si="21"/>
        <v>1</v>
      </c>
      <c r="J95" s="666"/>
      <c r="K95" s="21">
        <f t="shared" si="22"/>
        <v>1</v>
      </c>
      <c r="L95" s="666"/>
      <c r="M95" s="21">
        <f t="shared" si="23"/>
        <v>1</v>
      </c>
      <c r="N95" s="666"/>
      <c r="O95" s="21">
        <f t="shared" si="24"/>
        <v>1</v>
      </c>
      <c r="P95" s="666"/>
      <c r="Q95" s="21">
        <f t="shared" si="25"/>
        <v>1</v>
      </c>
      <c r="R95" s="662">
        <f t="shared" si="26"/>
        <v>0</v>
      </c>
      <c r="S95" s="315">
        <f t="shared" si="17"/>
        <v>0</v>
      </c>
    </row>
    <row r="96" spans="1:19">
      <c r="A96" s="149"/>
      <c r="B96" s="54"/>
      <c r="C96" s="21">
        <f t="shared" si="18"/>
        <v>1</v>
      </c>
      <c r="D96" s="666"/>
      <c r="E96" s="21">
        <f t="shared" si="19"/>
        <v>1</v>
      </c>
      <c r="F96" s="666"/>
      <c r="G96" s="21">
        <f t="shared" si="20"/>
        <v>1</v>
      </c>
      <c r="H96" s="666"/>
      <c r="I96" s="21">
        <f t="shared" si="21"/>
        <v>1</v>
      </c>
      <c r="J96" s="666"/>
      <c r="K96" s="21">
        <f t="shared" si="22"/>
        <v>1</v>
      </c>
      <c r="L96" s="666"/>
      <c r="M96" s="21">
        <f t="shared" si="23"/>
        <v>1</v>
      </c>
      <c r="N96" s="666"/>
      <c r="O96" s="21">
        <f t="shared" si="24"/>
        <v>1</v>
      </c>
      <c r="P96" s="666"/>
      <c r="Q96" s="21">
        <f t="shared" si="25"/>
        <v>1</v>
      </c>
      <c r="R96" s="662">
        <f t="shared" si="26"/>
        <v>0</v>
      </c>
      <c r="S96" s="315">
        <f t="shared" si="17"/>
        <v>0</v>
      </c>
    </row>
    <row r="97" spans="1:19">
      <c r="A97" s="149"/>
      <c r="B97" s="54"/>
      <c r="C97" s="21">
        <f t="shared" si="18"/>
        <v>1</v>
      </c>
      <c r="D97" s="666"/>
      <c r="E97" s="21">
        <f t="shared" si="19"/>
        <v>1</v>
      </c>
      <c r="F97" s="666"/>
      <c r="G97" s="21">
        <f t="shared" si="20"/>
        <v>1</v>
      </c>
      <c r="H97" s="666"/>
      <c r="I97" s="21">
        <f t="shared" si="21"/>
        <v>1</v>
      </c>
      <c r="J97" s="666"/>
      <c r="K97" s="21">
        <f t="shared" si="22"/>
        <v>1</v>
      </c>
      <c r="L97" s="666"/>
      <c r="M97" s="21">
        <f t="shared" si="23"/>
        <v>1</v>
      </c>
      <c r="N97" s="666"/>
      <c r="O97" s="21">
        <f t="shared" si="24"/>
        <v>1</v>
      </c>
      <c r="P97" s="666"/>
      <c r="Q97" s="21">
        <f t="shared" si="25"/>
        <v>1</v>
      </c>
      <c r="R97" s="662">
        <f t="shared" si="26"/>
        <v>0</v>
      </c>
      <c r="S97" s="315">
        <f t="shared" si="17"/>
        <v>0</v>
      </c>
    </row>
    <row r="98" spans="1:19">
      <c r="A98" s="149"/>
      <c r="B98" s="54"/>
      <c r="C98" s="21">
        <f t="shared" si="18"/>
        <v>1</v>
      </c>
      <c r="D98" s="666"/>
      <c r="E98" s="21">
        <f t="shared" si="19"/>
        <v>1</v>
      </c>
      <c r="F98" s="666"/>
      <c r="G98" s="21">
        <f t="shared" si="20"/>
        <v>1</v>
      </c>
      <c r="H98" s="666"/>
      <c r="I98" s="21">
        <f t="shared" si="21"/>
        <v>1</v>
      </c>
      <c r="J98" s="666"/>
      <c r="K98" s="21">
        <f t="shared" si="22"/>
        <v>1</v>
      </c>
      <c r="L98" s="666"/>
      <c r="M98" s="21">
        <f t="shared" si="23"/>
        <v>1</v>
      </c>
      <c r="N98" s="666"/>
      <c r="O98" s="21">
        <f t="shared" si="24"/>
        <v>1</v>
      </c>
      <c r="P98" s="666"/>
      <c r="Q98" s="21">
        <f t="shared" si="25"/>
        <v>1</v>
      </c>
      <c r="R98" s="662">
        <f t="shared" si="26"/>
        <v>0</v>
      </c>
      <c r="S98" s="315">
        <f t="shared" si="17"/>
        <v>0</v>
      </c>
    </row>
    <row r="99" spans="1:19">
      <c r="A99" s="149"/>
      <c r="B99" s="54"/>
      <c r="C99" s="21">
        <f t="shared" si="18"/>
        <v>1</v>
      </c>
      <c r="D99" s="666"/>
      <c r="E99" s="21">
        <f t="shared" si="19"/>
        <v>1</v>
      </c>
      <c r="F99" s="666"/>
      <c r="G99" s="21">
        <f t="shared" si="20"/>
        <v>1</v>
      </c>
      <c r="H99" s="666"/>
      <c r="I99" s="21">
        <f t="shared" si="21"/>
        <v>1</v>
      </c>
      <c r="J99" s="666"/>
      <c r="K99" s="21">
        <f t="shared" si="22"/>
        <v>1</v>
      </c>
      <c r="L99" s="666"/>
      <c r="M99" s="21">
        <f t="shared" si="23"/>
        <v>1</v>
      </c>
      <c r="N99" s="666"/>
      <c r="O99" s="21">
        <f t="shared" si="24"/>
        <v>1</v>
      </c>
      <c r="P99" s="666"/>
      <c r="Q99" s="21">
        <f t="shared" si="25"/>
        <v>1</v>
      </c>
      <c r="R99" s="662">
        <f t="shared" si="26"/>
        <v>0</v>
      </c>
      <c r="S99" s="315">
        <f t="shared" si="17"/>
        <v>0</v>
      </c>
    </row>
    <row r="100" spans="1:19">
      <c r="A100" s="149"/>
      <c r="B100" s="54"/>
      <c r="C100" s="21">
        <f t="shared" si="18"/>
        <v>1</v>
      </c>
      <c r="D100" s="666"/>
      <c r="E100" s="21">
        <f t="shared" si="19"/>
        <v>1</v>
      </c>
      <c r="F100" s="666"/>
      <c r="G100" s="21">
        <f t="shared" si="20"/>
        <v>1</v>
      </c>
      <c r="H100" s="666"/>
      <c r="I100" s="21">
        <f t="shared" si="21"/>
        <v>1</v>
      </c>
      <c r="J100" s="666"/>
      <c r="K100" s="21">
        <f t="shared" si="22"/>
        <v>1</v>
      </c>
      <c r="L100" s="666"/>
      <c r="M100" s="21">
        <f t="shared" si="23"/>
        <v>1</v>
      </c>
      <c r="N100" s="666"/>
      <c r="O100" s="21">
        <f t="shared" si="24"/>
        <v>1</v>
      </c>
      <c r="P100" s="666"/>
      <c r="Q100" s="21">
        <f t="shared" si="25"/>
        <v>1</v>
      </c>
      <c r="R100" s="662">
        <f t="shared" si="26"/>
        <v>0</v>
      </c>
      <c r="S100" s="315">
        <f t="shared" si="17"/>
        <v>0</v>
      </c>
    </row>
    <row r="101" spans="1:19">
      <c r="A101" s="149"/>
      <c r="B101" s="54"/>
      <c r="C101" s="21">
        <f t="shared" si="18"/>
        <v>1</v>
      </c>
      <c r="D101" s="666"/>
      <c r="E101" s="21">
        <f t="shared" si="19"/>
        <v>1</v>
      </c>
      <c r="F101" s="666"/>
      <c r="G101" s="21">
        <f t="shared" si="20"/>
        <v>1</v>
      </c>
      <c r="H101" s="666"/>
      <c r="I101" s="21">
        <f t="shared" si="21"/>
        <v>1</v>
      </c>
      <c r="J101" s="666"/>
      <c r="K101" s="21">
        <f t="shared" si="22"/>
        <v>1</v>
      </c>
      <c r="L101" s="666"/>
      <c r="M101" s="21">
        <f t="shared" si="23"/>
        <v>1</v>
      </c>
      <c r="N101" s="666"/>
      <c r="O101" s="21">
        <f t="shared" si="24"/>
        <v>1</v>
      </c>
      <c r="P101" s="666"/>
      <c r="Q101" s="21">
        <f t="shared" si="25"/>
        <v>1</v>
      </c>
      <c r="R101" s="662">
        <f t="shared" si="26"/>
        <v>0</v>
      </c>
      <c r="S101" s="315">
        <f t="shared" si="17"/>
        <v>0</v>
      </c>
    </row>
    <row r="102" spans="1:19">
      <c r="A102" s="149"/>
      <c r="B102" s="54"/>
      <c r="C102" s="21">
        <f t="shared" si="18"/>
        <v>1</v>
      </c>
      <c r="D102" s="666"/>
      <c r="E102" s="21">
        <f t="shared" si="19"/>
        <v>1</v>
      </c>
      <c r="F102" s="666"/>
      <c r="G102" s="21">
        <f t="shared" si="20"/>
        <v>1</v>
      </c>
      <c r="H102" s="666"/>
      <c r="I102" s="21">
        <f t="shared" si="21"/>
        <v>1</v>
      </c>
      <c r="J102" s="666"/>
      <c r="K102" s="21">
        <f t="shared" si="22"/>
        <v>1</v>
      </c>
      <c r="L102" s="666"/>
      <c r="M102" s="21">
        <f t="shared" si="23"/>
        <v>1</v>
      </c>
      <c r="N102" s="666"/>
      <c r="O102" s="21">
        <f t="shared" si="24"/>
        <v>1</v>
      </c>
      <c r="P102" s="666"/>
      <c r="Q102" s="21">
        <f t="shared" si="25"/>
        <v>1</v>
      </c>
      <c r="R102" s="662">
        <f t="shared" si="26"/>
        <v>0</v>
      </c>
      <c r="S102" s="315">
        <f t="shared" si="17"/>
        <v>0</v>
      </c>
    </row>
    <row r="103" spans="1:19">
      <c r="A103" s="149"/>
      <c r="B103" s="54"/>
      <c r="C103" s="21">
        <f t="shared" si="18"/>
        <v>1</v>
      </c>
      <c r="D103" s="666"/>
      <c r="E103" s="21">
        <f t="shared" si="19"/>
        <v>1</v>
      </c>
      <c r="F103" s="666"/>
      <c r="G103" s="21">
        <f t="shared" si="20"/>
        <v>1</v>
      </c>
      <c r="H103" s="666"/>
      <c r="I103" s="21">
        <f t="shared" si="21"/>
        <v>1</v>
      </c>
      <c r="J103" s="666"/>
      <c r="K103" s="21">
        <f t="shared" si="22"/>
        <v>1</v>
      </c>
      <c r="L103" s="666"/>
      <c r="M103" s="21">
        <f t="shared" si="23"/>
        <v>1</v>
      </c>
      <c r="N103" s="666"/>
      <c r="O103" s="21">
        <f t="shared" si="24"/>
        <v>1</v>
      </c>
      <c r="P103" s="666"/>
      <c r="Q103" s="21">
        <f t="shared" si="25"/>
        <v>1</v>
      </c>
      <c r="R103" s="662">
        <f t="shared" si="26"/>
        <v>0</v>
      </c>
      <c r="S103" s="315">
        <f t="shared" si="17"/>
        <v>0</v>
      </c>
    </row>
    <row r="104" spans="1:19">
      <c r="A104" s="149"/>
      <c r="B104" s="54"/>
      <c r="C104" s="21">
        <f t="shared" si="18"/>
        <v>1</v>
      </c>
      <c r="D104" s="666"/>
      <c r="E104" s="21">
        <f t="shared" si="19"/>
        <v>1</v>
      </c>
      <c r="F104" s="666"/>
      <c r="G104" s="21">
        <f t="shared" si="20"/>
        <v>1</v>
      </c>
      <c r="H104" s="666"/>
      <c r="I104" s="21">
        <f t="shared" si="21"/>
        <v>1</v>
      </c>
      <c r="J104" s="666"/>
      <c r="K104" s="21">
        <f t="shared" si="22"/>
        <v>1</v>
      </c>
      <c r="L104" s="666"/>
      <c r="M104" s="21">
        <f t="shared" si="23"/>
        <v>1</v>
      </c>
      <c r="N104" s="666"/>
      <c r="O104" s="21">
        <f t="shared" si="24"/>
        <v>1</v>
      </c>
      <c r="P104" s="666"/>
      <c r="Q104" s="21">
        <f t="shared" si="25"/>
        <v>1</v>
      </c>
      <c r="R104" s="662">
        <f t="shared" si="26"/>
        <v>0</v>
      </c>
      <c r="S104" s="315">
        <f t="shared" si="17"/>
        <v>0</v>
      </c>
    </row>
    <row r="105" spans="1:19">
      <c r="A105" s="149"/>
      <c r="B105" s="54"/>
      <c r="C105" s="21">
        <f t="shared" si="18"/>
        <v>1</v>
      </c>
      <c r="D105" s="666"/>
      <c r="E105" s="21">
        <f t="shared" si="19"/>
        <v>1</v>
      </c>
      <c r="F105" s="666"/>
      <c r="G105" s="21">
        <f t="shared" si="20"/>
        <v>1</v>
      </c>
      <c r="H105" s="666"/>
      <c r="I105" s="21">
        <f t="shared" si="21"/>
        <v>1</v>
      </c>
      <c r="J105" s="666"/>
      <c r="K105" s="21">
        <f t="shared" si="22"/>
        <v>1</v>
      </c>
      <c r="L105" s="666"/>
      <c r="M105" s="21">
        <f t="shared" si="23"/>
        <v>1</v>
      </c>
      <c r="N105" s="666"/>
      <c r="O105" s="21">
        <f t="shared" si="24"/>
        <v>1</v>
      </c>
      <c r="P105" s="666"/>
      <c r="Q105" s="21">
        <f t="shared" si="25"/>
        <v>1</v>
      </c>
      <c r="R105" s="662">
        <f t="shared" si="26"/>
        <v>0</v>
      </c>
      <c r="S105" s="315">
        <f t="shared" si="17"/>
        <v>0</v>
      </c>
    </row>
    <row r="106" spans="1:19">
      <c r="A106" s="149"/>
      <c r="B106" s="54"/>
      <c r="C106" s="21">
        <f t="shared" si="18"/>
        <v>1</v>
      </c>
      <c r="D106" s="666"/>
      <c r="E106" s="21">
        <f t="shared" si="19"/>
        <v>1</v>
      </c>
      <c r="F106" s="666"/>
      <c r="G106" s="21">
        <f t="shared" si="20"/>
        <v>1</v>
      </c>
      <c r="H106" s="666"/>
      <c r="I106" s="21">
        <f t="shared" si="21"/>
        <v>1</v>
      </c>
      <c r="J106" s="666"/>
      <c r="K106" s="21">
        <f t="shared" si="22"/>
        <v>1</v>
      </c>
      <c r="L106" s="666"/>
      <c r="M106" s="21">
        <f t="shared" si="23"/>
        <v>1</v>
      </c>
      <c r="N106" s="666"/>
      <c r="O106" s="21">
        <f t="shared" si="24"/>
        <v>1</v>
      </c>
      <c r="P106" s="666"/>
      <c r="Q106" s="21">
        <f t="shared" si="25"/>
        <v>1</v>
      </c>
      <c r="R106" s="662">
        <f t="shared" si="26"/>
        <v>0</v>
      </c>
      <c r="S106" s="315">
        <f t="shared" si="17"/>
        <v>0</v>
      </c>
    </row>
    <row r="107" spans="1:19">
      <c r="A107" s="149"/>
      <c r="B107" s="54"/>
      <c r="C107" s="21">
        <f t="shared" si="18"/>
        <v>1</v>
      </c>
      <c r="D107" s="666"/>
      <c r="E107" s="21">
        <f t="shared" si="19"/>
        <v>1</v>
      </c>
      <c r="F107" s="666"/>
      <c r="G107" s="21">
        <f t="shared" si="20"/>
        <v>1</v>
      </c>
      <c r="H107" s="666"/>
      <c r="I107" s="21">
        <f t="shared" si="21"/>
        <v>1</v>
      </c>
      <c r="J107" s="666"/>
      <c r="K107" s="21">
        <f t="shared" si="22"/>
        <v>1</v>
      </c>
      <c r="L107" s="666"/>
      <c r="M107" s="21">
        <f t="shared" si="23"/>
        <v>1</v>
      </c>
      <c r="N107" s="666"/>
      <c r="O107" s="21">
        <f t="shared" si="24"/>
        <v>1</v>
      </c>
      <c r="P107" s="666"/>
      <c r="Q107" s="21">
        <f t="shared" si="25"/>
        <v>1</v>
      </c>
      <c r="R107" s="662">
        <f t="shared" si="26"/>
        <v>0</v>
      </c>
      <c r="S107" s="315">
        <f t="shared" si="17"/>
        <v>0</v>
      </c>
    </row>
    <row r="108" spans="1:19">
      <c r="A108" s="149"/>
      <c r="B108" s="54"/>
      <c r="C108" s="21">
        <f t="shared" si="18"/>
        <v>1</v>
      </c>
      <c r="D108" s="666"/>
      <c r="E108" s="21">
        <f t="shared" si="19"/>
        <v>1</v>
      </c>
      <c r="F108" s="666"/>
      <c r="G108" s="21">
        <f t="shared" si="20"/>
        <v>1</v>
      </c>
      <c r="H108" s="666"/>
      <c r="I108" s="21">
        <f t="shared" si="21"/>
        <v>1</v>
      </c>
      <c r="J108" s="666"/>
      <c r="K108" s="21">
        <f t="shared" si="22"/>
        <v>1</v>
      </c>
      <c r="L108" s="666"/>
      <c r="M108" s="21">
        <f t="shared" si="23"/>
        <v>1</v>
      </c>
      <c r="N108" s="666"/>
      <c r="O108" s="21">
        <f t="shared" si="24"/>
        <v>1</v>
      </c>
      <c r="P108" s="666"/>
      <c r="Q108" s="21">
        <f t="shared" si="25"/>
        <v>1</v>
      </c>
      <c r="R108" s="662">
        <f t="shared" si="26"/>
        <v>0</v>
      </c>
      <c r="S108" s="315">
        <f t="shared" si="17"/>
        <v>0</v>
      </c>
    </row>
    <row r="109" spans="1:19">
      <c r="A109" s="149"/>
      <c r="B109" s="54"/>
      <c r="C109" s="21">
        <f t="shared" si="18"/>
        <v>1</v>
      </c>
      <c r="D109" s="666"/>
      <c r="E109" s="21">
        <f t="shared" si="19"/>
        <v>1</v>
      </c>
      <c r="F109" s="666"/>
      <c r="G109" s="21">
        <f t="shared" si="20"/>
        <v>1</v>
      </c>
      <c r="H109" s="666"/>
      <c r="I109" s="21">
        <f t="shared" si="21"/>
        <v>1</v>
      </c>
      <c r="J109" s="666"/>
      <c r="K109" s="21">
        <f t="shared" si="22"/>
        <v>1</v>
      </c>
      <c r="L109" s="666"/>
      <c r="M109" s="21">
        <f t="shared" si="23"/>
        <v>1</v>
      </c>
      <c r="N109" s="666"/>
      <c r="O109" s="21">
        <f t="shared" si="24"/>
        <v>1</v>
      </c>
      <c r="P109" s="666"/>
      <c r="Q109" s="21">
        <f t="shared" si="25"/>
        <v>1</v>
      </c>
      <c r="R109" s="662">
        <f t="shared" si="26"/>
        <v>0</v>
      </c>
      <c r="S109" s="315">
        <f t="shared" si="17"/>
        <v>0</v>
      </c>
    </row>
    <row r="110" spans="1:19">
      <c r="A110" s="149"/>
      <c r="B110" s="54"/>
      <c r="C110" s="21">
        <f t="shared" si="18"/>
        <v>1</v>
      </c>
      <c r="D110" s="666"/>
      <c r="E110" s="21">
        <f t="shared" si="19"/>
        <v>1</v>
      </c>
      <c r="F110" s="666"/>
      <c r="G110" s="21">
        <f t="shared" si="20"/>
        <v>1</v>
      </c>
      <c r="H110" s="666"/>
      <c r="I110" s="21">
        <f t="shared" si="21"/>
        <v>1</v>
      </c>
      <c r="J110" s="666"/>
      <c r="K110" s="21">
        <f t="shared" si="22"/>
        <v>1</v>
      </c>
      <c r="L110" s="666"/>
      <c r="M110" s="21">
        <f t="shared" si="23"/>
        <v>1</v>
      </c>
      <c r="N110" s="666"/>
      <c r="O110" s="21">
        <f t="shared" si="24"/>
        <v>1</v>
      </c>
      <c r="P110" s="666"/>
      <c r="Q110" s="21">
        <f t="shared" si="25"/>
        <v>1</v>
      </c>
      <c r="R110" s="662">
        <f t="shared" si="26"/>
        <v>0</v>
      </c>
      <c r="S110" s="315">
        <f t="shared" si="17"/>
        <v>0</v>
      </c>
    </row>
    <row r="111" spans="1:19">
      <c r="A111" s="149"/>
      <c r="B111" s="54"/>
      <c r="C111" s="21">
        <f t="shared" si="18"/>
        <v>1</v>
      </c>
      <c r="D111" s="666"/>
      <c r="E111" s="21">
        <f t="shared" si="19"/>
        <v>1</v>
      </c>
      <c r="F111" s="666"/>
      <c r="G111" s="21">
        <f t="shared" si="20"/>
        <v>1</v>
      </c>
      <c r="H111" s="666"/>
      <c r="I111" s="21">
        <f t="shared" si="21"/>
        <v>1</v>
      </c>
      <c r="J111" s="666"/>
      <c r="K111" s="21">
        <f t="shared" si="22"/>
        <v>1</v>
      </c>
      <c r="L111" s="666"/>
      <c r="M111" s="21">
        <f t="shared" si="23"/>
        <v>1</v>
      </c>
      <c r="N111" s="666"/>
      <c r="O111" s="21">
        <f t="shared" si="24"/>
        <v>1</v>
      </c>
      <c r="P111" s="666"/>
      <c r="Q111" s="21">
        <f t="shared" si="25"/>
        <v>1</v>
      </c>
      <c r="R111" s="662">
        <f t="shared" si="26"/>
        <v>0</v>
      </c>
      <c r="S111" s="315">
        <f t="shared" si="17"/>
        <v>0</v>
      </c>
    </row>
    <row r="112" spans="1:19">
      <c r="A112" s="149"/>
      <c r="B112" s="54"/>
      <c r="C112" s="21">
        <f t="shared" si="18"/>
        <v>1</v>
      </c>
      <c r="D112" s="666"/>
      <c r="E112" s="21">
        <f t="shared" si="19"/>
        <v>1</v>
      </c>
      <c r="F112" s="666"/>
      <c r="G112" s="21">
        <f t="shared" si="20"/>
        <v>1</v>
      </c>
      <c r="H112" s="666"/>
      <c r="I112" s="21">
        <f t="shared" si="21"/>
        <v>1</v>
      </c>
      <c r="J112" s="666"/>
      <c r="K112" s="21">
        <f t="shared" si="22"/>
        <v>1</v>
      </c>
      <c r="L112" s="666"/>
      <c r="M112" s="21">
        <f t="shared" si="23"/>
        <v>1</v>
      </c>
      <c r="N112" s="666"/>
      <c r="O112" s="21">
        <f t="shared" si="24"/>
        <v>1</v>
      </c>
      <c r="P112" s="666"/>
      <c r="Q112" s="21">
        <f t="shared" si="25"/>
        <v>1</v>
      </c>
      <c r="R112" s="662">
        <f t="shared" si="26"/>
        <v>0</v>
      </c>
      <c r="S112" s="315">
        <f t="shared" si="17"/>
        <v>0</v>
      </c>
    </row>
    <row r="113" spans="1:19">
      <c r="A113" s="149"/>
      <c r="B113" s="54"/>
      <c r="C113" s="21">
        <f t="shared" si="18"/>
        <v>1</v>
      </c>
      <c r="D113" s="666"/>
      <c r="E113" s="21">
        <f t="shared" si="19"/>
        <v>1</v>
      </c>
      <c r="F113" s="666"/>
      <c r="G113" s="21">
        <f t="shared" si="20"/>
        <v>1</v>
      </c>
      <c r="H113" s="666"/>
      <c r="I113" s="21">
        <f t="shared" si="21"/>
        <v>1</v>
      </c>
      <c r="J113" s="666"/>
      <c r="K113" s="21">
        <f t="shared" si="22"/>
        <v>1</v>
      </c>
      <c r="L113" s="666"/>
      <c r="M113" s="21">
        <f t="shared" si="23"/>
        <v>1</v>
      </c>
      <c r="N113" s="666"/>
      <c r="O113" s="21">
        <f t="shared" si="24"/>
        <v>1</v>
      </c>
      <c r="P113" s="666"/>
      <c r="Q113" s="21">
        <f t="shared" si="25"/>
        <v>1</v>
      </c>
      <c r="R113" s="662">
        <f t="shared" si="26"/>
        <v>0</v>
      </c>
      <c r="S113" s="315">
        <f t="shared" si="17"/>
        <v>0</v>
      </c>
    </row>
    <row r="114" spans="1:19">
      <c r="A114" s="149"/>
      <c r="B114" s="54"/>
      <c r="C114" s="21">
        <f t="shared" si="18"/>
        <v>1</v>
      </c>
      <c r="D114" s="666"/>
      <c r="E114" s="21">
        <f t="shared" si="19"/>
        <v>1</v>
      </c>
      <c r="F114" s="666"/>
      <c r="G114" s="21">
        <f t="shared" si="20"/>
        <v>1</v>
      </c>
      <c r="H114" s="666"/>
      <c r="I114" s="21">
        <f t="shared" si="21"/>
        <v>1</v>
      </c>
      <c r="J114" s="666"/>
      <c r="K114" s="21">
        <f t="shared" si="22"/>
        <v>1</v>
      </c>
      <c r="L114" s="666"/>
      <c r="M114" s="21">
        <f t="shared" si="23"/>
        <v>1</v>
      </c>
      <c r="N114" s="666"/>
      <c r="O114" s="21">
        <f t="shared" si="24"/>
        <v>1</v>
      </c>
      <c r="P114" s="666"/>
      <c r="Q114" s="21">
        <f t="shared" si="25"/>
        <v>1</v>
      </c>
      <c r="R114" s="662">
        <f t="shared" si="26"/>
        <v>0</v>
      </c>
      <c r="S114" s="315">
        <f t="shared" si="17"/>
        <v>0</v>
      </c>
    </row>
    <row r="115" spans="1:19">
      <c r="A115" s="149"/>
      <c r="B115" s="54"/>
      <c r="C115" s="21">
        <f t="shared" si="18"/>
        <v>1</v>
      </c>
      <c r="D115" s="666"/>
      <c r="E115" s="21">
        <f t="shared" si="19"/>
        <v>1</v>
      </c>
      <c r="F115" s="666"/>
      <c r="G115" s="21">
        <f t="shared" si="20"/>
        <v>1</v>
      </c>
      <c r="H115" s="666"/>
      <c r="I115" s="21">
        <f t="shared" si="21"/>
        <v>1</v>
      </c>
      <c r="J115" s="666"/>
      <c r="K115" s="21">
        <f t="shared" si="22"/>
        <v>1</v>
      </c>
      <c r="L115" s="666"/>
      <c r="M115" s="21">
        <f t="shared" si="23"/>
        <v>1</v>
      </c>
      <c r="N115" s="666"/>
      <c r="O115" s="21">
        <f t="shared" si="24"/>
        <v>1</v>
      </c>
      <c r="P115" s="666"/>
      <c r="Q115" s="21">
        <f t="shared" si="25"/>
        <v>1</v>
      </c>
      <c r="R115" s="662">
        <f t="shared" si="26"/>
        <v>0</v>
      </c>
      <c r="S115" s="315">
        <f t="shared" si="17"/>
        <v>0</v>
      </c>
    </row>
    <row r="116" spans="1:19">
      <c r="A116" s="149"/>
      <c r="B116" s="54"/>
      <c r="C116" s="21">
        <f t="shared" si="18"/>
        <v>1</v>
      </c>
      <c r="D116" s="666"/>
      <c r="E116" s="21">
        <f t="shared" si="19"/>
        <v>1</v>
      </c>
      <c r="F116" s="666"/>
      <c r="G116" s="21">
        <f t="shared" si="20"/>
        <v>1</v>
      </c>
      <c r="H116" s="666"/>
      <c r="I116" s="21">
        <f t="shared" si="21"/>
        <v>1</v>
      </c>
      <c r="J116" s="666"/>
      <c r="K116" s="21">
        <f t="shared" si="22"/>
        <v>1</v>
      </c>
      <c r="L116" s="666"/>
      <c r="M116" s="21">
        <f t="shared" si="23"/>
        <v>1</v>
      </c>
      <c r="N116" s="666"/>
      <c r="O116" s="21">
        <f t="shared" si="24"/>
        <v>1</v>
      </c>
      <c r="P116" s="666"/>
      <c r="Q116" s="21">
        <f t="shared" si="25"/>
        <v>1</v>
      </c>
      <c r="R116" s="662">
        <f t="shared" si="26"/>
        <v>0</v>
      </c>
      <c r="S116" s="315">
        <f t="shared" si="17"/>
        <v>0</v>
      </c>
    </row>
    <row r="117" spans="1:19">
      <c r="A117" s="149"/>
      <c r="B117" s="54"/>
      <c r="C117" s="21">
        <f t="shared" si="18"/>
        <v>1</v>
      </c>
      <c r="D117" s="666"/>
      <c r="E117" s="21">
        <f t="shared" si="19"/>
        <v>1</v>
      </c>
      <c r="F117" s="666"/>
      <c r="G117" s="21">
        <f t="shared" si="20"/>
        <v>1</v>
      </c>
      <c r="H117" s="666"/>
      <c r="I117" s="21">
        <f t="shared" si="21"/>
        <v>1</v>
      </c>
      <c r="J117" s="666"/>
      <c r="K117" s="21">
        <f t="shared" si="22"/>
        <v>1</v>
      </c>
      <c r="L117" s="666"/>
      <c r="M117" s="21">
        <f t="shared" si="23"/>
        <v>1</v>
      </c>
      <c r="N117" s="666"/>
      <c r="O117" s="21">
        <f t="shared" si="24"/>
        <v>1</v>
      </c>
      <c r="P117" s="666"/>
      <c r="Q117" s="21">
        <f t="shared" si="25"/>
        <v>1</v>
      </c>
      <c r="R117" s="662">
        <f t="shared" si="26"/>
        <v>0</v>
      </c>
      <c r="S117" s="315">
        <f t="shared" si="17"/>
        <v>0</v>
      </c>
    </row>
    <row r="118" spans="1:19">
      <c r="A118" s="149"/>
      <c r="B118" s="54"/>
      <c r="C118" s="21">
        <f t="shared" si="18"/>
        <v>1</v>
      </c>
      <c r="D118" s="666"/>
      <c r="E118" s="21">
        <f t="shared" si="19"/>
        <v>1</v>
      </c>
      <c r="F118" s="666"/>
      <c r="G118" s="21">
        <f t="shared" si="20"/>
        <v>1</v>
      </c>
      <c r="H118" s="666"/>
      <c r="I118" s="21">
        <f t="shared" si="21"/>
        <v>1</v>
      </c>
      <c r="J118" s="666"/>
      <c r="K118" s="21">
        <f t="shared" si="22"/>
        <v>1</v>
      </c>
      <c r="L118" s="666"/>
      <c r="M118" s="21">
        <f t="shared" si="23"/>
        <v>1</v>
      </c>
      <c r="N118" s="666"/>
      <c r="O118" s="21">
        <f t="shared" si="24"/>
        <v>1</v>
      </c>
      <c r="P118" s="666"/>
      <c r="Q118" s="21">
        <f t="shared" si="25"/>
        <v>1</v>
      </c>
      <c r="R118" s="662">
        <f t="shared" si="26"/>
        <v>0</v>
      </c>
      <c r="S118" s="315">
        <f t="shared" si="17"/>
        <v>0</v>
      </c>
    </row>
    <row r="119" spans="1:19">
      <c r="A119" s="149"/>
      <c r="B119" s="54"/>
      <c r="C119" s="21">
        <f t="shared" si="18"/>
        <v>1</v>
      </c>
      <c r="D119" s="666"/>
      <c r="E119" s="21">
        <f t="shared" si="19"/>
        <v>1</v>
      </c>
      <c r="F119" s="666"/>
      <c r="G119" s="21">
        <f t="shared" si="20"/>
        <v>1</v>
      </c>
      <c r="H119" s="666"/>
      <c r="I119" s="21">
        <f t="shared" si="21"/>
        <v>1</v>
      </c>
      <c r="J119" s="666"/>
      <c r="K119" s="21">
        <f t="shared" si="22"/>
        <v>1</v>
      </c>
      <c r="L119" s="666"/>
      <c r="M119" s="21">
        <f t="shared" si="23"/>
        <v>1</v>
      </c>
      <c r="N119" s="666"/>
      <c r="O119" s="21">
        <f t="shared" si="24"/>
        <v>1</v>
      </c>
      <c r="P119" s="666"/>
      <c r="Q119" s="21">
        <f t="shared" si="25"/>
        <v>1</v>
      </c>
      <c r="R119" s="662">
        <f t="shared" si="26"/>
        <v>0</v>
      </c>
      <c r="S119" s="315">
        <f t="shared" si="17"/>
        <v>0</v>
      </c>
    </row>
    <row r="120" spans="1:19">
      <c r="A120" s="149"/>
      <c r="B120" s="54"/>
      <c r="C120" s="21">
        <f t="shared" si="18"/>
        <v>1</v>
      </c>
      <c r="D120" s="666"/>
      <c r="E120" s="21">
        <f t="shared" si="19"/>
        <v>1</v>
      </c>
      <c r="F120" s="666"/>
      <c r="G120" s="21">
        <f t="shared" si="20"/>
        <v>1</v>
      </c>
      <c r="H120" s="666"/>
      <c r="I120" s="21">
        <f t="shared" si="21"/>
        <v>1</v>
      </c>
      <c r="J120" s="666"/>
      <c r="K120" s="21">
        <f t="shared" si="22"/>
        <v>1</v>
      </c>
      <c r="L120" s="666"/>
      <c r="M120" s="21">
        <f t="shared" si="23"/>
        <v>1</v>
      </c>
      <c r="N120" s="666"/>
      <c r="O120" s="21">
        <f t="shared" si="24"/>
        <v>1</v>
      </c>
      <c r="P120" s="666"/>
      <c r="Q120" s="21">
        <f t="shared" si="25"/>
        <v>1</v>
      </c>
      <c r="R120" s="662">
        <f t="shared" si="26"/>
        <v>0</v>
      </c>
      <c r="S120" s="315">
        <f t="shared" si="17"/>
        <v>0</v>
      </c>
    </row>
    <row r="121" spans="1:19">
      <c r="A121" s="149"/>
      <c r="B121" s="54"/>
      <c r="C121" s="21">
        <f t="shared" si="18"/>
        <v>1</v>
      </c>
      <c r="D121" s="666"/>
      <c r="E121" s="21">
        <f t="shared" si="19"/>
        <v>1</v>
      </c>
      <c r="F121" s="666"/>
      <c r="G121" s="21">
        <f t="shared" si="20"/>
        <v>1</v>
      </c>
      <c r="H121" s="666"/>
      <c r="I121" s="21">
        <f t="shared" si="21"/>
        <v>1</v>
      </c>
      <c r="J121" s="666"/>
      <c r="K121" s="21">
        <f t="shared" si="22"/>
        <v>1</v>
      </c>
      <c r="L121" s="666"/>
      <c r="M121" s="21">
        <f t="shared" si="23"/>
        <v>1</v>
      </c>
      <c r="N121" s="666"/>
      <c r="O121" s="21">
        <f t="shared" si="24"/>
        <v>1</v>
      </c>
      <c r="P121" s="666"/>
      <c r="Q121" s="21">
        <f t="shared" si="25"/>
        <v>1</v>
      </c>
      <c r="R121" s="662">
        <f t="shared" si="26"/>
        <v>0</v>
      </c>
      <c r="S121" s="315">
        <f t="shared" si="17"/>
        <v>0</v>
      </c>
    </row>
    <row r="122" spans="1:19">
      <c r="A122" s="149"/>
      <c r="B122" s="54"/>
      <c r="C122" s="21">
        <f t="shared" si="18"/>
        <v>1</v>
      </c>
      <c r="D122" s="666"/>
      <c r="E122" s="21">
        <f t="shared" si="19"/>
        <v>1</v>
      </c>
      <c r="F122" s="666"/>
      <c r="G122" s="21">
        <f t="shared" si="20"/>
        <v>1</v>
      </c>
      <c r="H122" s="666"/>
      <c r="I122" s="21">
        <f t="shared" si="21"/>
        <v>1</v>
      </c>
      <c r="J122" s="666"/>
      <c r="K122" s="21">
        <f t="shared" si="22"/>
        <v>1</v>
      </c>
      <c r="L122" s="666"/>
      <c r="M122" s="21">
        <f t="shared" si="23"/>
        <v>1</v>
      </c>
      <c r="N122" s="666"/>
      <c r="O122" s="21">
        <f t="shared" si="24"/>
        <v>1</v>
      </c>
      <c r="P122" s="666"/>
      <c r="Q122" s="21">
        <f t="shared" si="25"/>
        <v>1</v>
      </c>
      <c r="R122" s="662">
        <f t="shared" si="26"/>
        <v>0</v>
      </c>
      <c r="S122" s="315">
        <f t="shared" si="17"/>
        <v>0</v>
      </c>
    </row>
    <row r="123" spans="1:19">
      <c r="A123" s="149"/>
      <c r="B123" s="54"/>
      <c r="C123" s="21">
        <f t="shared" si="18"/>
        <v>1</v>
      </c>
      <c r="D123" s="666"/>
      <c r="E123" s="21">
        <f t="shared" si="19"/>
        <v>1</v>
      </c>
      <c r="F123" s="666"/>
      <c r="G123" s="21">
        <f t="shared" si="20"/>
        <v>1</v>
      </c>
      <c r="H123" s="666"/>
      <c r="I123" s="21">
        <f t="shared" si="21"/>
        <v>1</v>
      </c>
      <c r="J123" s="666"/>
      <c r="K123" s="21">
        <f t="shared" si="22"/>
        <v>1</v>
      </c>
      <c r="L123" s="666"/>
      <c r="M123" s="21">
        <f t="shared" si="23"/>
        <v>1</v>
      </c>
      <c r="N123" s="666"/>
      <c r="O123" s="21">
        <f t="shared" si="24"/>
        <v>1</v>
      </c>
      <c r="P123" s="666"/>
      <c r="Q123" s="21">
        <f t="shared" si="25"/>
        <v>1</v>
      </c>
      <c r="R123" s="662">
        <f t="shared" si="26"/>
        <v>0</v>
      </c>
      <c r="S123" s="315">
        <f t="shared" ref="S123:S186" si="27">ROUND(R123*B123/10000,0)</f>
        <v>0</v>
      </c>
    </row>
    <row r="124" spans="1:19">
      <c r="A124" s="149"/>
      <c r="B124" s="54"/>
      <c r="C124" s="21">
        <f t="shared" si="18"/>
        <v>1</v>
      </c>
      <c r="D124" s="666"/>
      <c r="E124" s="21">
        <f t="shared" si="19"/>
        <v>1</v>
      </c>
      <c r="F124" s="666"/>
      <c r="G124" s="21">
        <f t="shared" si="20"/>
        <v>1</v>
      </c>
      <c r="H124" s="666"/>
      <c r="I124" s="21">
        <f t="shared" si="21"/>
        <v>1</v>
      </c>
      <c r="J124" s="666"/>
      <c r="K124" s="21">
        <f t="shared" si="22"/>
        <v>1</v>
      </c>
      <c r="L124" s="666"/>
      <c r="M124" s="21">
        <f t="shared" si="23"/>
        <v>1</v>
      </c>
      <c r="N124" s="666"/>
      <c r="O124" s="21">
        <f t="shared" si="24"/>
        <v>1</v>
      </c>
      <c r="P124" s="666"/>
      <c r="Q124" s="21">
        <f t="shared" si="25"/>
        <v>1</v>
      </c>
      <c r="R124" s="662">
        <f t="shared" si="26"/>
        <v>0</v>
      </c>
      <c r="S124" s="315">
        <f t="shared" si="27"/>
        <v>0</v>
      </c>
    </row>
    <row r="125" spans="1:19">
      <c r="A125" s="149"/>
      <c r="B125" s="54"/>
      <c r="C125" s="21">
        <f t="shared" si="18"/>
        <v>1</v>
      </c>
      <c r="D125" s="666"/>
      <c r="E125" s="21">
        <f t="shared" si="19"/>
        <v>1</v>
      </c>
      <c r="F125" s="666"/>
      <c r="G125" s="21">
        <f t="shared" si="20"/>
        <v>1</v>
      </c>
      <c r="H125" s="666"/>
      <c r="I125" s="21">
        <f t="shared" si="21"/>
        <v>1</v>
      </c>
      <c r="J125" s="666"/>
      <c r="K125" s="21">
        <f t="shared" si="22"/>
        <v>1</v>
      </c>
      <c r="L125" s="666"/>
      <c r="M125" s="21">
        <f t="shared" si="23"/>
        <v>1</v>
      </c>
      <c r="N125" s="666"/>
      <c r="O125" s="21">
        <f t="shared" si="24"/>
        <v>1</v>
      </c>
      <c r="P125" s="666"/>
      <c r="Q125" s="21">
        <f t="shared" si="25"/>
        <v>1</v>
      </c>
      <c r="R125" s="662">
        <f t="shared" si="26"/>
        <v>0</v>
      </c>
      <c r="S125" s="315">
        <f t="shared" si="27"/>
        <v>0</v>
      </c>
    </row>
    <row r="126" spans="1:19">
      <c r="A126" s="149"/>
      <c r="B126" s="54"/>
      <c r="C126" s="21">
        <f t="shared" si="18"/>
        <v>1</v>
      </c>
      <c r="D126" s="666"/>
      <c r="E126" s="21">
        <f t="shared" si="19"/>
        <v>1</v>
      </c>
      <c r="F126" s="666"/>
      <c r="G126" s="21">
        <f t="shared" si="20"/>
        <v>1</v>
      </c>
      <c r="H126" s="666"/>
      <c r="I126" s="21">
        <f t="shared" si="21"/>
        <v>1</v>
      </c>
      <c r="J126" s="666"/>
      <c r="K126" s="21">
        <f t="shared" si="22"/>
        <v>1</v>
      </c>
      <c r="L126" s="666"/>
      <c r="M126" s="21">
        <f t="shared" si="23"/>
        <v>1</v>
      </c>
      <c r="N126" s="666"/>
      <c r="O126" s="21">
        <f t="shared" si="24"/>
        <v>1</v>
      </c>
      <c r="P126" s="666"/>
      <c r="Q126" s="21">
        <f t="shared" si="25"/>
        <v>1</v>
      </c>
      <c r="R126" s="662">
        <f t="shared" si="26"/>
        <v>0</v>
      </c>
      <c r="S126" s="315">
        <f t="shared" si="27"/>
        <v>0</v>
      </c>
    </row>
    <row r="127" spans="1:19">
      <c r="A127" s="149"/>
      <c r="B127" s="54"/>
      <c r="C127" s="21">
        <f t="shared" si="18"/>
        <v>1</v>
      </c>
      <c r="D127" s="666"/>
      <c r="E127" s="21">
        <f t="shared" si="19"/>
        <v>1</v>
      </c>
      <c r="F127" s="666"/>
      <c r="G127" s="21">
        <f t="shared" si="20"/>
        <v>1</v>
      </c>
      <c r="H127" s="666"/>
      <c r="I127" s="21">
        <f t="shared" si="21"/>
        <v>1</v>
      </c>
      <c r="J127" s="666"/>
      <c r="K127" s="21">
        <f t="shared" si="22"/>
        <v>1</v>
      </c>
      <c r="L127" s="666"/>
      <c r="M127" s="21">
        <f t="shared" si="23"/>
        <v>1</v>
      </c>
      <c r="N127" s="666"/>
      <c r="O127" s="21">
        <f t="shared" si="24"/>
        <v>1</v>
      </c>
      <c r="P127" s="666"/>
      <c r="Q127" s="21">
        <f t="shared" si="25"/>
        <v>1</v>
      </c>
      <c r="R127" s="662">
        <f t="shared" si="26"/>
        <v>0</v>
      </c>
      <c r="S127" s="315">
        <f t="shared" si="27"/>
        <v>0</v>
      </c>
    </row>
    <row r="128" spans="1:19">
      <c r="A128" s="149"/>
      <c r="B128" s="54"/>
      <c r="C128" s="21">
        <f t="shared" si="18"/>
        <v>1</v>
      </c>
      <c r="D128" s="666"/>
      <c r="E128" s="21">
        <f t="shared" si="19"/>
        <v>1</v>
      </c>
      <c r="F128" s="666"/>
      <c r="G128" s="21">
        <f t="shared" si="20"/>
        <v>1</v>
      </c>
      <c r="H128" s="666"/>
      <c r="I128" s="21">
        <f t="shared" si="21"/>
        <v>1</v>
      </c>
      <c r="J128" s="666"/>
      <c r="K128" s="21">
        <f t="shared" si="22"/>
        <v>1</v>
      </c>
      <c r="L128" s="666"/>
      <c r="M128" s="21">
        <f t="shared" si="23"/>
        <v>1</v>
      </c>
      <c r="N128" s="666"/>
      <c r="O128" s="21">
        <f t="shared" si="24"/>
        <v>1</v>
      </c>
      <c r="P128" s="666"/>
      <c r="Q128" s="21">
        <f t="shared" si="25"/>
        <v>1</v>
      </c>
      <c r="R128" s="662">
        <f t="shared" si="26"/>
        <v>0</v>
      </c>
      <c r="S128" s="315">
        <f t="shared" si="27"/>
        <v>0</v>
      </c>
    </row>
    <row r="129" spans="1:19">
      <c r="A129" s="149"/>
      <c r="B129" s="54"/>
      <c r="C129" s="21">
        <f t="shared" si="18"/>
        <v>1</v>
      </c>
      <c r="D129" s="666"/>
      <c r="E129" s="21">
        <f t="shared" si="19"/>
        <v>1</v>
      </c>
      <c r="F129" s="666"/>
      <c r="G129" s="21">
        <f t="shared" si="20"/>
        <v>1</v>
      </c>
      <c r="H129" s="666"/>
      <c r="I129" s="21">
        <f t="shared" si="21"/>
        <v>1</v>
      </c>
      <c r="J129" s="666"/>
      <c r="K129" s="21">
        <f t="shared" si="22"/>
        <v>1</v>
      </c>
      <c r="L129" s="666"/>
      <c r="M129" s="21">
        <f t="shared" si="23"/>
        <v>1</v>
      </c>
      <c r="N129" s="666"/>
      <c r="O129" s="21">
        <f t="shared" si="24"/>
        <v>1</v>
      </c>
      <c r="P129" s="666"/>
      <c r="Q129" s="21">
        <f t="shared" si="25"/>
        <v>1</v>
      </c>
      <c r="R129" s="662">
        <f t="shared" si="26"/>
        <v>0</v>
      </c>
      <c r="S129" s="315">
        <f t="shared" si="27"/>
        <v>0</v>
      </c>
    </row>
    <row r="130" spans="1:19">
      <c r="A130" s="149"/>
      <c r="B130" s="54"/>
      <c r="C130" s="21">
        <f t="shared" si="18"/>
        <v>1</v>
      </c>
      <c r="D130" s="666"/>
      <c r="E130" s="21">
        <f t="shared" si="19"/>
        <v>1</v>
      </c>
      <c r="F130" s="666"/>
      <c r="G130" s="21">
        <f t="shared" si="20"/>
        <v>1</v>
      </c>
      <c r="H130" s="666"/>
      <c r="I130" s="21">
        <f t="shared" si="21"/>
        <v>1</v>
      </c>
      <c r="J130" s="666"/>
      <c r="K130" s="21">
        <f t="shared" si="22"/>
        <v>1</v>
      </c>
      <c r="L130" s="666"/>
      <c r="M130" s="21">
        <f t="shared" si="23"/>
        <v>1</v>
      </c>
      <c r="N130" s="666"/>
      <c r="O130" s="21">
        <f t="shared" si="24"/>
        <v>1</v>
      </c>
      <c r="P130" s="666"/>
      <c r="Q130" s="21">
        <f t="shared" si="25"/>
        <v>1</v>
      </c>
      <c r="R130" s="662">
        <f t="shared" si="26"/>
        <v>0</v>
      </c>
      <c r="S130" s="315">
        <f t="shared" si="27"/>
        <v>0</v>
      </c>
    </row>
    <row r="131" spans="1:19">
      <c r="A131" s="149"/>
      <c r="B131" s="54"/>
      <c r="C131" s="21">
        <f t="shared" si="18"/>
        <v>1</v>
      </c>
      <c r="D131" s="666"/>
      <c r="E131" s="21">
        <f t="shared" si="19"/>
        <v>1</v>
      </c>
      <c r="F131" s="666"/>
      <c r="G131" s="21">
        <f t="shared" si="20"/>
        <v>1</v>
      </c>
      <c r="H131" s="666"/>
      <c r="I131" s="21">
        <f t="shared" si="21"/>
        <v>1</v>
      </c>
      <c r="J131" s="666"/>
      <c r="K131" s="21">
        <f t="shared" si="22"/>
        <v>1</v>
      </c>
      <c r="L131" s="666"/>
      <c r="M131" s="21">
        <f t="shared" si="23"/>
        <v>1</v>
      </c>
      <c r="N131" s="666"/>
      <c r="O131" s="21">
        <f t="shared" si="24"/>
        <v>1</v>
      </c>
      <c r="P131" s="666"/>
      <c r="Q131" s="21">
        <f t="shared" si="25"/>
        <v>1</v>
      </c>
      <c r="R131" s="662">
        <f t="shared" si="26"/>
        <v>0</v>
      </c>
      <c r="S131" s="315">
        <f t="shared" si="27"/>
        <v>0</v>
      </c>
    </row>
    <row r="132" spans="1:19">
      <c r="A132" s="149"/>
      <c r="B132" s="54"/>
      <c r="C132" s="21">
        <f t="shared" si="18"/>
        <v>1</v>
      </c>
      <c r="D132" s="666"/>
      <c r="E132" s="21">
        <f t="shared" si="19"/>
        <v>1</v>
      </c>
      <c r="F132" s="666"/>
      <c r="G132" s="21">
        <f t="shared" si="20"/>
        <v>1</v>
      </c>
      <c r="H132" s="666"/>
      <c r="I132" s="21">
        <f t="shared" si="21"/>
        <v>1</v>
      </c>
      <c r="J132" s="666"/>
      <c r="K132" s="21">
        <f t="shared" si="22"/>
        <v>1</v>
      </c>
      <c r="L132" s="666"/>
      <c r="M132" s="21">
        <f t="shared" si="23"/>
        <v>1</v>
      </c>
      <c r="N132" s="666"/>
      <c r="O132" s="21">
        <f t="shared" si="24"/>
        <v>1</v>
      </c>
      <c r="P132" s="666"/>
      <c r="Q132" s="21">
        <f t="shared" si="25"/>
        <v>1</v>
      </c>
      <c r="R132" s="662">
        <f t="shared" si="26"/>
        <v>0</v>
      </c>
      <c r="S132" s="315">
        <f t="shared" si="27"/>
        <v>0</v>
      </c>
    </row>
    <row r="133" spans="1:19">
      <c r="A133" s="149"/>
      <c r="B133" s="54"/>
      <c r="C133" s="21">
        <f t="shared" si="18"/>
        <v>1</v>
      </c>
      <c r="D133" s="666"/>
      <c r="E133" s="21">
        <f t="shared" si="19"/>
        <v>1</v>
      </c>
      <c r="F133" s="666"/>
      <c r="G133" s="21">
        <f t="shared" si="20"/>
        <v>1</v>
      </c>
      <c r="H133" s="666"/>
      <c r="I133" s="21">
        <f t="shared" si="21"/>
        <v>1</v>
      </c>
      <c r="J133" s="666"/>
      <c r="K133" s="21">
        <f t="shared" si="22"/>
        <v>1</v>
      </c>
      <c r="L133" s="666"/>
      <c r="M133" s="21">
        <f t="shared" si="23"/>
        <v>1</v>
      </c>
      <c r="N133" s="666"/>
      <c r="O133" s="21">
        <f t="shared" si="24"/>
        <v>1</v>
      </c>
      <c r="P133" s="666"/>
      <c r="Q133" s="21">
        <f t="shared" si="25"/>
        <v>1</v>
      </c>
      <c r="R133" s="662">
        <f t="shared" si="26"/>
        <v>0</v>
      </c>
      <c r="S133" s="315">
        <f t="shared" si="27"/>
        <v>0</v>
      </c>
    </row>
    <row r="134" spans="1:19">
      <c r="A134" s="149"/>
      <c r="B134" s="54"/>
      <c r="C134" s="21">
        <f t="shared" si="18"/>
        <v>1</v>
      </c>
      <c r="D134" s="666"/>
      <c r="E134" s="21">
        <f t="shared" si="19"/>
        <v>1</v>
      </c>
      <c r="F134" s="666"/>
      <c r="G134" s="21">
        <f t="shared" si="20"/>
        <v>1</v>
      </c>
      <c r="H134" s="666"/>
      <c r="I134" s="21">
        <f t="shared" si="21"/>
        <v>1</v>
      </c>
      <c r="J134" s="666"/>
      <c r="K134" s="21">
        <f t="shared" si="22"/>
        <v>1</v>
      </c>
      <c r="L134" s="666"/>
      <c r="M134" s="21">
        <f t="shared" si="23"/>
        <v>1</v>
      </c>
      <c r="N134" s="666"/>
      <c r="O134" s="21">
        <f t="shared" si="24"/>
        <v>1</v>
      </c>
      <c r="P134" s="666"/>
      <c r="Q134" s="21">
        <f t="shared" si="25"/>
        <v>1</v>
      </c>
      <c r="R134" s="662">
        <f t="shared" si="26"/>
        <v>0</v>
      </c>
      <c r="S134" s="315">
        <f t="shared" si="27"/>
        <v>0</v>
      </c>
    </row>
    <row r="135" spans="1:19">
      <c r="A135" s="149"/>
      <c r="B135" s="54"/>
      <c r="C135" s="21">
        <f t="shared" si="18"/>
        <v>1</v>
      </c>
      <c r="D135" s="666"/>
      <c r="E135" s="21">
        <f t="shared" si="19"/>
        <v>1</v>
      </c>
      <c r="F135" s="666"/>
      <c r="G135" s="21">
        <f t="shared" si="20"/>
        <v>1</v>
      </c>
      <c r="H135" s="666"/>
      <c r="I135" s="21">
        <f t="shared" si="21"/>
        <v>1</v>
      </c>
      <c r="J135" s="666"/>
      <c r="K135" s="21">
        <f t="shared" si="22"/>
        <v>1</v>
      </c>
      <c r="L135" s="666"/>
      <c r="M135" s="21">
        <f t="shared" si="23"/>
        <v>1</v>
      </c>
      <c r="N135" s="666"/>
      <c r="O135" s="21">
        <f t="shared" si="24"/>
        <v>1</v>
      </c>
      <c r="P135" s="666"/>
      <c r="Q135" s="21">
        <f t="shared" si="25"/>
        <v>1</v>
      </c>
      <c r="R135" s="662">
        <f t="shared" si="26"/>
        <v>0</v>
      </c>
      <c r="S135" s="315">
        <f t="shared" si="27"/>
        <v>0</v>
      </c>
    </row>
    <row r="136" spans="1:19">
      <c r="A136" s="149"/>
      <c r="B136" s="54"/>
      <c r="C136" s="21">
        <f t="shared" si="18"/>
        <v>1</v>
      </c>
      <c r="D136" s="666"/>
      <c r="E136" s="21">
        <f t="shared" si="19"/>
        <v>1</v>
      </c>
      <c r="F136" s="666"/>
      <c r="G136" s="21">
        <f t="shared" si="20"/>
        <v>1</v>
      </c>
      <c r="H136" s="666"/>
      <c r="I136" s="21">
        <f t="shared" si="21"/>
        <v>1</v>
      </c>
      <c r="J136" s="666"/>
      <c r="K136" s="21">
        <f t="shared" si="22"/>
        <v>1</v>
      </c>
      <c r="L136" s="666"/>
      <c r="M136" s="21">
        <f t="shared" si="23"/>
        <v>1</v>
      </c>
      <c r="N136" s="666"/>
      <c r="O136" s="21">
        <f t="shared" si="24"/>
        <v>1</v>
      </c>
      <c r="P136" s="666"/>
      <c r="Q136" s="21">
        <f t="shared" si="25"/>
        <v>1</v>
      </c>
      <c r="R136" s="662">
        <f t="shared" si="26"/>
        <v>0</v>
      </c>
      <c r="S136" s="315">
        <f t="shared" si="27"/>
        <v>0</v>
      </c>
    </row>
    <row r="137" spans="1:19">
      <c r="A137" s="149"/>
      <c r="B137" s="54"/>
      <c r="C137" s="21">
        <f t="shared" si="18"/>
        <v>1</v>
      </c>
      <c r="D137" s="666"/>
      <c r="E137" s="21">
        <f t="shared" si="19"/>
        <v>1</v>
      </c>
      <c r="F137" s="666"/>
      <c r="G137" s="21">
        <f t="shared" si="20"/>
        <v>1</v>
      </c>
      <c r="H137" s="666"/>
      <c r="I137" s="21">
        <f t="shared" si="21"/>
        <v>1</v>
      </c>
      <c r="J137" s="666"/>
      <c r="K137" s="21">
        <f t="shared" si="22"/>
        <v>1</v>
      </c>
      <c r="L137" s="666"/>
      <c r="M137" s="21">
        <f t="shared" si="23"/>
        <v>1</v>
      </c>
      <c r="N137" s="666"/>
      <c r="O137" s="21">
        <f t="shared" si="24"/>
        <v>1</v>
      </c>
      <c r="P137" s="666"/>
      <c r="Q137" s="21">
        <f t="shared" si="25"/>
        <v>1</v>
      </c>
      <c r="R137" s="662">
        <f t="shared" si="26"/>
        <v>0</v>
      </c>
      <c r="S137" s="315">
        <f t="shared" si="27"/>
        <v>0</v>
      </c>
    </row>
    <row r="138" spans="1:19">
      <c r="A138" s="149"/>
      <c r="B138" s="54"/>
      <c r="C138" s="21">
        <f t="shared" si="18"/>
        <v>1</v>
      </c>
      <c r="D138" s="666"/>
      <c r="E138" s="21">
        <f t="shared" si="19"/>
        <v>1</v>
      </c>
      <c r="F138" s="666"/>
      <c r="G138" s="21">
        <f t="shared" si="20"/>
        <v>1</v>
      </c>
      <c r="H138" s="666"/>
      <c r="I138" s="21">
        <f t="shared" si="21"/>
        <v>1</v>
      </c>
      <c r="J138" s="666"/>
      <c r="K138" s="21">
        <f t="shared" si="22"/>
        <v>1</v>
      </c>
      <c r="L138" s="666"/>
      <c r="M138" s="21">
        <f t="shared" si="23"/>
        <v>1</v>
      </c>
      <c r="N138" s="666"/>
      <c r="O138" s="21">
        <f t="shared" si="24"/>
        <v>1</v>
      </c>
      <c r="P138" s="666"/>
      <c r="Q138" s="21">
        <f t="shared" si="25"/>
        <v>1</v>
      </c>
      <c r="R138" s="662">
        <f t="shared" si="26"/>
        <v>0</v>
      </c>
      <c r="S138" s="315">
        <f t="shared" si="27"/>
        <v>0</v>
      </c>
    </row>
    <row r="139" spans="1:19">
      <c r="A139" s="149"/>
      <c r="B139" s="54"/>
      <c r="C139" s="21">
        <f t="shared" si="18"/>
        <v>1</v>
      </c>
      <c r="D139" s="666"/>
      <c r="E139" s="21">
        <f t="shared" si="19"/>
        <v>1</v>
      </c>
      <c r="F139" s="666"/>
      <c r="G139" s="21">
        <f t="shared" si="20"/>
        <v>1</v>
      </c>
      <c r="H139" s="666"/>
      <c r="I139" s="21">
        <f t="shared" si="21"/>
        <v>1</v>
      </c>
      <c r="J139" s="666"/>
      <c r="K139" s="21">
        <f t="shared" si="22"/>
        <v>1</v>
      </c>
      <c r="L139" s="666"/>
      <c r="M139" s="21">
        <f t="shared" si="23"/>
        <v>1</v>
      </c>
      <c r="N139" s="666"/>
      <c r="O139" s="21">
        <f t="shared" si="24"/>
        <v>1</v>
      </c>
      <c r="P139" s="666"/>
      <c r="Q139" s="21">
        <f t="shared" si="25"/>
        <v>1</v>
      </c>
      <c r="R139" s="662">
        <f t="shared" si="26"/>
        <v>0</v>
      </c>
      <c r="S139" s="315">
        <f t="shared" si="27"/>
        <v>0</v>
      </c>
    </row>
    <row r="140" spans="1:19">
      <c r="A140" s="149"/>
      <c r="B140" s="54"/>
      <c r="C140" s="21">
        <f t="shared" si="18"/>
        <v>1</v>
      </c>
      <c r="D140" s="666"/>
      <c r="E140" s="21">
        <f t="shared" si="19"/>
        <v>1</v>
      </c>
      <c r="F140" s="666"/>
      <c r="G140" s="21">
        <f t="shared" si="20"/>
        <v>1</v>
      </c>
      <c r="H140" s="666"/>
      <c r="I140" s="21">
        <f t="shared" si="21"/>
        <v>1</v>
      </c>
      <c r="J140" s="666"/>
      <c r="K140" s="21">
        <f t="shared" si="22"/>
        <v>1</v>
      </c>
      <c r="L140" s="666"/>
      <c r="M140" s="21">
        <f t="shared" si="23"/>
        <v>1</v>
      </c>
      <c r="N140" s="666"/>
      <c r="O140" s="21">
        <f t="shared" si="24"/>
        <v>1</v>
      </c>
      <c r="P140" s="666"/>
      <c r="Q140" s="21">
        <f t="shared" si="25"/>
        <v>1</v>
      </c>
      <c r="R140" s="662">
        <f t="shared" si="26"/>
        <v>0</v>
      </c>
      <c r="S140" s="315">
        <f t="shared" si="27"/>
        <v>0</v>
      </c>
    </row>
    <row r="141" spans="1:19">
      <c r="A141" s="149"/>
      <c r="B141" s="54"/>
      <c r="C141" s="21">
        <f t="shared" si="18"/>
        <v>1</v>
      </c>
      <c r="D141" s="666"/>
      <c r="E141" s="21">
        <f t="shared" si="19"/>
        <v>1</v>
      </c>
      <c r="F141" s="666"/>
      <c r="G141" s="21">
        <f t="shared" si="20"/>
        <v>1</v>
      </c>
      <c r="H141" s="666"/>
      <c r="I141" s="21">
        <f t="shared" si="21"/>
        <v>1</v>
      </c>
      <c r="J141" s="666"/>
      <c r="K141" s="21">
        <f t="shared" si="22"/>
        <v>1</v>
      </c>
      <c r="L141" s="666"/>
      <c r="M141" s="21">
        <f t="shared" si="23"/>
        <v>1</v>
      </c>
      <c r="N141" s="666"/>
      <c r="O141" s="21">
        <f t="shared" si="24"/>
        <v>1</v>
      </c>
      <c r="P141" s="666"/>
      <c r="Q141" s="21">
        <f t="shared" si="25"/>
        <v>1</v>
      </c>
      <c r="R141" s="662">
        <f t="shared" si="26"/>
        <v>0</v>
      </c>
      <c r="S141" s="315">
        <f t="shared" si="27"/>
        <v>0</v>
      </c>
    </row>
    <row r="142" spans="1:19">
      <c r="A142" s="149"/>
      <c r="B142" s="54"/>
      <c r="C142" s="21">
        <f t="shared" si="18"/>
        <v>1</v>
      </c>
      <c r="D142" s="666"/>
      <c r="E142" s="21">
        <f t="shared" si="19"/>
        <v>1</v>
      </c>
      <c r="F142" s="666"/>
      <c r="G142" s="21">
        <f t="shared" si="20"/>
        <v>1</v>
      </c>
      <c r="H142" s="666"/>
      <c r="I142" s="21">
        <f t="shared" si="21"/>
        <v>1</v>
      </c>
      <c r="J142" s="666"/>
      <c r="K142" s="21">
        <f t="shared" si="22"/>
        <v>1</v>
      </c>
      <c r="L142" s="666"/>
      <c r="M142" s="21">
        <f t="shared" si="23"/>
        <v>1</v>
      </c>
      <c r="N142" s="666"/>
      <c r="O142" s="21">
        <f t="shared" si="24"/>
        <v>1</v>
      </c>
      <c r="P142" s="666"/>
      <c r="Q142" s="21">
        <f t="shared" si="25"/>
        <v>1</v>
      </c>
      <c r="R142" s="662">
        <f t="shared" si="26"/>
        <v>0</v>
      </c>
      <c r="S142" s="315">
        <f t="shared" si="27"/>
        <v>0</v>
      </c>
    </row>
    <row r="143" spans="1:19">
      <c r="A143" s="149"/>
      <c r="B143" s="54"/>
      <c r="C143" s="21">
        <f t="shared" si="18"/>
        <v>1</v>
      </c>
      <c r="D143" s="666"/>
      <c r="E143" s="21">
        <f t="shared" si="19"/>
        <v>1</v>
      </c>
      <c r="F143" s="666"/>
      <c r="G143" s="21">
        <f t="shared" si="20"/>
        <v>1</v>
      </c>
      <c r="H143" s="666"/>
      <c r="I143" s="21">
        <f t="shared" si="21"/>
        <v>1</v>
      </c>
      <c r="J143" s="666"/>
      <c r="K143" s="21">
        <f t="shared" si="22"/>
        <v>1</v>
      </c>
      <c r="L143" s="666"/>
      <c r="M143" s="21">
        <f t="shared" si="23"/>
        <v>1</v>
      </c>
      <c r="N143" s="666"/>
      <c r="O143" s="21">
        <f t="shared" si="24"/>
        <v>1</v>
      </c>
      <c r="P143" s="666"/>
      <c r="Q143" s="21">
        <f t="shared" si="25"/>
        <v>1</v>
      </c>
      <c r="R143" s="662">
        <f t="shared" si="26"/>
        <v>0</v>
      </c>
      <c r="S143" s="315">
        <f t="shared" si="27"/>
        <v>0</v>
      </c>
    </row>
    <row r="144" spans="1:19">
      <c r="A144" s="149"/>
      <c r="B144" s="54"/>
      <c r="C144" s="21">
        <f t="shared" si="18"/>
        <v>1</v>
      </c>
      <c r="D144" s="666"/>
      <c r="E144" s="21">
        <f t="shared" si="19"/>
        <v>1</v>
      </c>
      <c r="F144" s="666"/>
      <c r="G144" s="21">
        <f t="shared" si="20"/>
        <v>1</v>
      </c>
      <c r="H144" s="666"/>
      <c r="I144" s="21">
        <f t="shared" si="21"/>
        <v>1</v>
      </c>
      <c r="J144" s="666"/>
      <c r="K144" s="21">
        <f t="shared" si="22"/>
        <v>1</v>
      </c>
      <c r="L144" s="666"/>
      <c r="M144" s="21">
        <f t="shared" si="23"/>
        <v>1</v>
      </c>
      <c r="N144" s="666"/>
      <c r="O144" s="21">
        <f t="shared" si="24"/>
        <v>1</v>
      </c>
      <c r="P144" s="666"/>
      <c r="Q144" s="21">
        <f t="shared" si="25"/>
        <v>1</v>
      </c>
      <c r="R144" s="662">
        <f t="shared" si="26"/>
        <v>0</v>
      </c>
      <c r="S144" s="315">
        <f t="shared" si="27"/>
        <v>0</v>
      </c>
    </row>
    <row r="145" spans="1:19">
      <c r="A145" s="149"/>
      <c r="B145" s="54"/>
      <c r="C145" s="21">
        <f t="shared" si="18"/>
        <v>1</v>
      </c>
      <c r="D145" s="666"/>
      <c r="E145" s="21">
        <f t="shared" si="19"/>
        <v>1</v>
      </c>
      <c r="F145" s="666"/>
      <c r="G145" s="21">
        <f t="shared" si="20"/>
        <v>1</v>
      </c>
      <c r="H145" s="666"/>
      <c r="I145" s="21">
        <f t="shared" si="21"/>
        <v>1</v>
      </c>
      <c r="J145" s="666"/>
      <c r="K145" s="21">
        <f t="shared" si="22"/>
        <v>1</v>
      </c>
      <c r="L145" s="666"/>
      <c r="M145" s="21">
        <f t="shared" si="23"/>
        <v>1</v>
      </c>
      <c r="N145" s="666"/>
      <c r="O145" s="21">
        <f t="shared" si="24"/>
        <v>1</v>
      </c>
      <c r="P145" s="666"/>
      <c r="Q145" s="21">
        <f t="shared" si="25"/>
        <v>1</v>
      </c>
      <c r="R145" s="662">
        <f t="shared" si="26"/>
        <v>0</v>
      </c>
      <c r="S145" s="315">
        <f t="shared" si="27"/>
        <v>0</v>
      </c>
    </row>
    <row r="146" spans="1:19">
      <c r="A146" s="149"/>
      <c r="B146" s="54"/>
      <c r="C146" s="21">
        <f t="shared" si="18"/>
        <v>1</v>
      </c>
      <c r="D146" s="666"/>
      <c r="E146" s="21">
        <f t="shared" si="19"/>
        <v>1</v>
      </c>
      <c r="F146" s="666"/>
      <c r="G146" s="21">
        <f t="shared" si="20"/>
        <v>1</v>
      </c>
      <c r="H146" s="666"/>
      <c r="I146" s="21">
        <f t="shared" si="21"/>
        <v>1</v>
      </c>
      <c r="J146" s="666"/>
      <c r="K146" s="21">
        <f t="shared" si="22"/>
        <v>1</v>
      </c>
      <c r="L146" s="666"/>
      <c r="M146" s="21">
        <f t="shared" si="23"/>
        <v>1</v>
      </c>
      <c r="N146" s="666"/>
      <c r="O146" s="21">
        <f t="shared" si="24"/>
        <v>1</v>
      </c>
      <c r="P146" s="666"/>
      <c r="Q146" s="21">
        <f t="shared" si="25"/>
        <v>1</v>
      </c>
      <c r="R146" s="662">
        <f t="shared" si="26"/>
        <v>0</v>
      </c>
      <c r="S146" s="315">
        <f t="shared" si="27"/>
        <v>0</v>
      </c>
    </row>
    <row r="147" spans="1:19">
      <c r="A147" s="149"/>
      <c r="B147" s="54"/>
      <c r="C147" s="21">
        <f t="shared" si="18"/>
        <v>1</v>
      </c>
      <c r="D147" s="666"/>
      <c r="E147" s="21">
        <f t="shared" si="19"/>
        <v>1</v>
      </c>
      <c r="F147" s="666"/>
      <c r="G147" s="21">
        <f t="shared" si="20"/>
        <v>1</v>
      </c>
      <c r="H147" s="666"/>
      <c r="I147" s="21">
        <f t="shared" si="21"/>
        <v>1</v>
      </c>
      <c r="J147" s="666"/>
      <c r="K147" s="21">
        <f t="shared" si="22"/>
        <v>1</v>
      </c>
      <c r="L147" s="666"/>
      <c r="M147" s="21">
        <f t="shared" si="23"/>
        <v>1</v>
      </c>
      <c r="N147" s="666"/>
      <c r="O147" s="21">
        <f t="shared" si="24"/>
        <v>1</v>
      </c>
      <c r="P147" s="666"/>
      <c r="Q147" s="21">
        <f t="shared" si="25"/>
        <v>1</v>
      </c>
      <c r="R147" s="662">
        <f t="shared" si="26"/>
        <v>0</v>
      </c>
      <c r="S147" s="315">
        <f t="shared" si="27"/>
        <v>0</v>
      </c>
    </row>
    <row r="148" spans="1:19">
      <c r="A148" s="149"/>
      <c r="B148" s="54"/>
      <c r="C148" s="21">
        <f t="shared" si="18"/>
        <v>1</v>
      </c>
      <c r="D148" s="666"/>
      <c r="E148" s="21">
        <f t="shared" si="19"/>
        <v>1</v>
      </c>
      <c r="F148" s="666"/>
      <c r="G148" s="21">
        <f t="shared" si="20"/>
        <v>1</v>
      </c>
      <c r="H148" s="666"/>
      <c r="I148" s="21">
        <f t="shared" si="21"/>
        <v>1</v>
      </c>
      <c r="J148" s="666"/>
      <c r="K148" s="21">
        <f t="shared" si="22"/>
        <v>1</v>
      </c>
      <c r="L148" s="666"/>
      <c r="M148" s="21">
        <f t="shared" si="23"/>
        <v>1</v>
      </c>
      <c r="N148" s="666"/>
      <c r="O148" s="21">
        <f t="shared" si="24"/>
        <v>1</v>
      </c>
      <c r="P148" s="666"/>
      <c r="Q148" s="21">
        <f t="shared" si="25"/>
        <v>1</v>
      </c>
      <c r="R148" s="662">
        <f t="shared" si="26"/>
        <v>0</v>
      </c>
      <c r="S148" s="315">
        <f t="shared" si="27"/>
        <v>0</v>
      </c>
    </row>
    <row r="149" spans="1:19">
      <c r="A149" s="149"/>
      <c r="B149" s="54"/>
      <c r="C149" s="21">
        <f t="shared" si="18"/>
        <v>1</v>
      </c>
      <c r="D149" s="666"/>
      <c r="E149" s="21">
        <f t="shared" si="19"/>
        <v>1</v>
      </c>
      <c r="F149" s="666"/>
      <c r="G149" s="21">
        <f t="shared" si="20"/>
        <v>1</v>
      </c>
      <c r="H149" s="666"/>
      <c r="I149" s="21">
        <f t="shared" si="21"/>
        <v>1</v>
      </c>
      <c r="J149" s="666"/>
      <c r="K149" s="21">
        <f t="shared" si="22"/>
        <v>1</v>
      </c>
      <c r="L149" s="666"/>
      <c r="M149" s="21">
        <f t="shared" si="23"/>
        <v>1</v>
      </c>
      <c r="N149" s="666"/>
      <c r="O149" s="21">
        <f t="shared" si="24"/>
        <v>1</v>
      </c>
      <c r="P149" s="666"/>
      <c r="Q149" s="21">
        <f t="shared" si="25"/>
        <v>1</v>
      </c>
      <c r="R149" s="662">
        <f t="shared" si="26"/>
        <v>0</v>
      </c>
      <c r="S149" s="315">
        <f t="shared" si="27"/>
        <v>0</v>
      </c>
    </row>
    <row r="150" spans="1:19">
      <c r="A150" s="149"/>
      <c r="B150" s="54"/>
      <c r="C150" s="21">
        <f t="shared" si="18"/>
        <v>1</v>
      </c>
      <c r="D150" s="666"/>
      <c r="E150" s="21">
        <f t="shared" si="19"/>
        <v>1</v>
      </c>
      <c r="F150" s="666"/>
      <c r="G150" s="21">
        <f t="shared" si="20"/>
        <v>1</v>
      </c>
      <c r="H150" s="666"/>
      <c r="I150" s="21">
        <f t="shared" si="21"/>
        <v>1</v>
      </c>
      <c r="J150" s="666"/>
      <c r="K150" s="21">
        <f t="shared" si="22"/>
        <v>1</v>
      </c>
      <c r="L150" s="666"/>
      <c r="M150" s="21">
        <f t="shared" si="23"/>
        <v>1</v>
      </c>
      <c r="N150" s="666"/>
      <c r="O150" s="21">
        <f t="shared" si="24"/>
        <v>1</v>
      </c>
      <c r="P150" s="666"/>
      <c r="Q150" s="21">
        <f t="shared" si="25"/>
        <v>1</v>
      </c>
      <c r="R150" s="662">
        <f t="shared" si="26"/>
        <v>0</v>
      </c>
      <c r="S150" s="315">
        <f t="shared" si="27"/>
        <v>0</v>
      </c>
    </row>
    <row r="151" spans="1:19">
      <c r="A151" s="149"/>
      <c r="B151" s="54"/>
      <c r="C151" s="21">
        <f t="shared" si="18"/>
        <v>1</v>
      </c>
      <c r="D151" s="666"/>
      <c r="E151" s="21">
        <f t="shared" si="19"/>
        <v>1</v>
      </c>
      <c r="F151" s="666"/>
      <c r="G151" s="21">
        <f t="shared" si="20"/>
        <v>1</v>
      </c>
      <c r="H151" s="666"/>
      <c r="I151" s="21">
        <f t="shared" si="21"/>
        <v>1</v>
      </c>
      <c r="J151" s="666"/>
      <c r="K151" s="21">
        <f t="shared" si="22"/>
        <v>1</v>
      </c>
      <c r="L151" s="666"/>
      <c r="M151" s="21">
        <f t="shared" si="23"/>
        <v>1</v>
      </c>
      <c r="N151" s="666"/>
      <c r="O151" s="21">
        <f t="shared" si="24"/>
        <v>1</v>
      </c>
      <c r="P151" s="666"/>
      <c r="Q151" s="21">
        <f t="shared" si="25"/>
        <v>1</v>
      </c>
      <c r="R151" s="662">
        <f t="shared" si="26"/>
        <v>0</v>
      </c>
      <c r="S151" s="315">
        <f t="shared" si="27"/>
        <v>0</v>
      </c>
    </row>
    <row r="152" spans="1:19">
      <c r="A152" s="149"/>
      <c r="B152" s="54"/>
      <c r="C152" s="21">
        <f t="shared" si="18"/>
        <v>1</v>
      </c>
      <c r="D152" s="666"/>
      <c r="E152" s="21">
        <f t="shared" si="19"/>
        <v>1</v>
      </c>
      <c r="F152" s="666"/>
      <c r="G152" s="21">
        <f t="shared" si="20"/>
        <v>1</v>
      </c>
      <c r="H152" s="666"/>
      <c r="I152" s="21">
        <f t="shared" si="21"/>
        <v>1</v>
      </c>
      <c r="J152" s="666"/>
      <c r="K152" s="21">
        <f t="shared" si="22"/>
        <v>1</v>
      </c>
      <c r="L152" s="666"/>
      <c r="M152" s="21">
        <f t="shared" si="23"/>
        <v>1</v>
      </c>
      <c r="N152" s="666"/>
      <c r="O152" s="21">
        <f t="shared" si="24"/>
        <v>1</v>
      </c>
      <c r="P152" s="666"/>
      <c r="Q152" s="21">
        <f t="shared" si="25"/>
        <v>1</v>
      </c>
      <c r="R152" s="662">
        <f t="shared" si="26"/>
        <v>0</v>
      </c>
      <c r="S152" s="315">
        <f t="shared" si="27"/>
        <v>0</v>
      </c>
    </row>
    <row r="153" spans="1:19">
      <c r="A153" s="149"/>
      <c r="B153" s="54"/>
      <c r="C153" s="21">
        <f t="shared" si="18"/>
        <v>1</v>
      </c>
      <c r="D153" s="666"/>
      <c r="E153" s="21">
        <f t="shared" si="19"/>
        <v>1</v>
      </c>
      <c r="F153" s="666"/>
      <c r="G153" s="21">
        <f t="shared" si="20"/>
        <v>1</v>
      </c>
      <c r="H153" s="666"/>
      <c r="I153" s="21">
        <f t="shared" si="21"/>
        <v>1</v>
      </c>
      <c r="J153" s="666"/>
      <c r="K153" s="21">
        <f t="shared" si="22"/>
        <v>1</v>
      </c>
      <c r="L153" s="666"/>
      <c r="M153" s="21">
        <f t="shared" si="23"/>
        <v>1</v>
      </c>
      <c r="N153" s="666"/>
      <c r="O153" s="21">
        <f t="shared" si="24"/>
        <v>1</v>
      </c>
      <c r="P153" s="666"/>
      <c r="Q153" s="21">
        <f t="shared" si="25"/>
        <v>1</v>
      </c>
      <c r="R153" s="662">
        <f t="shared" si="26"/>
        <v>0</v>
      </c>
      <c r="S153" s="315">
        <f t="shared" si="27"/>
        <v>0</v>
      </c>
    </row>
    <row r="154" spans="1:19">
      <c r="A154" s="149"/>
      <c r="B154" s="54"/>
      <c r="C154" s="21">
        <f t="shared" ref="C154:C217" si="28">IF(B154="",1,(LOOKUP(B154,$3:$3,$4:$4)-LOOKUP($B$24,$3:$3,$4:$4)+100)/100)</f>
        <v>1</v>
      </c>
      <c r="D154" s="666"/>
      <c r="E154" s="21">
        <f t="shared" ref="E154:E217" si="29">(SUMIF($5:$5,D154,$6:$6)-SUMIF($5:$5,$D$24,$6:$6)+100)/100</f>
        <v>1</v>
      </c>
      <c r="F154" s="666"/>
      <c r="G154" s="21">
        <f t="shared" ref="G154:G217" si="30">(SUMIF($7:$7,F154,$8:$8)-SUMIF($7:$7,$F$24,$8:$8)+100)/100</f>
        <v>1</v>
      </c>
      <c r="H154" s="666"/>
      <c r="I154" s="21">
        <f t="shared" ref="I154:I217" si="31">(SUMIF($9:$9,H154,$10:$10)-SUMIF($9:$9,$H$24,$10:$10)+100)/100</f>
        <v>1</v>
      </c>
      <c r="J154" s="666"/>
      <c r="K154" s="21">
        <f t="shared" ref="K154:K217" si="32">(SUMIF($11:$11,J154,$12:$12)-SUMIF($11:$11,$J$24,$12:$12)+100)/100</f>
        <v>1</v>
      </c>
      <c r="L154" s="666"/>
      <c r="M154" s="21">
        <f t="shared" ref="M154:M217" si="33">(SUMIF($13:$13,L154,$14:$14)-SUMIF($13:$13,$L$24,$14:$14)+100)/100</f>
        <v>1</v>
      </c>
      <c r="N154" s="666"/>
      <c r="O154" s="21">
        <f t="shared" ref="O154:O217" si="34">(SUMIF($15:$15,N154,$16:$16)-SUMIF($15:$15,$N$24,$16:$16)+100)/100</f>
        <v>1</v>
      </c>
      <c r="P154" s="666"/>
      <c r="Q154" s="21">
        <f t="shared" ref="Q154:Q217" si="35">(SUMIF($17:$17,P154,$18:$18)-SUMIF($17:$17,$P$24,$18:$18)+100)/100</f>
        <v>1</v>
      </c>
      <c r="R154" s="662">
        <f t="shared" ref="R154:R217" si="36">IF(B154="",0,ROUND($R$24*C154*E154*G154*I154*K154*M154*O154*Q154,0))</f>
        <v>0</v>
      </c>
      <c r="S154" s="315">
        <f t="shared" si="27"/>
        <v>0</v>
      </c>
    </row>
    <row r="155" spans="1:19">
      <c r="A155" s="149"/>
      <c r="B155" s="54"/>
      <c r="C155" s="21">
        <f t="shared" si="28"/>
        <v>1</v>
      </c>
      <c r="D155" s="666"/>
      <c r="E155" s="21">
        <f t="shared" si="29"/>
        <v>1</v>
      </c>
      <c r="F155" s="666"/>
      <c r="G155" s="21">
        <f t="shared" si="30"/>
        <v>1</v>
      </c>
      <c r="H155" s="666"/>
      <c r="I155" s="21">
        <f t="shared" si="31"/>
        <v>1</v>
      </c>
      <c r="J155" s="666"/>
      <c r="K155" s="21">
        <f t="shared" si="32"/>
        <v>1</v>
      </c>
      <c r="L155" s="666"/>
      <c r="M155" s="21">
        <f t="shared" si="33"/>
        <v>1</v>
      </c>
      <c r="N155" s="666"/>
      <c r="O155" s="21">
        <f t="shared" si="34"/>
        <v>1</v>
      </c>
      <c r="P155" s="666"/>
      <c r="Q155" s="21">
        <f t="shared" si="35"/>
        <v>1</v>
      </c>
      <c r="R155" s="662">
        <f t="shared" si="36"/>
        <v>0</v>
      </c>
      <c r="S155" s="315">
        <f t="shared" si="27"/>
        <v>0</v>
      </c>
    </row>
    <row r="156" spans="1:19">
      <c r="A156" s="149"/>
      <c r="B156" s="54"/>
      <c r="C156" s="21">
        <f t="shared" si="28"/>
        <v>1</v>
      </c>
      <c r="D156" s="666"/>
      <c r="E156" s="21">
        <f t="shared" si="29"/>
        <v>1</v>
      </c>
      <c r="F156" s="666"/>
      <c r="G156" s="21">
        <f t="shared" si="30"/>
        <v>1</v>
      </c>
      <c r="H156" s="666"/>
      <c r="I156" s="21">
        <f t="shared" si="31"/>
        <v>1</v>
      </c>
      <c r="J156" s="666"/>
      <c r="K156" s="21">
        <f t="shared" si="32"/>
        <v>1</v>
      </c>
      <c r="L156" s="666"/>
      <c r="M156" s="21">
        <f t="shared" si="33"/>
        <v>1</v>
      </c>
      <c r="N156" s="666"/>
      <c r="O156" s="21">
        <f t="shared" si="34"/>
        <v>1</v>
      </c>
      <c r="P156" s="666"/>
      <c r="Q156" s="21">
        <f t="shared" si="35"/>
        <v>1</v>
      </c>
      <c r="R156" s="662">
        <f t="shared" si="36"/>
        <v>0</v>
      </c>
      <c r="S156" s="315">
        <f t="shared" si="27"/>
        <v>0</v>
      </c>
    </row>
    <row r="157" spans="1:19">
      <c r="A157" s="149"/>
      <c r="B157" s="54"/>
      <c r="C157" s="21">
        <f t="shared" si="28"/>
        <v>1</v>
      </c>
      <c r="D157" s="666"/>
      <c r="E157" s="21">
        <f t="shared" si="29"/>
        <v>1</v>
      </c>
      <c r="F157" s="666"/>
      <c r="G157" s="21">
        <f t="shared" si="30"/>
        <v>1</v>
      </c>
      <c r="H157" s="666"/>
      <c r="I157" s="21">
        <f t="shared" si="31"/>
        <v>1</v>
      </c>
      <c r="J157" s="666"/>
      <c r="K157" s="21">
        <f t="shared" si="32"/>
        <v>1</v>
      </c>
      <c r="L157" s="666"/>
      <c r="M157" s="21">
        <f t="shared" si="33"/>
        <v>1</v>
      </c>
      <c r="N157" s="666"/>
      <c r="O157" s="21">
        <f t="shared" si="34"/>
        <v>1</v>
      </c>
      <c r="P157" s="666"/>
      <c r="Q157" s="21">
        <f t="shared" si="35"/>
        <v>1</v>
      </c>
      <c r="R157" s="662">
        <f t="shared" si="36"/>
        <v>0</v>
      </c>
      <c r="S157" s="315">
        <f t="shared" si="27"/>
        <v>0</v>
      </c>
    </row>
    <row r="158" spans="1:19">
      <c r="A158" s="149"/>
      <c r="B158" s="54"/>
      <c r="C158" s="21">
        <f t="shared" si="28"/>
        <v>1</v>
      </c>
      <c r="D158" s="666"/>
      <c r="E158" s="21">
        <f t="shared" si="29"/>
        <v>1</v>
      </c>
      <c r="F158" s="666"/>
      <c r="G158" s="21">
        <f t="shared" si="30"/>
        <v>1</v>
      </c>
      <c r="H158" s="666"/>
      <c r="I158" s="21">
        <f t="shared" si="31"/>
        <v>1</v>
      </c>
      <c r="J158" s="666"/>
      <c r="K158" s="21">
        <f t="shared" si="32"/>
        <v>1</v>
      </c>
      <c r="L158" s="666"/>
      <c r="M158" s="21">
        <f t="shared" si="33"/>
        <v>1</v>
      </c>
      <c r="N158" s="666"/>
      <c r="O158" s="21">
        <f t="shared" si="34"/>
        <v>1</v>
      </c>
      <c r="P158" s="666"/>
      <c r="Q158" s="21">
        <f t="shared" si="35"/>
        <v>1</v>
      </c>
      <c r="R158" s="662">
        <f t="shared" si="36"/>
        <v>0</v>
      </c>
      <c r="S158" s="315">
        <f t="shared" si="27"/>
        <v>0</v>
      </c>
    </row>
    <row r="159" spans="1:19">
      <c r="A159" s="149"/>
      <c r="B159" s="54"/>
      <c r="C159" s="21">
        <f t="shared" si="28"/>
        <v>1</v>
      </c>
      <c r="D159" s="666"/>
      <c r="E159" s="21">
        <f t="shared" si="29"/>
        <v>1</v>
      </c>
      <c r="F159" s="666"/>
      <c r="G159" s="21">
        <f t="shared" si="30"/>
        <v>1</v>
      </c>
      <c r="H159" s="666"/>
      <c r="I159" s="21">
        <f t="shared" si="31"/>
        <v>1</v>
      </c>
      <c r="J159" s="666"/>
      <c r="K159" s="21">
        <f t="shared" si="32"/>
        <v>1</v>
      </c>
      <c r="L159" s="666"/>
      <c r="M159" s="21">
        <f t="shared" si="33"/>
        <v>1</v>
      </c>
      <c r="N159" s="666"/>
      <c r="O159" s="21">
        <f t="shared" si="34"/>
        <v>1</v>
      </c>
      <c r="P159" s="666"/>
      <c r="Q159" s="21">
        <f t="shared" si="35"/>
        <v>1</v>
      </c>
      <c r="R159" s="662">
        <f t="shared" si="36"/>
        <v>0</v>
      </c>
      <c r="S159" s="315">
        <f t="shared" si="27"/>
        <v>0</v>
      </c>
    </row>
    <row r="160" spans="1:19">
      <c r="A160" s="149"/>
      <c r="B160" s="54"/>
      <c r="C160" s="21">
        <f t="shared" si="28"/>
        <v>1</v>
      </c>
      <c r="D160" s="666"/>
      <c r="E160" s="21">
        <f t="shared" si="29"/>
        <v>1</v>
      </c>
      <c r="F160" s="666"/>
      <c r="G160" s="21">
        <f t="shared" si="30"/>
        <v>1</v>
      </c>
      <c r="H160" s="666"/>
      <c r="I160" s="21">
        <f t="shared" si="31"/>
        <v>1</v>
      </c>
      <c r="J160" s="666"/>
      <c r="K160" s="21">
        <f t="shared" si="32"/>
        <v>1</v>
      </c>
      <c r="L160" s="666"/>
      <c r="M160" s="21">
        <f t="shared" si="33"/>
        <v>1</v>
      </c>
      <c r="N160" s="666"/>
      <c r="O160" s="21">
        <f t="shared" si="34"/>
        <v>1</v>
      </c>
      <c r="P160" s="666"/>
      <c r="Q160" s="21">
        <f t="shared" si="35"/>
        <v>1</v>
      </c>
      <c r="R160" s="662">
        <f t="shared" si="36"/>
        <v>0</v>
      </c>
      <c r="S160" s="315">
        <f t="shared" si="27"/>
        <v>0</v>
      </c>
    </row>
    <row r="161" spans="1:19">
      <c r="A161" s="149"/>
      <c r="B161" s="54"/>
      <c r="C161" s="21">
        <f t="shared" si="28"/>
        <v>1</v>
      </c>
      <c r="D161" s="666"/>
      <c r="E161" s="21">
        <f t="shared" si="29"/>
        <v>1</v>
      </c>
      <c r="F161" s="666"/>
      <c r="G161" s="21">
        <f t="shared" si="30"/>
        <v>1</v>
      </c>
      <c r="H161" s="666"/>
      <c r="I161" s="21">
        <f t="shared" si="31"/>
        <v>1</v>
      </c>
      <c r="J161" s="666"/>
      <c r="K161" s="21">
        <f t="shared" si="32"/>
        <v>1</v>
      </c>
      <c r="L161" s="666"/>
      <c r="M161" s="21">
        <f t="shared" si="33"/>
        <v>1</v>
      </c>
      <c r="N161" s="666"/>
      <c r="O161" s="21">
        <f t="shared" si="34"/>
        <v>1</v>
      </c>
      <c r="P161" s="666"/>
      <c r="Q161" s="21">
        <f t="shared" si="35"/>
        <v>1</v>
      </c>
      <c r="R161" s="662">
        <f t="shared" si="36"/>
        <v>0</v>
      </c>
      <c r="S161" s="315">
        <f t="shared" si="27"/>
        <v>0</v>
      </c>
    </row>
    <row r="162" spans="1:19">
      <c r="A162" s="149"/>
      <c r="B162" s="54"/>
      <c r="C162" s="21">
        <f t="shared" si="28"/>
        <v>1</v>
      </c>
      <c r="D162" s="666"/>
      <c r="E162" s="21">
        <f t="shared" si="29"/>
        <v>1</v>
      </c>
      <c r="F162" s="666"/>
      <c r="G162" s="21">
        <f t="shared" si="30"/>
        <v>1</v>
      </c>
      <c r="H162" s="666"/>
      <c r="I162" s="21">
        <f t="shared" si="31"/>
        <v>1</v>
      </c>
      <c r="J162" s="666"/>
      <c r="K162" s="21">
        <f t="shared" si="32"/>
        <v>1</v>
      </c>
      <c r="L162" s="666"/>
      <c r="M162" s="21">
        <f t="shared" si="33"/>
        <v>1</v>
      </c>
      <c r="N162" s="666"/>
      <c r="O162" s="21">
        <f t="shared" si="34"/>
        <v>1</v>
      </c>
      <c r="P162" s="666"/>
      <c r="Q162" s="21">
        <f t="shared" si="35"/>
        <v>1</v>
      </c>
      <c r="R162" s="662">
        <f t="shared" si="36"/>
        <v>0</v>
      </c>
      <c r="S162" s="315">
        <f t="shared" si="27"/>
        <v>0</v>
      </c>
    </row>
    <row r="163" spans="1:19">
      <c r="A163" s="149"/>
      <c r="B163" s="54"/>
      <c r="C163" s="21">
        <f t="shared" si="28"/>
        <v>1</v>
      </c>
      <c r="D163" s="666"/>
      <c r="E163" s="21">
        <f t="shared" si="29"/>
        <v>1</v>
      </c>
      <c r="F163" s="666"/>
      <c r="G163" s="21">
        <f t="shared" si="30"/>
        <v>1</v>
      </c>
      <c r="H163" s="666"/>
      <c r="I163" s="21">
        <f t="shared" si="31"/>
        <v>1</v>
      </c>
      <c r="J163" s="666"/>
      <c r="K163" s="21">
        <f t="shared" si="32"/>
        <v>1</v>
      </c>
      <c r="L163" s="666"/>
      <c r="M163" s="21">
        <f t="shared" si="33"/>
        <v>1</v>
      </c>
      <c r="N163" s="666"/>
      <c r="O163" s="21">
        <f t="shared" si="34"/>
        <v>1</v>
      </c>
      <c r="P163" s="666"/>
      <c r="Q163" s="21">
        <f t="shared" si="35"/>
        <v>1</v>
      </c>
      <c r="R163" s="662">
        <f t="shared" si="36"/>
        <v>0</v>
      </c>
      <c r="S163" s="315">
        <f t="shared" si="27"/>
        <v>0</v>
      </c>
    </row>
    <row r="164" spans="1:19">
      <c r="A164" s="149"/>
      <c r="B164" s="54"/>
      <c r="C164" s="21">
        <f t="shared" si="28"/>
        <v>1</v>
      </c>
      <c r="D164" s="666"/>
      <c r="E164" s="21">
        <f t="shared" si="29"/>
        <v>1</v>
      </c>
      <c r="F164" s="666"/>
      <c r="G164" s="21">
        <f t="shared" si="30"/>
        <v>1</v>
      </c>
      <c r="H164" s="666"/>
      <c r="I164" s="21">
        <f t="shared" si="31"/>
        <v>1</v>
      </c>
      <c r="J164" s="666"/>
      <c r="K164" s="21">
        <f t="shared" si="32"/>
        <v>1</v>
      </c>
      <c r="L164" s="666"/>
      <c r="M164" s="21">
        <f t="shared" si="33"/>
        <v>1</v>
      </c>
      <c r="N164" s="666"/>
      <c r="O164" s="21">
        <f t="shared" si="34"/>
        <v>1</v>
      </c>
      <c r="P164" s="666"/>
      <c r="Q164" s="21">
        <f t="shared" si="35"/>
        <v>1</v>
      </c>
      <c r="R164" s="662">
        <f t="shared" si="36"/>
        <v>0</v>
      </c>
      <c r="S164" s="315">
        <f t="shared" si="27"/>
        <v>0</v>
      </c>
    </row>
    <row r="165" spans="1:19">
      <c r="A165" s="149"/>
      <c r="B165" s="54"/>
      <c r="C165" s="21">
        <f t="shared" si="28"/>
        <v>1</v>
      </c>
      <c r="D165" s="666"/>
      <c r="E165" s="21">
        <f t="shared" si="29"/>
        <v>1</v>
      </c>
      <c r="F165" s="666"/>
      <c r="G165" s="21">
        <f t="shared" si="30"/>
        <v>1</v>
      </c>
      <c r="H165" s="666"/>
      <c r="I165" s="21">
        <f t="shared" si="31"/>
        <v>1</v>
      </c>
      <c r="J165" s="666"/>
      <c r="K165" s="21">
        <f t="shared" si="32"/>
        <v>1</v>
      </c>
      <c r="L165" s="666"/>
      <c r="M165" s="21">
        <f t="shared" si="33"/>
        <v>1</v>
      </c>
      <c r="N165" s="666"/>
      <c r="O165" s="21">
        <f t="shared" si="34"/>
        <v>1</v>
      </c>
      <c r="P165" s="666"/>
      <c r="Q165" s="21">
        <f t="shared" si="35"/>
        <v>1</v>
      </c>
      <c r="R165" s="662">
        <f t="shared" si="36"/>
        <v>0</v>
      </c>
      <c r="S165" s="315">
        <f t="shared" si="27"/>
        <v>0</v>
      </c>
    </row>
    <row r="166" spans="1:19">
      <c r="A166" s="149"/>
      <c r="B166" s="54"/>
      <c r="C166" s="21">
        <f t="shared" si="28"/>
        <v>1</v>
      </c>
      <c r="D166" s="666"/>
      <c r="E166" s="21">
        <f t="shared" si="29"/>
        <v>1</v>
      </c>
      <c r="F166" s="666"/>
      <c r="G166" s="21">
        <f t="shared" si="30"/>
        <v>1</v>
      </c>
      <c r="H166" s="666"/>
      <c r="I166" s="21">
        <f t="shared" si="31"/>
        <v>1</v>
      </c>
      <c r="J166" s="666"/>
      <c r="K166" s="21">
        <f t="shared" si="32"/>
        <v>1</v>
      </c>
      <c r="L166" s="666"/>
      <c r="M166" s="21">
        <f t="shared" si="33"/>
        <v>1</v>
      </c>
      <c r="N166" s="666"/>
      <c r="O166" s="21">
        <f t="shared" si="34"/>
        <v>1</v>
      </c>
      <c r="P166" s="666"/>
      <c r="Q166" s="21">
        <f t="shared" si="35"/>
        <v>1</v>
      </c>
      <c r="R166" s="662">
        <f t="shared" si="36"/>
        <v>0</v>
      </c>
      <c r="S166" s="315">
        <f t="shared" si="27"/>
        <v>0</v>
      </c>
    </row>
    <row r="167" spans="1:19">
      <c r="A167" s="149"/>
      <c r="B167" s="54"/>
      <c r="C167" s="21">
        <f t="shared" si="28"/>
        <v>1</v>
      </c>
      <c r="D167" s="666"/>
      <c r="E167" s="21">
        <f t="shared" si="29"/>
        <v>1</v>
      </c>
      <c r="F167" s="666"/>
      <c r="G167" s="21">
        <f t="shared" si="30"/>
        <v>1</v>
      </c>
      <c r="H167" s="666"/>
      <c r="I167" s="21">
        <f t="shared" si="31"/>
        <v>1</v>
      </c>
      <c r="J167" s="666"/>
      <c r="K167" s="21">
        <f t="shared" si="32"/>
        <v>1</v>
      </c>
      <c r="L167" s="666"/>
      <c r="M167" s="21">
        <f t="shared" si="33"/>
        <v>1</v>
      </c>
      <c r="N167" s="666"/>
      <c r="O167" s="21">
        <f t="shared" si="34"/>
        <v>1</v>
      </c>
      <c r="P167" s="666"/>
      <c r="Q167" s="21">
        <f t="shared" si="35"/>
        <v>1</v>
      </c>
      <c r="R167" s="662">
        <f t="shared" si="36"/>
        <v>0</v>
      </c>
      <c r="S167" s="315">
        <f t="shared" si="27"/>
        <v>0</v>
      </c>
    </row>
    <row r="168" spans="1:19">
      <c r="A168" s="149"/>
      <c r="B168" s="54"/>
      <c r="C168" s="21">
        <f t="shared" si="28"/>
        <v>1</v>
      </c>
      <c r="D168" s="666"/>
      <c r="E168" s="21">
        <f t="shared" si="29"/>
        <v>1</v>
      </c>
      <c r="F168" s="666"/>
      <c r="G168" s="21">
        <f t="shared" si="30"/>
        <v>1</v>
      </c>
      <c r="H168" s="666"/>
      <c r="I168" s="21">
        <f t="shared" si="31"/>
        <v>1</v>
      </c>
      <c r="J168" s="666"/>
      <c r="K168" s="21">
        <f t="shared" si="32"/>
        <v>1</v>
      </c>
      <c r="L168" s="666"/>
      <c r="M168" s="21">
        <f t="shared" si="33"/>
        <v>1</v>
      </c>
      <c r="N168" s="666"/>
      <c r="O168" s="21">
        <f t="shared" si="34"/>
        <v>1</v>
      </c>
      <c r="P168" s="666"/>
      <c r="Q168" s="21">
        <f t="shared" si="35"/>
        <v>1</v>
      </c>
      <c r="R168" s="662">
        <f t="shared" si="36"/>
        <v>0</v>
      </c>
      <c r="S168" s="315">
        <f t="shared" si="27"/>
        <v>0</v>
      </c>
    </row>
    <row r="169" spans="1:19">
      <c r="A169" s="149"/>
      <c r="B169" s="54"/>
      <c r="C169" s="21">
        <f t="shared" si="28"/>
        <v>1</v>
      </c>
      <c r="D169" s="666"/>
      <c r="E169" s="21">
        <f t="shared" si="29"/>
        <v>1</v>
      </c>
      <c r="F169" s="666"/>
      <c r="G169" s="21">
        <f t="shared" si="30"/>
        <v>1</v>
      </c>
      <c r="H169" s="666"/>
      <c r="I169" s="21">
        <f t="shared" si="31"/>
        <v>1</v>
      </c>
      <c r="J169" s="666"/>
      <c r="K169" s="21">
        <f t="shared" si="32"/>
        <v>1</v>
      </c>
      <c r="L169" s="666"/>
      <c r="M169" s="21">
        <f t="shared" si="33"/>
        <v>1</v>
      </c>
      <c r="N169" s="666"/>
      <c r="O169" s="21">
        <f t="shared" si="34"/>
        <v>1</v>
      </c>
      <c r="P169" s="666"/>
      <c r="Q169" s="21">
        <f t="shared" si="35"/>
        <v>1</v>
      </c>
      <c r="R169" s="662">
        <f t="shared" si="36"/>
        <v>0</v>
      </c>
      <c r="S169" s="315">
        <f t="shared" si="27"/>
        <v>0</v>
      </c>
    </row>
    <row r="170" spans="1:19">
      <c r="A170" s="149"/>
      <c r="B170" s="54"/>
      <c r="C170" s="21">
        <f t="shared" si="28"/>
        <v>1</v>
      </c>
      <c r="D170" s="666"/>
      <c r="E170" s="21">
        <f t="shared" si="29"/>
        <v>1</v>
      </c>
      <c r="F170" s="666"/>
      <c r="G170" s="21">
        <f t="shared" si="30"/>
        <v>1</v>
      </c>
      <c r="H170" s="666"/>
      <c r="I170" s="21">
        <f t="shared" si="31"/>
        <v>1</v>
      </c>
      <c r="J170" s="666"/>
      <c r="K170" s="21">
        <f t="shared" si="32"/>
        <v>1</v>
      </c>
      <c r="L170" s="666"/>
      <c r="M170" s="21">
        <f t="shared" si="33"/>
        <v>1</v>
      </c>
      <c r="N170" s="666"/>
      <c r="O170" s="21">
        <f t="shared" si="34"/>
        <v>1</v>
      </c>
      <c r="P170" s="666"/>
      <c r="Q170" s="21">
        <f t="shared" si="35"/>
        <v>1</v>
      </c>
      <c r="R170" s="662">
        <f t="shared" si="36"/>
        <v>0</v>
      </c>
      <c r="S170" s="315">
        <f t="shared" si="27"/>
        <v>0</v>
      </c>
    </row>
    <row r="171" spans="1:19">
      <c r="A171" s="149"/>
      <c r="B171" s="54"/>
      <c r="C171" s="21">
        <f t="shared" si="28"/>
        <v>1</v>
      </c>
      <c r="D171" s="666"/>
      <c r="E171" s="21">
        <f t="shared" si="29"/>
        <v>1</v>
      </c>
      <c r="F171" s="666"/>
      <c r="G171" s="21">
        <f t="shared" si="30"/>
        <v>1</v>
      </c>
      <c r="H171" s="666"/>
      <c r="I171" s="21">
        <f t="shared" si="31"/>
        <v>1</v>
      </c>
      <c r="J171" s="666"/>
      <c r="K171" s="21">
        <f t="shared" si="32"/>
        <v>1</v>
      </c>
      <c r="L171" s="666"/>
      <c r="M171" s="21">
        <f t="shared" si="33"/>
        <v>1</v>
      </c>
      <c r="N171" s="666"/>
      <c r="O171" s="21">
        <f t="shared" si="34"/>
        <v>1</v>
      </c>
      <c r="P171" s="666"/>
      <c r="Q171" s="21">
        <f t="shared" si="35"/>
        <v>1</v>
      </c>
      <c r="R171" s="662">
        <f t="shared" si="36"/>
        <v>0</v>
      </c>
      <c r="S171" s="315">
        <f t="shared" si="27"/>
        <v>0</v>
      </c>
    </row>
    <row r="172" spans="1:19">
      <c r="A172" s="149"/>
      <c r="B172" s="54"/>
      <c r="C172" s="21">
        <f t="shared" si="28"/>
        <v>1</v>
      </c>
      <c r="D172" s="666"/>
      <c r="E172" s="21">
        <f t="shared" si="29"/>
        <v>1</v>
      </c>
      <c r="F172" s="666"/>
      <c r="G172" s="21">
        <f t="shared" si="30"/>
        <v>1</v>
      </c>
      <c r="H172" s="666"/>
      <c r="I172" s="21">
        <f t="shared" si="31"/>
        <v>1</v>
      </c>
      <c r="J172" s="666"/>
      <c r="K172" s="21">
        <f t="shared" si="32"/>
        <v>1</v>
      </c>
      <c r="L172" s="666"/>
      <c r="M172" s="21">
        <f t="shared" si="33"/>
        <v>1</v>
      </c>
      <c r="N172" s="666"/>
      <c r="O172" s="21">
        <f t="shared" si="34"/>
        <v>1</v>
      </c>
      <c r="P172" s="666"/>
      <c r="Q172" s="21">
        <f t="shared" si="35"/>
        <v>1</v>
      </c>
      <c r="R172" s="662">
        <f t="shared" si="36"/>
        <v>0</v>
      </c>
      <c r="S172" s="315">
        <f t="shared" si="27"/>
        <v>0</v>
      </c>
    </row>
    <row r="173" spans="1:19">
      <c r="A173" s="149"/>
      <c r="B173" s="54"/>
      <c r="C173" s="21">
        <f t="shared" si="28"/>
        <v>1</v>
      </c>
      <c r="D173" s="666"/>
      <c r="E173" s="21">
        <f t="shared" si="29"/>
        <v>1</v>
      </c>
      <c r="F173" s="666"/>
      <c r="G173" s="21">
        <f t="shared" si="30"/>
        <v>1</v>
      </c>
      <c r="H173" s="666"/>
      <c r="I173" s="21">
        <f t="shared" si="31"/>
        <v>1</v>
      </c>
      <c r="J173" s="666"/>
      <c r="K173" s="21">
        <f t="shared" si="32"/>
        <v>1</v>
      </c>
      <c r="L173" s="666"/>
      <c r="M173" s="21">
        <f t="shared" si="33"/>
        <v>1</v>
      </c>
      <c r="N173" s="666"/>
      <c r="O173" s="21">
        <f t="shared" si="34"/>
        <v>1</v>
      </c>
      <c r="P173" s="666"/>
      <c r="Q173" s="21">
        <f t="shared" si="35"/>
        <v>1</v>
      </c>
      <c r="R173" s="662">
        <f t="shared" si="36"/>
        <v>0</v>
      </c>
      <c r="S173" s="315">
        <f t="shared" si="27"/>
        <v>0</v>
      </c>
    </row>
    <row r="174" spans="1:19">
      <c r="A174" s="149"/>
      <c r="B174" s="54"/>
      <c r="C174" s="21">
        <f t="shared" si="28"/>
        <v>1</v>
      </c>
      <c r="D174" s="666"/>
      <c r="E174" s="21">
        <f t="shared" si="29"/>
        <v>1</v>
      </c>
      <c r="F174" s="666"/>
      <c r="G174" s="21">
        <f t="shared" si="30"/>
        <v>1</v>
      </c>
      <c r="H174" s="666"/>
      <c r="I174" s="21">
        <f t="shared" si="31"/>
        <v>1</v>
      </c>
      <c r="J174" s="666"/>
      <c r="K174" s="21">
        <f t="shared" si="32"/>
        <v>1</v>
      </c>
      <c r="L174" s="666"/>
      <c r="M174" s="21">
        <f t="shared" si="33"/>
        <v>1</v>
      </c>
      <c r="N174" s="666"/>
      <c r="O174" s="21">
        <f t="shared" si="34"/>
        <v>1</v>
      </c>
      <c r="P174" s="666"/>
      <c r="Q174" s="21">
        <f t="shared" si="35"/>
        <v>1</v>
      </c>
      <c r="R174" s="662">
        <f t="shared" si="36"/>
        <v>0</v>
      </c>
      <c r="S174" s="315">
        <f t="shared" si="27"/>
        <v>0</v>
      </c>
    </row>
    <row r="175" spans="1:19">
      <c r="A175" s="149"/>
      <c r="B175" s="54"/>
      <c r="C175" s="21">
        <f t="shared" si="28"/>
        <v>1</v>
      </c>
      <c r="D175" s="666"/>
      <c r="E175" s="21">
        <f t="shared" si="29"/>
        <v>1</v>
      </c>
      <c r="F175" s="666"/>
      <c r="G175" s="21">
        <f t="shared" si="30"/>
        <v>1</v>
      </c>
      <c r="H175" s="666"/>
      <c r="I175" s="21">
        <f t="shared" si="31"/>
        <v>1</v>
      </c>
      <c r="J175" s="666"/>
      <c r="K175" s="21">
        <f t="shared" si="32"/>
        <v>1</v>
      </c>
      <c r="L175" s="666"/>
      <c r="M175" s="21">
        <f t="shared" si="33"/>
        <v>1</v>
      </c>
      <c r="N175" s="666"/>
      <c r="O175" s="21">
        <f t="shared" si="34"/>
        <v>1</v>
      </c>
      <c r="P175" s="666"/>
      <c r="Q175" s="21">
        <f t="shared" si="35"/>
        <v>1</v>
      </c>
      <c r="R175" s="662">
        <f t="shared" si="36"/>
        <v>0</v>
      </c>
      <c r="S175" s="315">
        <f t="shared" si="27"/>
        <v>0</v>
      </c>
    </row>
    <row r="176" spans="1:19">
      <c r="A176" s="149"/>
      <c r="B176" s="54"/>
      <c r="C176" s="21">
        <f t="shared" si="28"/>
        <v>1</v>
      </c>
      <c r="D176" s="666"/>
      <c r="E176" s="21">
        <f t="shared" si="29"/>
        <v>1</v>
      </c>
      <c r="F176" s="666"/>
      <c r="G176" s="21">
        <f t="shared" si="30"/>
        <v>1</v>
      </c>
      <c r="H176" s="666"/>
      <c r="I176" s="21">
        <f t="shared" si="31"/>
        <v>1</v>
      </c>
      <c r="J176" s="666"/>
      <c r="K176" s="21">
        <f t="shared" si="32"/>
        <v>1</v>
      </c>
      <c r="L176" s="666"/>
      <c r="M176" s="21">
        <f t="shared" si="33"/>
        <v>1</v>
      </c>
      <c r="N176" s="666"/>
      <c r="O176" s="21">
        <f t="shared" si="34"/>
        <v>1</v>
      </c>
      <c r="P176" s="666"/>
      <c r="Q176" s="21">
        <f t="shared" si="35"/>
        <v>1</v>
      </c>
      <c r="R176" s="662">
        <f t="shared" si="36"/>
        <v>0</v>
      </c>
      <c r="S176" s="315">
        <f t="shared" si="27"/>
        <v>0</v>
      </c>
    </row>
    <row r="177" spans="1:19">
      <c r="A177" s="149"/>
      <c r="B177" s="54"/>
      <c r="C177" s="21">
        <f t="shared" si="28"/>
        <v>1</v>
      </c>
      <c r="D177" s="666"/>
      <c r="E177" s="21">
        <f t="shared" si="29"/>
        <v>1</v>
      </c>
      <c r="F177" s="666"/>
      <c r="G177" s="21">
        <f t="shared" si="30"/>
        <v>1</v>
      </c>
      <c r="H177" s="666"/>
      <c r="I177" s="21">
        <f t="shared" si="31"/>
        <v>1</v>
      </c>
      <c r="J177" s="666"/>
      <c r="K177" s="21">
        <f t="shared" si="32"/>
        <v>1</v>
      </c>
      <c r="L177" s="666"/>
      <c r="M177" s="21">
        <f t="shared" si="33"/>
        <v>1</v>
      </c>
      <c r="N177" s="666"/>
      <c r="O177" s="21">
        <f t="shared" si="34"/>
        <v>1</v>
      </c>
      <c r="P177" s="666"/>
      <c r="Q177" s="21">
        <f t="shared" si="35"/>
        <v>1</v>
      </c>
      <c r="R177" s="662">
        <f t="shared" si="36"/>
        <v>0</v>
      </c>
      <c r="S177" s="315">
        <f t="shared" si="27"/>
        <v>0</v>
      </c>
    </row>
    <row r="178" spans="1:19">
      <c r="A178" s="149"/>
      <c r="B178" s="54"/>
      <c r="C178" s="21">
        <f t="shared" si="28"/>
        <v>1</v>
      </c>
      <c r="D178" s="666"/>
      <c r="E178" s="21">
        <f t="shared" si="29"/>
        <v>1</v>
      </c>
      <c r="F178" s="666"/>
      <c r="G178" s="21">
        <f t="shared" si="30"/>
        <v>1</v>
      </c>
      <c r="H178" s="666"/>
      <c r="I178" s="21">
        <f t="shared" si="31"/>
        <v>1</v>
      </c>
      <c r="J178" s="666"/>
      <c r="K178" s="21">
        <f t="shared" si="32"/>
        <v>1</v>
      </c>
      <c r="L178" s="666"/>
      <c r="M178" s="21">
        <f t="shared" si="33"/>
        <v>1</v>
      </c>
      <c r="N178" s="666"/>
      <c r="O178" s="21">
        <f t="shared" si="34"/>
        <v>1</v>
      </c>
      <c r="P178" s="666"/>
      <c r="Q178" s="21">
        <f t="shared" si="35"/>
        <v>1</v>
      </c>
      <c r="R178" s="662">
        <f t="shared" si="36"/>
        <v>0</v>
      </c>
      <c r="S178" s="315">
        <f t="shared" si="27"/>
        <v>0</v>
      </c>
    </row>
    <row r="179" spans="1:19">
      <c r="A179" s="149"/>
      <c r="B179" s="54"/>
      <c r="C179" s="21">
        <f t="shared" si="28"/>
        <v>1</v>
      </c>
      <c r="D179" s="666"/>
      <c r="E179" s="21">
        <f t="shared" si="29"/>
        <v>1</v>
      </c>
      <c r="F179" s="666"/>
      <c r="G179" s="21">
        <f t="shared" si="30"/>
        <v>1</v>
      </c>
      <c r="H179" s="666"/>
      <c r="I179" s="21">
        <f t="shared" si="31"/>
        <v>1</v>
      </c>
      <c r="J179" s="666"/>
      <c r="K179" s="21">
        <f t="shared" si="32"/>
        <v>1</v>
      </c>
      <c r="L179" s="666"/>
      <c r="M179" s="21">
        <f t="shared" si="33"/>
        <v>1</v>
      </c>
      <c r="N179" s="666"/>
      <c r="O179" s="21">
        <f t="shared" si="34"/>
        <v>1</v>
      </c>
      <c r="P179" s="666"/>
      <c r="Q179" s="21">
        <f t="shared" si="35"/>
        <v>1</v>
      </c>
      <c r="R179" s="662">
        <f t="shared" si="36"/>
        <v>0</v>
      </c>
      <c r="S179" s="315">
        <f t="shared" si="27"/>
        <v>0</v>
      </c>
    </row>
    <row r="180" spans="1:19">
      <c r="A180" s="149"/>
      <c r="B180" s="54"/>
      <c r="C180" s="21">
        <f t="shared" si="28"/>
        <v>1</v>
      </c>
      <c r="D180" s="666"/>
      <c r="E180" s="21">
        <f t="shared" si="29"/>
        <v>1</v>
      </c>
      <c r="F180" s="666"/>
      <c r="G180" s="21">
        <f t="shared" si="30"/>
        <v>1</v>
      </c>
      <c r="H180" s="666"/>
      <c r="I180" s="21">
        <f t="shared" si="31"/>
        <v>1</v>
      </c>
      <c r="J180" s="666"/>
      <c r="K180" s="21">
        <f t="shared" si="32"/>
        <v>1</v>
      </c>
      <c r="L180" s="666"/>
      <c r="M180" s="21">
        <f t="shared" si="33"/>
        <v>1</v>
      </c>
      <c r="N180" s="666"/>
      <c r="O180" s="21">
        <f t="shared" si="34"/>
        <v>1</v>
      </c>
      <c r="P180" s="666"/>
      <c r="Q180" s="21">
        <f t="shared" si="35"/>
        <v>1</v>
      </c>
      <c r="R180" s="662">
        <f t="shared" si="36"/>
        <v>0</v>
      </c>
      <c r="S180" s="315">
        <f t="shared" si="27"/>
        <v>0</v>
      </c>
    </row>
    <row r="181" spans="1:19">
      <c r="A181" s="149"/>
      <c r="B181" s="54"/>
      <c r="C181" s="21">
        <f t="shared" si="28"/>
        <v>1</v>
      </c>
      <c r="D181" s="666"/>
      <c r="E181" s="21">
        <f t="shared" si="29"/>
        <v>1</v>
      </c>
      <c r="F181" s="666"/>
      <c r="G181" s="21">
        <f t="shared" si="30"/>
        <v>1</v>
      </c>
      <c r="H181" s="666"/>
      <c r="I181" s="21">
        <f t="shared" si="31"/>
        <v>1</v>
      </c>
      <c r="J181" s="666"/>
      <c r="K181" s="21">
        <f t="shared" si="32"/>
        <v>1</v>
      </c>
      <c r="L181" s="666"/>
      <c r="M181" s="21">
        <f t="shared" si="33"/>
        <v>1</v>
      </c>
      <c r="N181" s="666"/>
      <c r="O181" s="21">
        <f t="shared" si="34"/>
        <v>1</v>
      </c>
      <c r="P181" s="666"/>
      <c r="Q181" s="21">
        <f t="shared" si="35"/>
        <v>1</v>
      </c>
      <c r="R181" s="662">
        <f t="shared" si="36"/>
        <v>0</v>
      </c>
      <c r="S181" s="315">
        <f t="shared" si="27"/>
        <v>0</v>
      </c>
    </row>
    <row r="182" spans="1:19">
      <c r="A182" s="149"/>
      <c r="B182" s="54"/>
      <c r="C182" s="21">
        <f t="shared" si="28"/>
        <v>1</v>
      </c>
      <c r="D182" s="666"/>
      <c r="E182" s="21">
        <f t="shared" si="29"/>
        <v>1</v>
      </c>
      <c r="F182" s="666"/>
      <c r="G182" s="21">
        <f t="shared" si="30"/>
        <v>1</v>
      </c>
      <c r="H182" s="666"/>
      <c r="I182" s="21">
        <f t="shared" si="31"/>
        <v>1</v>
      </c>
      <c r="J182" s="666"/>
      <c r="K182" s="21">
        <f t="shared" si="32"/>
        <v>1</v>
      </c>
      <c r="L182" s="666"/>
      <c r="M182" s="21">
        <f t="shared" si="33"/>
        <v>1</v>
      </c>
      <c r="N182" s="666"/>
      <c r="O182" s="21">
        <f t="shared" si="34"/>
        <v>1</v>
      </c>
      <c r="P182" s="666"/>
      <c r="Q182" s="21">
        <f t="shared" si="35"/>
        <v>1</v>
      </c>
      <c r="R182" s="662">
        <f t="shared" si="36"/>
        <v>0</v>
      </c>
      <c r="S182" s="315">
        <f t="shared" si="27"/>
        <v>0</v>
      </c>
    </row>
    <row r="183" spans="1:19">
      <c r="A183" s="149"/>
      <c r="B183" s="54"/>
      <c r="C183" s="21">
        <f t="shared" si="28"/>
        <v>1</v>
      </c>
      <c r="D183" s="666"/>
      <c r="E183" s="21">
        <f t="shared" si="29"/>
        <v>1</v>
      </c>
      <c r="F183" s="666"/>
      <c r="G183" s="21">
        <f t="shared" si="30"/>
        <v>1</v>
      </c>
      <c r="H183" s="666"/>
      <c r="I183" s="21">
        <f t="shared" si="31"/>
        <v>1</v>
      </c>
      <c r="J183" s="666"/>
      <c r="K183" s="21">
        <f t="shared" si="32"/>
        <v>1</v>
      </c>
      <c r="L183" s="666"/>
      <c r="M183" s="21">
        <f t="shared" si="33"/>
        <v>1</v>
      </c>
      <c r="N183" s="666"/>
      <c r="O183" s="21">
        <f t="shared" si="34"/>
        <v>1</v>
      </c>
      <c r="P183" s="666"/>
      <c r="Q183" s="21">
        <f t="shared" si="35"/>
        <v>1</v>
      </c>
      <c r="R183" s="662">
        <f t="shared" si="36"/>
        <v>0</v>
      </c>
      <c r="S183" s="315">
        <f t="shared" si="27"/>
        <v>0</v>
      </c>
    </row>
    <row r="184" spans="1:19">
      <c r="A184" s="149"/>
      <c r="B184" s="54"/>
      <c r="C184" s="21">
        <f t="shared" si="28"/>
        <v>1</v>
      </c>
      <c r="D184" s="666"/>
      <c r="E184" s="21">
        <f t="shared" si="29"/>
        <v>1</v>
      </c>
      <c r="F184" s="666"/>
      <c r="G184" s="21">
        <f t="shared" si="30"/>
        <v>1</v>
      </c>
      <c r="H184" s="666"/>
      <c r="I184" s="21">
        <f t="shared" si="31"/>
        <v>1</v>
      </c>
      <c r="J184" s="666"/>
      <c r="K184" s="21">
        <f t="shared" si="32"/>
        <v>1</v>
      </c>
      <c r="L184" s="666"/>
      <c r="M184" s="21">
        <f t="shared" si="33"/>
        <v>1</v>
      </c>
      <c r="N184" s="666"/>
      <c r="O184" s="21">
        <f t="shared" si="34"/>
        <v>1</v>
      </c>
      <c r="P184" s="666"/>
      <c r="Q184" s="21">
        <f t="shared" si="35"/>
        <v>1</v>
      </c>
      <c r="R184" s="662">
        <f t="shared" si="36"/>
        <v>0</v>
      </c>
      <c r="S184" s="315">
        <f t="shared" si="27"/>
        <v>0</v>
      </c>
    </row>
    <row r="185" spans="1:19">
      <c r="A185" s="149"/>
      <c r="B185" s="54"/>
      <c r="C185" s="21">
        <f t="shared" si="28"/>
        <v>1</v>
      </c>
      <c r="D185" s="666"/>
      <c r="E185" s="21">
        <f t="shared" si="29"/>
        <v>1</v>
      </c>
      <c r="F185" s="666"/>
      <c r="G185" s="21">
        <f t="shared" si="30"/>
        <v>1</v>
      </c>
      <c r="H185" s="666"/>
      <c r="I185" s="21">
        <f t="shared" si="31"/>
        <v>1</v>
      </c>
      <c r="J185" s="666"/>
      <c r="K185" s="21">
        <f t="shared" si="32"/>
        <v>1</v>
      </c>
      <c r="L185" s="666"/>
      <c r="M185" s="21">
        <f t="shared" si="33"/>
        <v>1</v>
      </c>
      <c r="N185" s="666"/>
      <c r="O185" s="21">
        <f t="shared" si="34"/>
        <v>1</v>
      </c>
      <c r="P185" s="666"/>
      <c r="Q185" s="21">
        <f t="shared" si="35"/>
        <v>1</v>
      </c>
      <c r="R185" s="662">
        <f t="shared" si="36"/>
        <v>0</v>
      </c>
      <c r="S185" s="315">
        <f t="shared" si="27"/>
        <v>0</v>
      </c>
    </row>
    <row r="186" spans="1:19">
      <c r="A186" s="149"/>
      <c r="B186" s="54"/>
      <c r="C186" s="21">
        <f t="shared" si="28"/>
        <v>1</v>
      </c>
      <c r="D186" s="666"/>
      <c r="E186" s="21">
        <f t="shared" si="29"/>
        <v>1</v>
      </c>
      <c r="F186" s="666"/>
      <c r="G186" s="21">
        <f t="shared" si="30"/>
        <v>1</v>
      </c>
      <c r="H186" s="666"/>
      <c r="I186" s="21">
        <f t="shared" si="31"/>
        <v>1</v>
      </c>
      <c r="J186" s="666"/>
      <c r="K186" s="21">
        <f t="shared" si="32"/>
        <v>1</v>
      </c>
      <c r="L186" s="666"/>
      <c r="M186" s="21">
        <f t="shared" si="33"/>
        <v>1</v>
      </c>
      <c r="N186" s="666"/>
      <c r="O186" s="21">
        <f t="shared" si="34"/>
        <v>1</v>
      </c>
      <c r="P186" s="666"/>
      <c r="Q186" s="21">
        <f t="shared" si="35"/>
        <v>1</v>
      </c>
      <c r="R186" s="662">
        <f t="shared" si="36"/>
        <v>0</v>
      </c>
      <c r="S186" s="315">
        <f t="shared" si="27"/>
        <v>0</v>
      </c>
    </row>
    <row r="187" spans="1:19">
      <c r="A187" s="149"/>
      <c r="B187" s="54"/>
      <c r="C187" s="21">
        <f t="shared" si="28"/>
        <v>1</v>
      </c>
      <c r="D187" s="666"/>
      <c r="E187" s="21">
        <f t="shared" si="29"/>
        <v>1</v>
      </c>
      <c r="F187" s="666"/>
      <c r="G187" s="21">
        <f t="shared" si="30"/>
        <v>1</v>
      </c>
      <c r="H187" s="666"/>
      <c r="I187" s="21">
        <f t="shared" si="31"/>
        <v>1</v>
      </c>
      <c r="J187" s="666"/>
      <c r="K187" s="21">
        <f t="shared" si="32"/>
        <v>1</v>
      </c>
      <c r="L187" s="666"/>
      <c r="M187" s="21">
        <f t="shared" si="33"/>
        <v>1</v>
      </c>
      <c r="N187" s="666"/>
      <c r="O187" s="21">
        <f t="shared" si="34"/>
        <v>1</v>
      </c>
      <c r="P187" s="666"/>
      <c r="Q187" s="21">
        <f t="shared" si="35"/>
        <v>1</v>
      </c>
      <c r="R187" s="662">
        <f t="shared" si="36"/>
        <v>0</v>
      </c>
      <c r="S187" s="315">
        <f t="shared" ref="S187:S222" si="37">ROUND(R187*B187/10000,0)</f>
        <v>0</v>
      </c>
    </row>
    <row r="188" spans="1:19">
      <c r="A188" s="149"/>
      <c r="B188" s="54"/>
      <c r="C188" s="21">
        <f t="shared" si="28"/>
        <v>1</v>
      </c>
      <c r="D188" s="666"/>
      <c r="E188" s="21">
        <f t="shared" si="29"/>
        <v>1</v>
      </c>
      <c r="F188" s="666"/>
      <c r="G188" s="21">
        <f t="shared" si="30"/>
        <v>1</v>
      </c>
      <c r="H188" s="666"/>
      <c r="I188" s="21">
        <f t="shared" si="31"/>
        <v>1</v>
      </c>
      <c r="J188" s="666"/>
      <c r="K188" s="21">
        <f t="shared" si="32"/>
        <v>1</v>
      </c>
      <c r="L188" s="666"/>
      <c r="M188" s="21">
        <f t="shared" si="33"/>
        <v>1</v>
      </c>
      <c r="N188" s="666"/>
      <c r="O188" s="21">
        <f t="shared" si="34"/>
        <v>1</v>
      </c>
      <c r="P188" s="666"/>
      <c r="Q188" s="21">
        <f t="shared" si="35"/>
        <v>1</v>
      </c>
      <c r="R188" s="662">
        <f t="shared" si="36"/>
        <v>0</v>
      </c>
      <c r="S188" s="315">
        <f t="shared" si="37"/>
        <v>0</v>
      </c>
    </row>
    <row r="189" spans="1:19">
      <c r="A189" s="149"/>
      <c r="B189" s="54"/>
      <c r="C189" s="21">
        <f t="shared" si="28"/>
        <v>1</v>
      </c>
      <c r="D189" s="666"/>
      <c r="E189" s="21">
        <f t="shared" si="29"/>
        <v>1</v>
      </c>
      <c r="F189" s="666"/>
      <c r="G189" s="21">
        <f t="shared" si="30"/>
        <v>1</v>
      </c>
      <c r="H189" s="666"/>
      <c r="I189" s="21">
        <f t="shared" si="31"/>
        <v>1</v>
      </c>
      <c r="J189" s="666"/>
      <c r="K189" s="21">
        <f t="shared" si="32"/>
        <v>1</v>
      </c>
      <c r="L189" s="666"/>
      <c r="M189" s="21">
        <f t="shared" si="33"/>
        <v>1</v>
      </c>
      <c r="N189" s="666"/>
      <c r="O189" s="21">
        <f t="shared" si="34"/>
        <v>1</v>
      </c>
      <c r="P189" s="666"/>
      <c r="Q189" s="21">
        <f t="shared" si="35"/>
        <v>1</v>
      </c>
      <c r="R189" s="662">
        <f t="shared" si="36"/>
        <v>0</v>
      </c>
      <c r="S189" s="315">
        <f t="shared" si="37"/>
        <v>0</v>
      </c>
    </row>
    <row r="190" spans="1:19">
      <c r="A190" s="149"/>
      <c r="B190" s="54"/>
      <c r="C190" s="21">
        <f t="shared" si="28"/>
        <v>1</v>
      </c>
      <c r="D190" s="666"/>
      <c r="E190" s="21">
        <f t="shared" si="29"/>
        <v>1</v>
      </c>
      <c r="F190" s="666"/>
      <c r="G190" s="21">
        <f t="shared" si="30"/>
        <v>1</v>
      </c>
      <c r="H190" s="666"/>
      <c r="I190" s="21">
        <f t="shared" si="31"/>
        <v>1</v>
      </c>
      <c r="J190" s="666"/>
      <c r="K190" s="21">
        <f t="shared" si="32"/>
        <v>1</v>
      </c>
      <c r="L190" s="666"/>
      <c r="M190" s="21">
        <f t="shared" si="33"/>
        <v>1</v>
      </c>
      <c r="N190" s="666"/>
      <c r="O190" s="21">
        <f t="shared" si="34"/>
        <v>1</v>
      </c>
      <c r="P190" s="666"/>
      <c r="Q190" s="21">
        <f t="shared" si="35"/>
        <v>1</v>
      </c>
      <c r="R190" s="662">
        <f t="shared" si="36"/>
        <v>0</v>
      </c>
      <c r="S190" s="315">
        <f t="shared" si="37"/>
        <v>0</v>
      </c>
    </row>
    <row r="191" spans="1:19">
      <c r="A191" s="149"/>
      <c r="B191" s="54"/>
      <c r="C191" s="21">
        <f t="shared" si="28"/>
        <v>1</v>
      </c>
      <c r="D191" s="666"/>
      <c r="E191" s="21">
        <f t="shared" si="29"/>
        <v>1</v>
      </c>
      <c r="F191" s="666"/>
      <c r="G191" s="21">
        <f t="shared" si="30"/>
        <v>1</v>
      </c>
      <c r="H191" s="666"/>
      <c r="I191" s="21">
        <f t="shared" si="31"/>
        <v>1</v>
      </c>
      <c r="J191" s="666"/>
      <c r="K191" s="21">
        <f t="shared" si="32"/>
        <v>1</v>
      </c>
      <c r="L191" s="666"/>
      <c r="M191" s="21">
        <f t="shared" si="33"/>
        <v>1</v>
      </c>
      <c r="N191" s="666"/>
      <c r="O191" s="21">
        <f t="shared" si="34"/>
        <v>1</v>
      </c>
      <c r="P191" s="666"/>
      <c r="Q191" s="21">
        <f t="shared" si="35"/>
        <v>1</v>
      </c>
      <c r="R191" s="662">
        <f t="shared" si="36"/>
        <v>0</v>
      </c>
      <c r="S191" s="315">
        <f t="shared" si="37"/>
        <v>0</v>
      </c>
    </row>
    <row r="192" spans="1:19">
      <c r="A192" s="149"/>
      <c r="B192" s="54"/>
      <c r="C192" s="21">
        <f t="shared" si="28"/>
        <v>1</v>
      </c>
      <c r="D192" s="666"/>
      <c r="E192" s="21">
        <f t="shared" si="29"/>
        <v>1</v>
      </c>
      <c r="F192" s="666"/>
      <c r="G192" s="21">
        <f t="shared" si="30"/>
        <v>1</v>
      </c>
      <c r="H192" s="666"/>
      <c r="I192" s="21">
        <f t="shared" si="31"/>
        <v>1</v>
      </c>
      <c r="J192" s="666"/>
      <c r="K192" s="21">
        <f t="shared" si="32"/>
        <v>1</v>
      </c>
      <c r="L192" s="666"/>
      <c r="M192" s="21">
        <f t="shared" si="33"/>
        <v>1</v>
      </c>
      <c r="N192" s="666"/>
      <c r="O192" s="21">
        <f t="shared" si="34"/>
        <v>1</v>
      </c>
      <c r="P192" s="666"/>
      <c r="Q192" s="21">
        <f t="shared" si="35"/>
        <v>1</v>
      </c>
      <c r="R192" s="662">
        <f t="shared" si="36"/>
        <v>0</v>
      </c>
      <c r="S192" s="315">
        <f t="shared" si="37"/>
        <v>0</v>
      </c>
    </row>
    <row r="193" spans="1:19">
      <c r="A193" s="149"/>
      <c r="B193" s="54"/>
      <c r="C193" s="21">
        <f t="shared" si="28"/>
        <v>1</v>
      </c>
      <c r="D193" s="666"/>
      <c r="E193" s="21">
        <f t="shared" si="29"/>
        <v>1</v>
      </c>
      <c r="F193" s="666"/>
      <c r="G193" s="21">
        <f t="shared" si="30"/>
        <v>1</v>
      </c>
      <c r="H193" s="666"/>
      <c r="I193" s="21">
        <f t="shared" si="31"/>
        <v>1</v>
      </c>
      <c r="J193" s="666"/>
      <c r="K193" s="21">
        <f t="shared" si="32"/>
        <v>1</v>
      </c>
      <c r="L193" s="666"/>
      <c r="M193" s="21">
        <f t="shared" si="33"/>
        <v>1</v>
      </c>
      <c r="N193" s="666"/>
      <c r="O193" s="21">
        <f t="shared" si="34"/>
        <v>1</v>
      </c>
      <c r="P193" s="666"/>
      <c r="Q193" s="21">
        <f t="shared" si="35"/>
        <v>1</v>
      </c>
      <c r="R193" s="662">
        <f t="shared" si="36"/>
        <v>0</v>
      </c>
      <c r="S193" s="315">
        <f t="shared" si="37"/>
        <v>0</v>
      </c>
    </row>
    <row r="194" spans="1:19">
      <c r="A194" s="149"/>
      <c r="B194" s="54"/>
      <c r="C194" s="21">
        <f t="shared" si="28"/>
        <v>1</v>
      </c>
      <c r="D194" s="666"/>
      <c r="E194" s="21">
        <f t="shared" si="29"/>
        <v>1</v>
      </c>
      <c r="F194" s="666"/>
      <c r="G194" s="21">
        <f t="shared" si="30"/>
        <v>1</v>
      </c>
      <c r="H194" s="666"/>
      <c r="I194" s="21">
        <f t="shared" si="31"/>
        <v>1</v>
      </c>
      <c r="J194" s="666"/>
      <c r="K194" s="21">
        <f t="shared" si="32"/>
        <v>1</v>
      </c>
      <c r="L194" s="666"/>
      <c r="M194" s="21">
        <f t="shared" si="33"/>
        <v>1</v>
      </c>
      <c r="N194" s="666"/>
      <c r="O194" s="21">
        <f t="shared" si="34"/>
        <v>1</v>
      </c>
      <c r="P194" s="666"/>
      <c r="Q194" s="21">
        <f t="shared" si="35"/>
        <v>1</v>
      </c>
      <c r="R194" s="662">
        <f t="shared" si="36"/>
        <v>0</v>
      </c>
      <c r="S194" s="315">
        <f t="shared" si="37"/>
        <v>0</v>
      </c>
    </row>
    <row r="195" spans="1:19">
      <c r="A195" s="149"/>
      <c r="B195" s="54"/>
      <c r="C195" s="21">
        <f t="shared" si="28"/>
        <v>1</v>
      </c>
      <c r="D195" s="666"/>
      <c r="E195" s="21">
        <f t="shared" si="29"/>
        <v>1</v>
      </c>
      <c r="F195" s="666"/>
      <c r="G195" s="21">
        <f t="shared" si="30"/>
        <v>1</v>
      </c>
      <c r="H195" s="666"/>
      <c r="I195" s="21">
        <f t="shared" si="31"/>
        <v>1</v>
      </c>
      <c r="J195" s="666"/>
      <c r="K195" s="21">
        <f t="shared" si="32"/>
        <v>1</v>
      </c>
      <c r="L195" s="666"/>
      <c r="M195" s="21">
        <f t="shared" si="33"/>
        <v>1</v>
      </c>
      <c r="N195" s="666"/>
      <c r="O195" s="21">
        <f t="shared" si="34"/>
        <v>1</v>
      </c>
      <c r="P195" s="666"/>
      <c r="Q195" s="21">
        <f t="shared" si="35"/>
        <v>1</v>
      </c>
      <c r="R195" s="662">
        <f t="shared" si="36"/>
        <v>0</v>
      </c>
      <c r="S195" s="315">
        <f t="shared" si="37"/>
        <v>0</v>
      </c>
    </row>
    <row r="196" spans="1:19">
      <c r="A196" s="149"/>
      <c r="B196" s="54"/>
      <c r="C196" s="21">
        <f t="shared" si="28"/>
        <v>1</v>
      </c>
      <c r="D196" s="666"/>
      <c r="E196" s="21">
        <f t="shared" si="29"/>
        <v>1</v>
      </c>
      <c r="F196" s="666"/>
      <c r="G196" s="21">
        <f t="shared" si="30"/>
        <v>1</v>
      </c>
      <c r="H196" s="666"/>
      <c r="I196" s="21">
        <f t="shared" si="31"/>
        <v>1</v>
      </c>
      <c r="J196" s="666"/>
      <c r="K196" s="21">
        <f t="shared" si="32"/>
        <v>1</v>
      </c>
      <c r="L196" s="666"/>
      <c r="M196" s="21">
        <f t="shared" si="33"/>
        <v>1</v>
      </c>
      <c r="N196" s="666"/>
      <c r="O196" s="21">
        <f t="shared" si="34"/>
        <v>1</v>
      </c>
      <c r="P196" s="666"/>
      <c r="Q196" s="21">
        <f t="shared" si="35"/>
        <v>1</v>
      </c>
      <c r="R196" s="662">
        <f t="shared" si="36"/>
        <v>0</v>
      </c>
      <c r="S196" s="315">
        <f t="shared" si="37"/>
        <v>0</v>
      </c>
    </row>
    <row r="197" spans="1:19">
      <c r="A197" s="149"/>
      <c r="B197" s="54"/>
      <c r="C197" s="21">
        <f t="shared" si="28"/>
        <v>1</v>
      </c>
      <c r="D197" s="666"/>
      <c r="E197" s="21">
        <f t="shared" si="29"/>
        <v>1</v>
      </c>
      <c r="F197" s="666"/>
      <c r="G197" s="21">
        <f t="shared" si="30"/>
        <v>1</v>
      </c>
      <c r="H197" s="666"/>
      <c r="I197" s="21">
        <f t="shared" si="31"/>
        <v>1</v>
      </c>
      <c r="J197" s="666"/>
      <c r="K197" s="21">
        <f t="shared" si="32"/>
        <v>1</v>
      </c>
      <c r="L197" s="666"/>
      <c r="M197" s="21">
        <f t="shared" si="33"/>
        <v>1</v>
      </c>
      <c r="N197" s="666"/>
      <c r="O197" s="21">
        <f t="shared" si="34"/>
        <v>1</v>
      </c>
      <c r="P197" s="666"/>
      <c r="Q197" s="21">
        <f t="shared" si="35"/>
        <v>1</v>
      </c>
      <c r="R197" s="662">
        <f t="shared" si="36"/>
        <v>0</v>
      </c>
      <c r="S197" s="315">
        <f t="shared" si="37"/>
        <v>0</v>
      </c>
    </row>
    <row r="198" spans="1:19">
      <c r="A198" s="149"/>
      <c r="B198" s="54"/>
      <c r="C198" s="21">
        <f t="shared" si="28"/>
        <v>1</v>
      </c>
      <c r="D198" s="666"/>
      <c r="E198" s="21">
        <f t="shared" si="29"/>
        <v>1</v>
      </c>
      <c r="F198" s="666"/>
      <c r="G198" s="21">
        <f t="shared" si="30"/>
        <v>1</v>
      </c>
      <c r="H198" s="666"/>
      <c r="I198" s="21">
        <f t="shared" si="31"/>
        <v>1</v>
      </c>
      <c r="J198" s="666"/>
      <c r="K198" s="21">
        <f t="shared" si="32"/>
        <v>1</v>
      </c>
      <c r="L198" s="666"/>
      <c r="M198" s="21">
        <f t="shared" si="33"/>
        <v>1</v>
      </c>
      <c r="N198" s="666"/>
      <c r="O198" s="21">
        <f t="shared" si="34"/>
        <v>1</v>
      </c>
      <c r="P198" s="666"/>
      <c r="Q198" s="21">
        <f t="shared" si="35"/>
        <v>1</v>
      </c>
      <c r="R198" s="662">
        <f t="shared" si="36"/>
        <v>0</v>
      </c>
      <c r="S198" s="315">
        <f t="shared" si="37"/>
        <v>0</v>
      </c>
    </row>
    <row r="199" spans="1:19">
      <c r="A199" s="149"/>
      <c r="B199" s="54"/>
      <c r="C199" s="21">
        <f t="shared" si="28"/>
        <v>1</v>
      </c>
      <c r="D199" s="666"/>
      <c r="E199" s="21">
        <f t="shared" si="29"/>
        <v>1</v>
      </c>
      <c r="F199" s="666"/>
      <c r="G199" s="21">
        <f t="shared" si="30"/>
        <v>1</v>
      </c>
      <c r="H199" s="666"/>
      <c r="I199" s="21">
        <f t="shared" si="31"/>
        <v>1</v>
      </c>
      <c r="J199" s="666"/>
      <c r="K199" s="21">
        <f t="shared" si="32"/>
        <v>1</v>
      </c>
      <c r="L199" s="666"/>
      <c r="M199" s="21">
        <f t="shared" si="33"/>
        <v>1</v>
      </c>
      <c r="N199" s="666"/>
      <c r="O199" s="21">
        <f t="shared" si="34"/>
        <v>1</v>
      </c>
      <c r="P199" s="666"/>
      <c r="Q199" s="21">
        <f t="shared" si="35"/>
        <v>1</v>
      </c>
      <c r="R199" s="662">
        <f t="shared" si="36"/>
        <v>0</v>
      </c>
      <c r="S199" s="315">
        <f t="shared" si="37"/>
        <v>0</v>
      </c>
    </row>
    <row r="200" spans="1:19">
      <c r="A200" s="149"/>
      <c r="B200" s="54"/>
      <c r="C200" s="21">
        <f t="shared" si="28"/>
        <v>1</v>
      </c>
      <c r="D200" s="666"/>
      <c r="E200" s="21">
        <f t="shared" si="29"/>
        <v>1</v>
      </c>
      <c r="F200" s="666"/>
      <c r="G200" s="21">
        <f t="shared" si="30"/>
        <v>1</v>
      </c>
      <c r="H200" s="666"/>
      <c r="I200" s="21">
        <f t="shared" si="31"/>
        <v>1</v>
      </c>
      <c r="J200" s="666"/>
      <c r="K200" s="21">
        <f t="shared" si="32"/>
        <v>1</v>
      </c>
      <c r="L200" s="666"/>
      <c r="M200" s="21">
        <f t="shared" si="33"/>
        <v>1</v>
      </c>
      <c r="N200" s="666"/>
      <c r="O200" s="21">
        <f t="shared" si="34"/>
        <v>1</v>
      </c>
      <c r="P200" s="666"/>
      <c r="Q200" s="21">
        <f t="shared" si="35"/>
        <v>1</v>
      </c>
      <c r="R200" s="662">
        <f t="shared" si="36"/>
        <v>0</v>
      </c>
      <c r="S200" s="315">
        <f t="shared" si="37"/>
        <v>0</v>
      </c>
    </row>
    <row r="201" spans="1:19">
      <c r="A201" s="149"/>
      <c r="B201" s="54"/>
      <c r="C201" s="21">
        <f t="shared" si="28"/>
        <v>1</v>
      </c>
      <c r="D201" s="666"/>
      <c r="E201" s="21">
        <f t="shared" si="29"/>
        <v>1</v>
      </c>
      <c r="F201" s="666"/>
      <c r="G201" s="21">
        <f t="shared" si="30"/>
        <v>1</v>
      </c>
      <c r="H201" s="666"/>
      <c r="I201" s="21">
        <f t="shared" si="31"/>
        <v>1</v>
      </c>
      <c r="J201" s="666"/>
      <c r="K201" s="21">
        <f t="shared" si="32"/>
        <v>1</v>
      </c>
      <c r="L201" s="666"/>
      <c r="M201" s="21">
        <f t="shared" si="33"/>
        <v>1</v>
      </c>
      <c r="N201" s="666"/>
      <c r="O201" s="21">
        <f t="shared" si="34"/>
        <v>1</v>
      </c>
      <c r="P201" s="666"/>
      <c r="Q201" s="21">
        <f t="shared" si="35"/>
        <v>1</v>
      </c>
      <c r="R201" s="662">
        <f t="shared" si="36"/>
        <v>0</v>
      </c>
      <c r="S201" s="315">
        <f t="shared" si="37"/>
        <v>0</v>
      </c>
    </row>
    <row r="202" spans="1:19">
      <c r="A202" s="149"/>
      <c r="B202" s="54"/>
      <c r="C202" s="21">
        <f t="shared" si="28"/>
        <v>1</v>
      </c>
      <c r="D202" s="666"/>
      <c r="E202" s="21">
        <f t="shared" si="29"/>
        <v>1</v>
      </c>
      <c r="F202" s="666"/>
      <c r="G202" s="21">
        <f t="shared" si="30"/>
        <v>1</v>
      </c>
      <c r="H202" s="666"/>
      <c r="I202" s="21">
        <f t="shared" si="31"/>
        <v>1</v>
      </c>
      <c r="J202" s="666"/>
      <c r="K202" s="21">
        <f t="shared" si="32"/>
        <v>1</v>
      </c>
      <c r="L202" s="666"/>
      <c r="M202" s="21">
        <f t="shared" si="33"/>
        <v>1</v>
      </c>
      <c r="N202" s="666"/>
      <c r="O202" s="21">
        <f t="shared" si="34"/>
        <v>1</v>
      </c>
      <c r="P202" s="666"/>
      <c r="Q202" s="21">
        <f t="shared" si="35"/>
        <v>1</v>
      </c>
      <c r="R202" s="662">
        <f t="shared" si="36"/>
        <v>0</v>
      </c>
      <c r="S202" s="315">
        <f t="shared" si="37"/>
        <v>0</v>
      </c>
    </row>
    <row r="203" spans="1:19">
      <c r="A203" s="149"/>
      <c r="B203" s="54"/>
      <c r="C203" s="21">
        <f t="shared" si="28"/>
        <v>1</v>
      </c>
      <c r="D203" s="666"/>
      <c r="E203" s="21">
        <f t="shared" si="29"/>
        <v>1</v>
      </c>
      <c r="F203" s="666"/>
      <c r="G203" s="21">
        <f t="shared" si="30"/>
        <v>1</v>
      </c>
      <c r="H203" s="666"/>
      <c r="I203" s="21">
        <f t="shared" si="31"/>
        <v>1</v>
      </c>
      <c r="J203" s="666"/>
      <c r="K203" s="21">
        <f t="shared" si="32"/>
        <v>1</v>
      </c>
      <c r="L203" s="666"/>
      <c r="M203" s="21">
        <f t="shared" si="33"/>
        <v>1</v>
      </c>
      <c r="N203" s="666"/>
      <c r="O203" s="21">
        <f t="shared" si="34"/>
        <v>1</v>
      </c>
      <c r="P203" s="666"/>
      <c r="Q203" s="21">
        <f t="shared" si="35"/>
        <v>1</v>
      </c>
      <c r="R203" s="662">
        <f t="shared" si="36"/>
        <v>0</v>
      </c>
      <c r="S203" s="315">
        <f t="shared" si="37"/>
        <v>0</v>
      </c>
    </row>
    <row r="204" spans="1:19">
      <c r="A204" s="149"/>
      <c r="B204" s="54"/>
      <c r="C204" s="21">
        <f t="shared" si="28"/>
        <v>1</v>
      </c>
      <c r="D204" s="666"/>
      <c r="E204" s="21">
        <f t="shared" si="29"/>
        <v>1</v>
      </c>
      <c r="F204" s="666"/>
      <c r="G204" s="21">
        <f t="shared" si="30"/>
        <v>1</v>
      </c>
      <c r="H204" s="666"/>
      <c r="I204" s="21">
        <f t="shared" si="31"/>
        <v>1</v>
      </c>
      <c r="J204" s="666"/>
      <c r="K204" s="21">
        <f t="shared" si="32"/>
        <v>1</v>
      </c>
      <c r="L204" s="666"/>
      <c r="M204" s="21">
        <f t="shared" si="33"/>
        <v>1</v>
      </c>
      <c r="N204" s="666"/>
      <c r="O204" s="21">
        <f t="shared" si="34"/>
        <v>1</v>
      </c>
      <c r="P204" s="666"/>
      <c r="Q204" s="21">
        <f t="shared" si="35"/>
        <v>1</v>
      </c>
      <c r="R204" s="662">
        <f t="shared" si="36"/>
        <v>0</v>
      </c>
      <c r="S204" s="315">
        <f t="shared" si="37"/>
        <v>0</v>
      </c>
    </row>
    <row r="205" spans="1:19">
      <c r="A205" s="149"/>
      <c r="B205" s="54"/>
      <c r="C205" s="21">
        <f t="shared" si="28"/>
        <v>1</v>
      </c>
      <c r="D205" s="666"/>
      <c r="E205" s="21">
        <f t="shared" si="29"/>
        <v>1</v>
      </c>
      <c r="F205" s="666"/>
      <c r="G205" s="21">
        <f t="shared" si="30"/>
        <v>1</v>
      </c>
      <c r="H205" s="666"/>
      <c r="I205" s="21">
        <f t="shared" si="31"/>
        <v>1</v>
      </c>
      <c r="J205" s="666"/>
      <c r="K205" s="21">
        <f t="shared" si="32"/>
        <v>1</v>
      </c>
      <c r="L205" s="666"/>
      <c r="M205" s="21">
        <f t="shared" si="33"/>
        <v>1</v>
      </c>
      <c r="N205" s="666"/>
      <c r="O205" s="21">
        <f t="shared" si="34"/>
        <v>1</v>
      </c>
      <c r="P205" s="666"/>
      <c r="Q205" s="21">
        <f t="shared" si="35"/>
        <v>1</v>
      </c>
      <c r="R205" s="662">
        <f t="shared" si="36"/>
        <v>0</v>
      </c>
      <c r="S205" s="315">
        <f t="shared" si="37"/>
        <v>0</v>
      </c>
    </row>
    <row r="206" spans="1:19">
      <c r="A206" s="149"/>
      <c r="B206" s="54"/>
      <c r="C206" s="21">
        <f t="shared" si="28"/>
        <v>1</v>
      </c>
      <c r="D206" s="666"/>
      <c r="E206" s="21">
        <f t="shared" si="29"/>
        <v>1</v>
      </c>
      <c r="F206" s="666"/>
      <c r="G206" s="21">
        <f t="shared" si="30"/>
        <v>1</v>
      </c>
      <c r="H206" s="666"/>
      <c r="I206" s="21">
        <f t="shared" si="31"/>
        <v>1</v>
      </c>
      <c r="J206" s="666"/>
      <c r="K206" s="21">
        <f t="shared" si="32"/>
        <v>1</v>
      </c>
      <c r="L206" s="666"/>
      <c r="M206" s="21">
        <f t="shared" si="33"/>
        <v>1</v>
      </c>
      <c r="N206" s="666"/>
      <c r="O206" s="21">
        <f t="shared" si="34"/>
        <v>1</v>
      </c>
      <c r="P206" s="666"/>
      <c r="Q206" s="21">
        <f t="shared" si="35"/>
        <v>1</v>
      </c>
      <c r="R206" s="662">
        <f t="shared" si="36"/>
        <v>0</v>
      </c>
      <c r="S206" s="315">
        <f t="shared" si="37"/>
        <v>0</v>
      </c>
    </row>
    <row r="207" spans="1:19">
      <c r="A207" s="149"/>
      <c r="B207" s="54"/>
      <c r="C207" s="21">
        <f t="shared" si="28"/>
        <v>1</v>
      </c>
      <c r="D207" s="666"/>
      <c r="E207" s="21">
        <f t="shared" si="29"/>
        <v>1</v>
      </c>
      <c r="F207" s="666"/>
      <c r="G207" s="21">
        <f t="shared" si="30"/>
        <v>1</v>
      </c>
      <c r="H207" s="666"/>
      <c r="I207" s="21">
        <f t="shared" si="31"/>
        <v>1</v>
      </c>
      <c r="J207" s="666"/>
      <c r="K207" s="21">
        <f t="shared" si="32"/>
        <v>1</v>
      </c>
      <c r="L207" s="666"/>
      <c r="M207" s="21">
        <f t="shared" si="33"/>
        <v>1</v>
      </c>
      <c r="N207" s="666"/>
      <c r="O207" s="21">
        <f t="shared" si="34"/>
        <v>1</v>
      </c>
      <c r="P207" s="666"/>
      <c r="Q207" s="21">
        <f t="shared" si="35"/>
        <v>1</v>
      </c>
      <c r="R207" s="662">
        <f t="shared" si="36"/>
        <v>0</v>
      </c>
      <c r="S207" s="315">
        <f t="shared" si="37"/>
        <v>0</v>
      </c>
    </row>
    <row r="208" spans="1:19">
      <c r="A208" s="149"/>
      <c r="B208" s="54"/>
      <c r="C208" s="21">
        <f t="shared" si="28"/>
        <v>1</v>
      </c>
      <c r="D208" s="666"/>
      <c r="E208" s="21">
        <f t="shared" si="29"/>
        <v>1</v>
      </c>
      <c r="F208" s="666"/>
      <c r="G208" s="21">
        <f t="shared" si="30"/>
        <v>1</v>
      </c>
      <c r="H208" s="666"/>
      <c r="I208" s="21">
        <f t="shared" si="31"/>
        <v>1</v>
      </c>
      <c r="J208" s="666"/>
      <c r="K208" s="21">
        <f t="shared" si="32"/>
        <v>1</v>
      </c>
      <c r="L208" s="666"/>
      <c r="M208" s="21">
        <f t="shared" si="33"/>
        <v>1</v>
      </c>
      <c r="N208" s="666"/>
      <c r="O208" s="21">
        <f t="shared" si="34"/>
        <v>1</v>
      </c>
      <c r="P208" s="666"/>
      <c r="Q208" s="21">
        <f t="shared" si="35"/>
        <v>1</v>
      </c>
      <c r="R208" s="662">
        <f t="shared" si="36"/>
        <v>0</v>
      </c>
      <c r="S208" s="315">
        <f t="shared" si="37"/>
        <v>0</v>
      </c>
    </row>
    <row r="209" spans="1:19">
      <c r="A209" s="149"/>
      <c r="B209" s="54"/>
      <c r="C209" s="21">
        <f t="shared" si="28"/>
        <v>1</v>
      </c>
      <c r="D209" s="666"/>
      <c r="E209" s="21">
        <f t="shared" si="29"/>
        <v>1</v>
      </c>
      <c r="F209" s="666"/>
      <c r="G209" s="21">
        <f t="shared" si="30"/>
        <v>1</v>
      </c>
      <c r="H209" s="666"/>
      <c r="I209" s="21">
        <f t="shared" si="31"/>
        <v>1</v>
      </c>
      <c r="J209" s="666"/>
      <c r="K209" s="21">
        <f t="shared" si="32"/>
        <v>1</v>
      </c>
      <c r="L209" s="666"/>
      <c r="M209" s="21">
        <f t="shared" si="33"/>
        <v>1</v>
      </c>
      <c r="N209" s="666"/>
      <c r="O209" s="21">
        <f t="shared" si="34"/>
        <v>1</v>
      </c>
      <c r="P209" s="666"/>
      <c r="Q209" s="21">
        <f t="shared" si="35"/>
        <v>1</v>
      </c>
      <c r="R209" s="662">
        <f t="shared" si="36"/>
        <v>0</v>
      </c>
      <c r="S209" s="315">
        <f t="shared" si="37"/>
        <v>0</v>
      </c>
    </row>
    <row r="210" spans="1:19">
      <c r="A210" s="149"/>
      <c r="B210" s="54"/>
      <c r="C210" s="21">
        <f t="shared" si="28"/>
        <v>1</v>
      </c>
      <c r="D210" s="666"/>
      <c r="E210" s="21">
        <f t="shared" si="29"/>
        <v>1</v>
      </c>
      <c r="F210" s="666"/>
      <c r="G210" s="21">
        <f t="shared" si="30"/>
        <v>1</v>
      </c>
      <c r="H210" s="666"/>
      <c r="I210" s="21">
        <f t="shared" si="31"/>
        <v>1</v>
      </c>
      <c r="J210" s="666"/>
      <c r="K210" s="21">
        <f t="shared" si="32"/>
        <v>1</v>
      </c>
      <c r="L210" s="666"/>
      <c r="M210" s="21">
        <f t="shared" si="33"/>
        <v>1</v>
      </c>
      <c r="N210" s="666"/>
      <c r="O210" s="21">
        <f t="shared" si="34"/>
        <v>1</v>
      </c>
      <c r="P210" s="666"/>
      <c r="Q210" s="21">
        <f t="shared" si="35"/>
        <v>1</v>
      </c>
      <c r="R210" s="662">
        <f t="shared" si="36"/>
        <v>0</v>
      </c>
      <c r="S210" s="315">
        <f t="shared" si="37"/>
        <v>0</v>
      </c>
    </row>
    <row r="211" spans="1:19">
      <c r="A211" s="149"/>
      <c r="B211" s="54"/>
      <c r="C211" s="21">
        <f t="shared" si="28"/>
        <v>1</v>
      </c>
      <c r="D211" s="666"/>
      <c r="E211" s="21">
        <f t="shared" si="29"/>
        <v>1</v>
      </c>
      <c r="F211" s="666"/>
      <c r="G211" s="21">
        <f t="shared" si="30"/>
        <v>1</v>
      </c>
      <c r="H211" s="666"/>
      <c r="I211" s="21">
        <f t="shared" si="31"/>
        <v>1</v>
      </c>
      <c r="J211" s="666"/>
      <c r="K211" s="21">
        <f t="shared" si="32"/>
        <v>1</v>
      </c>
      <c r="L211" s="666"/>
      <c r="M211" s="21">
        <f t="shared" si="33"/>
        <v>1</v>
      </c>
      <c r="N211" s="666"/>
      <c r="O211" s="21">
        <f t="shared" si="34"/>
        <v>1</v>
      </c>
      <c r="P211" s="666"/>
      <c r="Q211" s="21">
        <f t="shared" si="35"/>
        <v>1</v>
      </c>
      <c r="R211" s="662">
        <f t="shared" si="36"/>
        <v>0</v>
      </c>
      <c r="S211" s="315">
        <f t="shared" si="37"/>
        <v>0</v>
      </c>
    </row>
    <row r="212" spans="1:19">
      <c r="A212" s="149"/>
      <c r="B212" s="54"/>
      <c r="C212" s="21">
        <f t="shared" si="28"/>
        <v>1</v>
      </c>
      <c r="D212" s="666"/>
      <c r="E212" s="21">
        <f t="shared" si="29"/>
        <v>1</v>
      </c>
      <c r="F212" s="666"/>
      <c r="G212" s="21">
        <f t="shared" si="30"/>
        <v>1</v>
      </c>
      <c r="H212" s="666"/>
      <c r="I212" s="21">
        <f t="shared" si="31"/>
        <v>1</v>
      </c>
      <c r="J212" s="666"/>
      <c r="K212" s="21">
        <f t="shared" si="32"/>
        <v>1</v>
      </c>
      <c r="L212" s="666"/>
      <c r="M212" s="21">
        <f t="shared" si="33"/>
        <v>1</v>
      </c>
      <c r="N212" s="666"/>
      <c r="O212" s="21">
        <f t="shared" si="34"/>
        <v>1</v>
      </c>
      <c r="P212" s="666"/>
      <c r="Q212" s="21">
        <f t="shared" si="35"/>
        <v>1</v>
      </c>
      <c r="R212" s="662">
        <f t="shared" si="36"/>
        <v>0</v>
      </c>
      <c r="S212" s="315">
        <f t="shared" si="37"/>
        <v>0</v>
      </c>
    </row>
    <row r="213" spans="1:19">
      <c r="A213" s="149"/>
      <c r="B213" s="54"/>
      <c r="C213" s="21">
        <f t="shared" si="28"/>
        <v>1</v>
      </c>
      <c r="D213" s="666"/>
      <c r="E213" s="21">
        <f t="shared" si="29"/>
        <v>1</v>
      </c>
      <c r="F213" s="666"/>
      <c r="G213" s="21">
        <f t="shared" si="30"/>
        <v>1</v>
      </c>
      <c r="H213" s="666"/>
      <c r="I213" s="21">
        <f t="shared" si="31"/>
        <v>1</v>
      </c>
      <c r="J213" s="666"/>
      <c r="K213" s="21">
        <f t="shared" si="32"/>
        <v>1</v>
      </c>
      <c r="L213" s="666"/>
      <c r="M213" s="21">
        <f t="shared" si="33"/>
        <v>1</v>
      </c>
      <c r="N213" s="666"/>
      <c r="O213" s="21">
        <f t="shared" si="34"/>
        <v>1</v>
      </c>
      <c r="P213" s="666"/>
      <c r="Q213" s="21">
        <f t="shared" si="35"/>
        <v>1</v>
      </c>
      <c r="R213" s="662">
        <f t="shared" si="36"/>
        <v>0</v>
      </c>
      <c r="S213" s="315">
        <f t="shared" si="37"/>
        <v>0</v>
      </c>
    </row>
    <row r="214" spans="1:19">
      <c r="A214" s="149"/>
      <c r="B214" s="54"/>
      <c r="C214" s="21">
        <f t="shared" si="28"/>
        <v>1</v>
      </c>
      <c r="D214" s="666"/>
      <c r="E214" s="21">
        <f t="shared" si="29"/>
        <v>1</v>
      </c>
      <c r="F214" s="666"/>
      <c r="G214" s="21">
        <f t="shared" si="30"/>
        <v>1</v>
      </c>
      <c r="H214" s="666"/>
      <c r="I214" s="21">
        <f t="shared" si="31"/>
        <v>1</v>
      </c>
      <c r="J214" s="666"/>
      <c r="K214" s="21">
        <f t="shared" si="32"/>
        <v>1</v>
      </c>
      <c r="L214" s="666"/>
      <c r="M214" s="21">
        <f t="shared" si="33"/>
        <v>1</v>
      </c>
      <c r="N214" s="666"/>
      <c r="O214" s="21">
        <f t="shared" si="34"/>
        <v>1</v>
      </c>
      <c r="P214" s="666"/>
      <c r="Q214" s="21">
        <f t="shared" si="35"/>
        <v>1</v>
      </c>
      <c r="R214" s="662">
        <f t="shared" si="36"/>
        <v>0</v>
      </c>
      <c r="S214" s="315">
        <f t="shared" si="37"/>
        <v>0</v>
      </c>
    </row>
    <row r="215" spans="1:19">
      <c r="A215" s="149"/>
      <c r="B215" s="54"/>
      <c r="C215" s="21">
        <f t="shared" si="28"/>
        <v>1</v>
      </c>
      <c r="D215" s="666"/>
      <c r="E215" s="21">
        <f t="shared" si="29"/>
        <v>1</v>
      </c>
      <c r="F215" s="666"/>
      <c r="G215" s="21">
        <f t="shared" si="30"/>
        <v>1</v>
      </c>
      <c r="H215" s="666"/>
      <c r="I215" s="21">
        <f t="shared" si="31"/>
        <v>1</v>
      </c>
      <c r="J215" s="666"/>
      <c r="K215" s="21">
        <f t="shared" si="32"/>
        <v>1</v>
      </c>
      <c r="L215" s="666"/>
      <c r="M215" s="21">
        <f t="shared" si="33"/>
        <v>1</v>
      </c>
      <c r="N215" s="666"/>
      <c r="O215" s="21">
        <f t="shared" si="34"/>
        <v>1</v>
      </c>
      <c r="P215" s="666"/>
      <c r="Q215" s="21">
        <f t="shared" si="35"/>
        <v>1</v>
      </c>
      <c r="R215" s="662">
        <f t="shared" si="36"/>
        <v>0</v>
      </c>
      <c r="S215" s="315">
        <f t="shared" si="37"/>
        <v>0</v>
      </c>
    </row>
    <row r="216" spans="1:19">
      <c r="A216" s="149"/>
      <c r="B216" s="54"/>
      <c r="C216" s="21">
        <f t="shared" si="28"/>
        <v>1</v>
      </c>
      <c r="D216" s="666"/>
      <c r="E216" s="21">
        <f t="shared" si="29"/>
        <v>1</v>
      </c>
      <c r="F216" s="666"/>
      <c r="G216" s="21">
        <f t="shared" si="30"/>
        <v>1</v>
      </c>
      <c r="H216" s="666"/>
      <c r="I216" s="21">
        <f t="shared" si="31"/>
        <v>1</v>
      </c>
      <c r="J216" s="666"/>
      <c r="K216" s="21">
        <f t="shared" si="32"/>
        <v>1</v>
      </c>
      <c r="L216" s="666"/>
      <c r="M216" s="21">
        <f t="shared" si="33"/>
        <v>1</v>
      </c>
      <c r="N216" s="666"/>
      <c r="O216" s="21">
        <f t="shared" si="34"/>
        <v>1</v>
      </c>
      <c r="P216" s="666"/>
      <c r="Q216" s="21">
        <f t="shared" si="35"/>
        <v>1</v>
      </c>
      <c r="R216" s="662">
        <f t="shared" si="36"/>
        <v>0</v>
      </c>
      <c r="S216" s="315">
        <f t="shared" si="37"/>
        <v>0</v>
      </c>
    </row>
    <row r="217" spans="1:19">
      <c r="A217" s="149"/>
      <c r="B217" s="54"/>
      <c r="C217" s="21">
        <f t="shared" si="28"/>
        <v>1</v>
      </c>
      <c r="D217" s="666"/>
      <c r="E217" s="21">
        <f t="shared" si="29"/>
        <v>1</v>
      </c>
      <c r="F217" s="666"/>
      <c r="G217" s="21">
        <f t="shared" si="30"/>
        <v>1</v>
      </c>
      <c r="H217" s="666"/>
      <c r="I217" s="21">
        <f t="shared" si="31"/>
        <v>1</v>
      </c>
      <c r="J217" s="666"/>
      <c r="K217" s="21">
        <f t="shared" si="32"/>
        <v>1</v>
      </c>
      <c r="L217" s="666"/>
      <c r="M217" s="21">
        <f t="shared" si="33"/>
        <v>1</v>
      </c>
      <c r="N217" s="666"/>
      <c r="O217" s="21">
        <f t="shared" si="34"/>
        <v>1</v>
      </c>
      <c r="P217" s="666"/>
      <c r="Q217" s="21">
        <f t="shared" si="35"/>
        <v>1</v>
      </c>
      <c r="R217" s="662">
        <f t="shared" si="36"/>
        <v>0</v>
      </c>
      <c r="S217" s="315">
        <f t="shared" si="37"/>
        <v>0</v>
      </c>
    </row>
    <row r="218" spans="1:19">
      <c r="A218" s="149"/>
      <c r="B218" s="54"/>
      <c r="C218" s="21">
        <f t="shared" ref="C218:C281" si="38">IF(B218="",1,(LOOKUP(B218,$3:$3,$4:$4)-LOOKUP($B$24,$3:$3,$4:$4)+100)/100)</f>
        <v>1</v>
      </c>
      <c r="D218" s="666"/>
      <c r="E218" s="21">
        <f t="shared" ref="E218:E281" si="39">(SUMIF($5:$5,D218,$6:$6)-SUMIF($5:$5,$D$24,$6:$6)+100)/100</f>
        <v>1</v>
      </c>
      <c r="F218" s="666"/>
      <c r="G218" s="21">
        <f t="shared" ref="G218:G281" si="40">(SUMIF($7:$7,F218,$8:$8)-SUMIF($7:$7,$F$24,$8:$8)+100)/100</f>
        <v>1</v>
      </c>
      <c r="H218" s="666"/>
      <c r="I218" s="21">
        <f t="shared" ref="I218:I281" si="41">(SUMIF($9:$9,H218,$10:$10)-SUMIF($9:$9,$H$24,$10:$10)+100)/100</f>
        <v>1</v>
      </c>
      <c r="J218" s="666"/>
      <c r="K218" s="21">
        <f t="shared" ref="K218:K281" si="42">(SUMIF($11:$11,J218,$12:$12)-SUMIF($11:$11,$J$24,$12:$12)+100)/100</f>
        <v>1</v>
      </c>
      <c r="L218" s="666"/>
      <c r="M218" s="21">
        <f t="shared" ref="M218:M281" si="43">(SUMIF($13:$13,L218,$14:$14)-SUMIF($13:$13,$L$24,$14:$14)+100)/100</f>
        <v>1</v>
      </c>
      <c r="N218" s="666"/>
      <c r="O218" s="21">
        <f t="shared" ref="O218:O281" si="44">(SUMIF($15:$15,N218,$16:$16)-SUMIF($15:$15,$N$24,$16:$16)+100)/100</f>
        <v>1</v>
      </c>
      <c r="P218" s="666"/>
      <c r="Q218" s="21">
        <f t="shared" ref="Q218:Q281" si="45">(SUMIF($17:$17,P218,$18:$18)-SUMIF($17:$17,$P$24,$18:$18)+100)/100</f>
        <v>1</v>
      </c>
      <c r="R218" s="662">
        <f t="shared" ref="R218:R281" si="46">IF(B218="",0,ROUND($R$24*C218*E218*G218*I218*K218*M218*O218*Q218,0))</f>
        <v>0</v>
      </c>
      <c r="S218" s="315">
        <f t="shared" si="37"/>
        <v>0</v>
      </c>
    </row>
    <row r="219" spans="1:19">
      <c r="A219" s="149"/>
      <c r="B219" s="54"/>
      <c r="C219" s="21">
        <f t="shared" si="38"/>
        <v>1</v>
      </c>
      <c r="D219" s="666"/>
      <c r="E219" s="21">
        <f t="shared" si="39"/>
        <v>1</v>
      </c>
      <c r="F219" s="666"/>
      <c r="G219" s="21">
        <f t="shared" si="40"/>
        <v>1</v>
      </c>
      <c r="H219" s="666"/>
      <c r="I219" s="21">
        <f t="shared" si="41"/>
        <v>1</v>
      </c>
      <c r="J219" s="666"/>
      <c r="K219" s="21">
        <f t="shared" si="42"/>
        <v>1</v>
      </c>
      <c r="L219" s="666"/>
      <c r="M219" s="21">
        <f t="shared" si="43"/>
        <v>1</v>
      </c>
      <c r="N219" s="666"/>
      <c r="O219" s="21">
        <f t="shared" si="44"/>
        <v>1</v>
      </c>
      <c r="P219" s="666"/>
      <c r="Q219" s="21">
        <f t="shared" si="45"/>
        <v>1</v>
      </c>
      <c r="R219" s="662">
        <f t="shared" si="46"/>
        <v>0</v>
      </c>
      <c r="S219" s="315">
        <f t="shared" si="37"/>
        <v>0</v>
      </c>
    </row>
    <row r="220" spans="1:19">
      <c r="A220" s="149"/>
      <c r="B220" s="54"/>
      <c r="C220" s="21">
        <f t="shared" si="38"/>
        <v>1</v>
      </c>
      <c r="D220" s="666"/>
      <c r="E220" s="21">
        <f t="shared" si="39"/>
        <v>1</v>
      </c>
      <c r="F220" s="666"/>
      <c r="G220" s="21">
        <f t="shared" si="40"/>
        <v>1</v>
      </c>
      <c r="H220" s="666"/>
      <c r="I220" s="21">
        <f t="shared" si="41"/>
        <v>1</v>
      </c>
      <c r="J220" s="666"/>
      <c r="K220" s="21">
        <f t="shared" si="42"/>
        <v>1</v>
      </c>
      <c r="L220" s="666"/>
      <c r="M220" s="21">
        <f t="shared" si="43"/>
        <v>1</v>
      </c>
      <c r="N220" s="666"/>
      <c r="O220" s="21">
        <f t="shared" si="44"/>
        <v>1</v>
      </c>
      <c r="P220" s="666"/>
      <c r="Q220" s="21">
        <f t="shared" si="45"/>
        <v>1</v>
      </c>
      <c r="R220" s="662">
        <f t="shared" si="46"/>
        <v>0</v>
      </c>
      <c r="S220" s="315">
        <f t="shared" si="37"/>
        <v>0</v>
      </c>
    </row>
    <row r="221" spans="1:19">
      <c r="A221" s="149"/>
      <c r="B221" s="54"/>
      <c r="C221" s="21">
        <f t="shared" si="38"/>
        <v>1</v>
      </c>
      <c r="D221" s="666"/>
      <c r="E221" s="21">
        <f t="shared" si="39"/>
        <v>1</v>
      </c>
      <c r="F221" s="666"/>
      <c r="G221" s="21">
        <f t="shared" si="40"/>
        <v>1</v>
      </c>
      <c r="H221" s="666"/>
      <c r="I221" s="21">
        <f t="shared" si="41"/>
        <v>1</v>
      </c>
      <c r="J221" s="666"/>
      <c r="K221" s="21">
        <f t="shared" si="42"/>
        <v>1</v>
      </c>
      <c r="L221" s="666"/>
      <c r="M221" s="21">
        <f t="shared" si="43"/>
        <v>1</v>
      </c>
      <c r="N221" s="666"/>
      <c r="O221" s="21">
        <f t="shared" si="44"/>
        <v>1</v>
      </c>
      <c r="P221" s="666"/>
      <c r="Q221" s="21">
        <f t="shared" si="45"/>
        <v>1</v>
      </c>
      <c r="R221" s="662">
        <f t="shared" si="46"/>
        <v>0</v>
      </c>
      <c r="S221" s="315">
        <f t="shared" si="37"/>
        <v>0</v>
      </c>
    </row>
    <row r="222" spans="1:19">
      <c r="A222" s="149"/>
      <c r="B222" s="54"/>
      <c r="C222" s="21">
        <f t="shared" si="38"/>
        <v>1</v>
      </c>
      <c r="D222" s="666"/>
      <c r="E222" s="21">
        <f t="shared" si="39"/>
        <v>1</v>
      </c>
      <c r="F222" s="666"/>
      <c r="G222" s="21">
        <f t="shared" si="40"/>
        <v>1</v>
      </c>
      <c r="H222" s="666"/>
      <c r="I222" s="21">
        <f t="shared" si="41"/>
        <v>1</v>
      </c>
      <c r="J222" s="666"/>
      <c r="K222" s="21">
        <f t="shared" si="42"/>
        <v>1</v>
      </c>
      <c r="L222" s="666"/>
      <c r="M222" s="21">
        <f t="shared" si="43"/>
        <v>1</v>
      </c>
      <c r="N222" s="666"/>
      <c r="O222" s="21">
        <f t="shared" si="44"/>
        <v>1</v>
      </c>
      <c r="P222" s="666"/>
      <c r="Q222" s="21">
        <f t="shared" si="45"/>
        <v>1</v>
      </c>
      <c r="R222" s="662">
        <f t="shared" si="46"/>
        <v>0</v>
      </c>
      <c r="S222" s="315">
        <f t="shared" si="37"/>
        <v>0</v>
      </c>
    </row>
    <row r="223" spans="1:19">
      <c r="A223" s="149"/>
      <c r="B223" s="54"/>
      <c r="C223" s="21">
        <f t="shared" si="38"/>
        <v>1</v>
      </c>
      <c r="D223" s="666"/>
      <c r="E223" s="21">
        <f t="shared" si="39"/>
        <v>1</v>
      </c>
      <c r="F223" s="666"/>
      <c r="G223" s="21">
        <f t="shared" si="40"/>
        <v>1</v>
      </c>
      <c r="H223" s="666"/>
      <c r="I223" s="21">
        <f t="shared" si="41"/>
        <v>1</v>
      </c>
      <c r="J223" s="666"/>
      <c r="K223" s="21">
        <f t="shared" si="42"/>
        <v>1</v>
      </c>
      <c r="L223" s="666"/>
      <c r="M223" s="21">
        <f t="shared" si="43"/>
        <v>1</v>
      </c>
      <c r="N223" s="666"/>
      <c r="O223" s="21">
        <f t="shared" si="44"/>
        <v>1</v>
      </c>
      <c r="P223" s="666"/>
      <c r="Q223" s="21">
        <f t="shared" si="45"/>
        <v>1</v>
      </c>
      <c r="R223" s="662">
        <f t="shared" si="46"/>
        <v>0</v>
      </c>
      <c r="S223" s="315">
        <f t="shared" ref="S223:S286" si="47">ROUND(R223*B223/10000,0)</f>
        <v>0</v>
      </c>
    </row>
    <row r="224" spans="1:19">
      <c r="A224" s="149"/>
      <c r="B224" s="54"/>
      <c r="C224" s="21">
        <f t="shared" si="38"/>
        <v>1</v>
      </c>
      <c r="D224" s="666"/>
      <c r="E224" s="21">
        <f t="shared" si="39"/>
        <v>1</v>
      </c>
      <c r="F224" s="666"/>
      <c r="G224" s="21">
        <f t="shared" si="40"/>
        <v>1</v>
      </c>
      <c r="H224" s="666"/>
      <c r="I224" s="21">
        <f t="shared" si="41"/>
        <v>1</v>
      </c>
      <c r="J224" s="666"/>
      <c r="K224" s="21">
        <f t="shared" si="42"/>
        <v>1</v>
      </c>
      <c r="L224" s="666"/>
      <c r="M224" s="21">
        <f t="shared" si="43"/>
        <v>1</v>
      </c>
      <c r="N224" s="666"/>
      <c r="O224" s="21">
        <f t="shared" si="44"/>
        <v>1</v>
      </c>
      <c r="P224" s="666"/>
      <c r="Q224" s="21">
        <f t="shared" si="45"/>
        <v>1</v>
      </c>
      <c r="R224" s="662">
        <f t="shared" si="46"/>
        <v>0</v>
      </c>
      <c r="S224" s="315">
        <f t="shared" si="47"/>
        <v>0</v>
      </c>
    </row>
    <row r="225" spans="1:19">
      <c r="A225" s="149"/>
      <c r="B225" s="54"/>
      <c r="C225" s="21">
        <f t="shared" si="38"/>
        <v>1</v>
      </c>
      <c r="D225" s="666"/>
      <c r="E225" s="21">
        <f t="shared" si="39"/>
        <v>1</v>
      </c>
      <c r="F225" s="666"/>
      <c r="G225" s="21">
        <f t="shared" si="40"/>
        <v>1</v>
      </c>
      <c r="H225" s="666"/>
      <c r="I225" s="21">
        <f t="shared" si="41"/>
        <v>1</v>
      </c>
      <c r="J225" s="666"/>
      <c r="K225" s="21">
        <f t="shared" si="42"/>
        <v>1</v>
      </c>
      <c r="L225" s="666"/>
      <c r="M225" s="21">
        <f t="shared" si="43"/>
        <v>1</v>
      </c>
      <c r="N225" s="666"/>
      <c r="O225" s="21">
        <f t="shared" si="44"/>
        <v>1</v>
      </c>
      <c r="P225" s="666"/>
      <c r="Q225" s="21">
        <f t="shared" si="45"/>
        <v>1</v>
      </c>
      <c r="R225" s="662">
        <f t="shared" si="46"/>
        <v>0</v>
      </c>
      <c r="S225" s="315">
        <f t="shared" si="47"/>
        <v>0</v>
      </c>
    </row>
    <row r="226" spans="1:19">
      <c r="A226" s="149"/>
      <c r="B226" s="54"/>
      <c r="C226" s="21">
        <f t="shared" si="38"/>
        <v>1</v>
      </c>
      <c r="D226" s="666"/>
      <c r="E226" s="21">
        <f t="shared" si="39"/>
        <v>1</v>
      </c>
      <c r="F226" s="666"/>
      <c r="G226" s="21">
        <f t="shared" si="40"/>
        <v>1</v>
      </c>
      <c r="H226" s="666"/>
      <c r="I226" s="21">
        <f t="shared" si="41"/>
        <v>1</v>
      </c>
      <c r="J226" s="666"/>
      <c r="K226" s="21">
        <f t="shared" si="42"/>
        <v>1</v>
      </c>
      <c r="L226" s="666"/>
      <c r="M226" s="21">
        <f t="shared" si="43"/>
        <v>1</v>
      </c>
      <c r="N226" s="666"/>
      <c r="O226" s="21">
        <f t="shared" si="44"/>
        <v>1</v>
      </c>
      <c r="P226" s="666"/>
      <c r="Q226" s="21">
        <f t="shared" si="45"/>
        <v>1</v>
      </c>
      <c r="R226" s="662">
        <f t="shared" si="46"/>
        <v>0</v>
      </c>
      <c r="S226" s="315">
        <f t="shared" si="47"/>
        <v>0</v>
      </c>
    </row>
    <row r="227" spans="1:19">
      <c r="A227" s="149"/>
      <c r="B227" s="54"/>
      <c r="C227" s="21">
        <f t="shared" si="38"/>
        <v>1</v>
      </c>
      <c r="D227" s="666"/>
      <c r="E227" s="21">
        <f t="shared" si="39"/>
        <v>1</v>
      </c>
      <c r="F227" s="666"/>
      <c r="G227" s="21">
        <f t="shared" si="40"/>
        <v>1</v>
      </c>
      <c r="H227" s="666"/>
      <c r="I227" s="21">
        <f t="shared" si="41"/>
        <v>1</v>
      </c>
      <c r="J227" s="666"/>
      <c r="K227" s="21">
        <f t="shared" si="42"/>
        <v>1</v>
      </c>
      <c r="L227" s="666"/>
      <c r="M227" s="21">
        <f t="shared" si="43"/>
        <v>1</v>
      </c>
      <c r="N227" s="666"/>
      <c r="O227" s="21">
        <f t="shared" si="44"/>
        <v>1</v>
      </c>
      <c r="P227" s="666"/>
      <c r="Q227" s="21">
        <f t="shared" si="45"/>
        <v>1</v>
      </c>
      <c r="R227" s="662">
        <f t="shared" si="46"/>
        <v>0</v>
      </c>
      <c r="S227" s="315">
        <f t="shared" si="47"/>
        <v>0</v>
      </c>
    </row>
    <row r="228" spans="1:19">
      <c r="A228" s="149"/>
      <c r="B228" s="54"/>
      <c r="C228" s="21">
        <f t="shared" si="38"/>
        <v>1</v>
      </c>
      <c r="D228" s="666"/>
      <c r="E228" s="21">
        <f t="shared" si="39"/>
        <v>1</v>
      </c>
      <c r="F228" s="666"/>
      <c r="G228" s="21">
        <f t="shared" si="40"/>
        <v>1</v>
      </c>
      <c r="H228" s="666"/>
      <c r="I228" s="21">
        <f t="shared" si="41"/>
        <v>1</v>
      </c>
      <c r="J228" s="666"/>
      <c r="K228" s="21">
        <f t="shared" si="42"/>
        <v>1</v>
      </c>
      <c r="L228" s="666"/>
      <c r="M228" s="21">
        <f t="shared" si="43"/>
        <v>1</v>
      </c>
      <c r="N228" s="666"/>
      <c r="O228" s="21">
        <f t="shared" si="44"/>
        <v>1</v>
      </c>
      <c r="P228" s="666"/>
      <c r="Q228" s="21">
        <f t="shared" si="45"/>
        <v>1</v>
      </c>
      <c r="R228" s="662">
        <f t="shared" si="46"/>
        <v>0</v>
      </c>
      <c r="S228" s="315">
        <f t="shared" si="47"/>
        <v>0</v>
      </c>
    </row>
    <row r="229" spans="1:19">
      <c r="A229" s="149"/>
      <c r="B229" s="54"/>
      <c r="C229" s="21">
        <f t="shared" si="38"/>
        <v>1</v>
      </c>
      <c r="D229" s="666"/>
      <c r="E229" s="21">
        <f t="shared" si="39"/>
        <v>1</v>
      </c>
      <c r="F229" s="666"/>
      <c r="G229" s="21">
        <f t="shared" si="40"/>
        <v>1</v>
      </c>
      <c r="H229" s="666"/>
      <c r="I229" s="21">
        <f t="shared" si="41"/>
        <v>1</v>
      </c>
      <c r="J229" s="666"/>
      <c r="K229" s="21">
        <f t="shared" si="42"/>
        <v>1</v>
      </c>
      <c r="L229" s="666"/>
      <c r="M229" s="21">
        <f t="shared" si="43"/>
        <v>1</v>
      </c>
      <c r="N229" s="666"/>
      <c r="O229" s="21">
        <f t="shared" si="44"/>
        <v>1</v>
      </c>
      <c r="P229" s="666"/>
      <c r="Q229" s="21">
        <f t="shared" si="45"/>
        <v>1</v>
      </c>
      <c r="R229" s="662">
        <f t="shared" si="46"/>
        <v>0</v>
      </c>
      <c r="S229" s="315">
        <f t="shared" si="47"/>
        <v>0</v>
      </c>
    </row>
    <row r="230" spans="1:19">
      <c r="A230" s="149"/>
      <c r="B230" s="54"/>
      <c r="C230" s="21">
        <f t="shared" si="38"/>
        <v>1</v>
      </c>
      <c r="D230" s="666"/>
      <c r="E230" s="21">
        <f t="shared" si="39"/>
        <v>1</v>
      </c>
      <c r="F230" s="666"/>
      <c r="G230" s="21">
        <f t="shared" si="40"/>
        <v>1</v>
      </c>
      <c r="H230" s="666"/>
      <c r="I230" s="21">
        <f t="shared" si="41"/>
        <v>1</v>
      </c>
      <c r="J230" s="666"/>
      <c r="K230" s="21">
        <f t="shared" si="42"/>
        <v>1</v>
      </c>
      <c r="L230" s="666"/>
      <c r="M230" s="21">
        <f t="shared" si="43"/>
        <v>1</v>
      </c>
      <c r="N230" s="666"/>
      <c r="O230" s="21">
        <f t="shared" si="44"/>
        <v>1</v>
      </c>
      <c r="P230" s="666"/>
      <c r="Q230" s="21">
        <f t="shared" si="45"/>
        <v>1</v>
      </c>
      <c r="R230" s="662">
        <f t="shared" si="46"/>
        <v>0</v>
      </c>
      <c r="S230" s="315">
        <f t="shared" si="47"/>
        <v>0</v>
      </c>
    </row>
    <row r="231" spans="1:19">
      <c r="A231" s="149"/>
      <c r="B231" s="54"/>
      <c r="C231" s="21">
        <f t="shared" si="38"/>
        <v>1</v>
      </c>
      <c r="D231" s="666"/>
      <c r="E231" s="21">
        <f t="shared" si="39"/>
        <v>1</v>
      </c>
      <c r="F231" s="666"/>
      <c r="G231" s="21">
        <f t="shared" si="40"/>
        <v>1</v>
      </c>
      <c r="H231" s="666"/>
      <c r="I231" s="21">
        <f t="shared" si="41"/>
        <v>1</v>
      </c>
      <c r="J231" s="666"/>
      <c r="K231" s="21">
        <f t="shared" si="42"/>
        <v>1</v>
      </c>
      <c r="L231" s="666"/>
      <c r="M231" s="21">
        <f t="shared" si="43"/>
        <v>1</v>
      </c>
      <c r="N231" s="666"/>
      <c r="O231" s="21">
        <f t="shared" si="44"/>
        <v>1</v>
      </c>
      <c r="P231" s="666"/>
      <c r="Q231" s="21">
        <f t="shared" si="45"/>
        <v>1</v>
      </c>
      <c r="R231" s="662">
        <f t="shared" si="46"/>
        <v>0</v>
      </c>
      <c r="S231" s="315">
        <f t="shared" si="47"/>
        <v>0</v>
      </c>
    </row>
    <row r="232" spans="1:19">
      <c r="A232" s="149"/>
      <c r="B232" s="54"/>
      <c r="C232" s="21">
        <f t="shared" si="38"/>
        <v>1</v>
      </c>
      <c r="D232" s="666"/>
      <c r="E232" s="21">
        <f t="shared" si="39"/>
        <v>1</v>
      </c>
      <c r="F232" s="666"/>
      <c r="G232" s="21">
        <f t="shared" si="40"/>
        <v>1</v>
      </c>
      <c r="H232" s="666"/>
      <c r="I232" s="21">
        <f t="shared" si="41"/>
        <v>1</v>
      </c>
      <c r="J232" s="666"/>
      <c r="K232" s="21">
        <f t="shared" si="42"/>
        <v>1</v>
      </c>
      <c r="L232" s="666"/>
      <c r="M232" s="21">
        <f t="shared" si="43"/>
        <v>1</v>
      </c>
      <c r="N232" s="666"/>
      <c r="O232" s="21">
        <f t="shared" si="44"/>
        <v>1</v>
      </c>
      <c r="P232" s="666"/>
      <c r="Q232" s="21">
        <f t="shared" si="45"/>
        <v>1</v>
      </c>
      <c r="R232" s="662">
        <f t="shared" si="46"/>
        <v>0</v>
      </c>
      <c r="S232" s="315">
        <f t="shared" si="47"/>
        <v>0</v>
      </c>
    </row>
    <row r="233" spans="1:19">
      <c r="A233" s="149"/>
      <c r="B233" s="54"/>
      <c r="C233" s="21">
        <f t="shared" si="38"/>
        <v>1</v>
      </c>
      <c r="D233" s="666"/>
      <c r="E233" s="21">
        <f t="shared" si="39"/>
        <v>1</v>
      </c>
      <c r="F233" s="666"/>
      <c r="G233" s="21">
        <f t="shared" si="40"/>
        <v>1</v>
      </c>
      <c r="H233" s="666"/>
      <c r="I233" s="21">
        <f t="shared" si="41"/>
        <v>1</v>
      </c>
      <c r="J233" s="666"/>
      <c r="K233" s="21">
        <f t="shared" si="42"/>
        <v>1</v>
      </c>
      <c r="L233" s="666"/>
      <c r="M233" s="21">
        <f t="shared" si="43"/>
        <v>1</v>
      </c>
      <c r="N233" s="666"/>
      <c r="O233" s="21">
        <f t="shared" si="44"/>
        <v>1</v>
      </c>
      <c r="P233" s="666"/>
      <c r="Q233" s="21">
        <f t="shared" si="45"/>
        <v>1</v>
      </c>
      <c r="R233" s="662">
        <f t="shared" si="46"/>
        <v>0</v>
      </c>
      <c r="S233" s="315">
        <f t="shared" si="47"/>
        <v>0</v>
      </c>
    </row>
    <row r="234" spans="1:19">
      <c r="A234" s="149"/>
      <c r="B234" s="54"/>
      <c r="C234" s="21">
        <f t="shared" si="38"/>
        <v>1</v>
      </c>
      <c r="D234" s="666"/>
      <c r="E234" s="21">
        <f t="shared" si="39"/>
        <v>1</v>
      </c>
      <c r="F234" s="666"/>
      <c r="G234" s="21">
        <f t="shared" si="40"/>
        <v>1</v>
      </c>
      <c r="H234" s="666"/>
      <c r="I234" s="21">
        <f t="shared" si="41"/>
        <v>1</v>
      </c>
      <c r="J234" s="666"/>
      <c r="K234" s="21">
        <f t="shared" si="42"/>
        <v>1</v>
      </c>
      <c r="L234" s="666"/>
      <c r="M234" s="21">
        <f t="shared" si="43"/>
        <v>1</v>
      </c>
      <c r="N234" s="666"/>
      <c r="O234" s="21">
        <f t="shared" si="44"/>
        <v>1</v>
      </c>
      <c r="P234" s="666"/>
      <c r="Q234" s="21">
        <f t="shared" si="45"/>
        <v>1</v>
      </c>
      <c r="R234" s="662">
        <f t="shared" si="46"/>
        <v>0</v>
      </c>
      <c r="S234" s="315">
        <f t="shared" si="47"/>
        <v>0</v>
      </c>
    </row>
    <row r="235" spans="1:19">
      <c r="A235" s="149"/>
      <c r="B235" s="54"/>
      <c r="C235" s="21">
        <f t="shared" si="38"/>
        <v>1</v>
      </c>
      <c r="D235" s="666"/>
      <c r="E235" s="21">
        <f t="shared" si="39"/>
        <v>1</v>
      </c>
      <c r="F235" s="666"/>
      <c r="G235" s="21">
        <f t="shared" si="40"/>
        <v>1</v>
      </c>
      <c r="H235" s="666"/>
      <c r="I235" s="21">
        <f t="shared" si="41"/>
        <v>1</v>
      </c>
      <c r="J235" s="666"/>
      <c r="K235" s="21">
        <f t="shared" si="42"/>
        <v>1</v>
      </c>
      <c r="L235" s="666"/>
      <c r="M235" s="21">
        <f t="shared" si="43"/>
        <v>1</v>
      </c>
      <c r="N235" s="666"/>
      <c r="O235" s="21">
        <f t="shared" si="44"/>
        <v>1</v>
      </c>
      <c r="P235" s="666"/>
      <c r="Q235" s="21">
        <f t="shared" si="45"/>
        <v>1</v>
      </c>
      <c r="R235" s="662">
        <f t="shared" si="46"/>
        <v>0</v>
      </c>
      <c r="S235" s="315">
        <f t="shared" si="47"/>
        <v>0</v>
      </c>
    </row>
    <row r="236" spans="1:19">
      <c r="A236" s="149"/>
      <c r="B236" s="54"/>
      <c r="C236" s="21">
        <f t="shared" si="38"/>
        <v>1</v>
      </c>
      <c r="D236" s="666"/>
      <c r="E236" s="21">
        <f t="shared" si="39"/>
        <v>1</v>
      </c>
      <c r="F236" s="666"/>
      <c r="G236" s="21">
        <f t="shared" si="40"/>
        <v>1</v>
      </c>
      <c r="H236" s="666"/>
      <c r="I236" s="21">
        <f t="shared" si="41"/>
        <v>1</v>
      </c>
      <c r="J236" s="666"/>
      <c r="K236" s="21">
        <f t="shared" si="42"/>
        <v>1</v>
      </c>
      <c r="L236" s="666"/>
      <c r="M236" s="21">
        <f t="shared" si="43"/>
        <v>1</v>
      </c>
      <c r="N236" s="666"/>
      <c r="O236" s="21">
        <f t="shared" si="44"/>
        <v>1</v>
      </c>
      <c r="P236" s="666"/>
      <c r="Q236" s="21">
        <f t="shared" si="45"/>
        <v>1</v>
      </c>
      <c r="R236" s="662">
        <f t="shared" si="46"/>
        <v>0</v>
      </c>
      <c r="S236" s="315">
        <f t="shared" si="47"/>
        <v>0</v>
      </c>
    </row>
    <row r="237" spans="1:19">
      <c r="A237" s="149"/>
      <c r="B237" s="54"/>
      <c r="C237" s="21">
        <f t="shared" si="38"/>
        <v>1</v>
      </c>
      <c r="D237" s="666"/>
      <c r="E237" s="21">
        <f t="shared" si="39"/>
        <v>1</v>
      </c>
      <c r="F237" s="666"/>
      <c r="G237" s="21">
        <f t="shared" si="40"/>
        <v>1</v>
      </c>
      <c r="H237" s="666"/>
      <c r="I237" s="21">
        <f t="shared" si="41"/>
        <v>1</v>
      </c>
      <c r="J237" s="666"/>
      <c r="K237" s="21">
        <f t="shared" si="42"/>
        <v>1</v>
      </c>
      <c r="L237" s="666"/>
      <c r="M237" s="21">
        <f t="shared" si="43"/>
        <v>1</v>
      </c>
      <c r="N237" s="666"/>
      <c r="O237" s="21">
        <f t="shared" si="44"/>
        <v>1</v>
      </c>
      <c r="P237" s="666"/>
      <c r="Q237" s="21">
        <f t="shared" si="45"/>
        <v>1</v>
      </c>
      <c r="R237" s="662">
        <f t="shared" si="46"/>
        <v>0</v>
      </c>
      <c r="S237" s="315">
        <f t="shared" si="47"/>
        <v>0</v>
      </c>
    </row>
    <row r="238" spans="1:19">
      <c r="A238" s="149"/>
      <c r="B238" s="54"/>
      <c r="C238" s="21">
        <f t="shared" si="38"/>
        <v>1</v>
      </c>
      <c r="D238" s="666"/>
      <c r="E238" s="21">
        <f t="shared" si="39"/>
        <v>1</v>
      </c>
      <c r="F238" s="666"/>
      <c r="G238" s="21">
        <f t="shared" si="40"/>
        <v>1</v>
      </c>
      <c r="H238" s="666"/>
      <c r="I238" s="21">
        <f t="shared" si="41"/>
        <v>1</v>
      </c>
      <c r="J238" s="666"/>
      <c r="K238" s="21">
        <f t="shared" si="42"/>
        <v>1</v>
      </c>
      <c r="L238" s="666"/>
      <c r="M238" s="21">
        <f t="shared" si="43"/>
        <v>1</v>
      </c>
      <c r="N238" s="666"/>
      <c r="O238" s="21">
        <f t="shared" si="44"/>
        <v>1</v>
      </c>
      <c r="P238" s="666"/>
      <c r="Q238" s="21">
        <f t="shared" si="45"/>
        <v>1</v>
      </c>
      <c r="R238" s="662">
        <f t="shared" si="46"/>
        <v>0</v>
      </c>
      <c r="S238" s="315">
        <f t="shared" si="47"/>
        <v>0</v>
      </c>
    </row>
    <row r="239" spans="1:19">
      <c r="A239" s="149"/>
      <c r="B239" s="54"/>
      <c r="C239" s="21">
        <f t="shared" si="38"/>
        <v>1</v>
      </c>
      <c r="D239" s="666"/>
      <c r="E239" s="21">
        <f t="shared" si="39"/>
        <v>1</v>
      </c>
      <c r="F239" s="666"/>
      <c r="G239" s="21">
        <f t="shared" si="40"/>
        <v>1</v>
      </c>
      <c r="H239" s="666"/>
      <c r="I239" s="21">
        <f t="shared" si="41"/>
        <v>1</v>
      </c>
      <c r="J239" s="666"/>
      <c r="K239" s="21">
        <f t="shared" si="42"/>
        <v>1</v>
      </c>
      <c r="L239" s="666"/>
      <c r="M239" s="21">
        <f t="shared" si="43"/>
        <v>1</v>
      </c>
      <c r="N239" s="666"/>
      <c r="O239" s="21">
        <f t="shared" si="44"/>
        <v>1</v>
      </c>
      <c r="P239" s="666"/>
      <c r="Q239" s="21">
        <f t="shared" si="45"/>
        <v>1</v>
      </c>
      <c r="R239" s="662">
        <f t="shared" si="46"/>
        <v>0</v>
      </c>
      <c r="S239" s="315">
        <f t="shared" si="47"/>
        <v>0</v>
      </c>
    </row>
    <row r="240" spans="1:19">
      <c r="A240" s="149"/>
      <c r="B240" s="54"/>
      <c r="C240" s="21">
        <f t="shared" si="38"/>
        <v>1</v>
      </c>
      <c r="D240" s="666"/>
      <c r="E240" s="21">
        <f t="shared" si="39"/>
        <v>1</v>
      </c>
      <c r="F240" s="666"/>
      <c r="G240" s="21">
        <f t="shared" si="40"/>
        <v>1</v>
      </c>
      <c r="H240" s="666"/>
      <c r="I240" s="21">
        <f t="shared" si="41"/>
        <v>1</v>
      </c>
      <c r="J240" s="666"/>
      <c r="K240" s="21">
        <f t="shared" si="42"/>
        <v>1</v>
      </c>
      <c r="L240" s="666"/>
      <c r="M240" s="21">
        <f t="shared" si="43"/>
        <v>1</v>
      </c>
      <c r="N240" s="666"/>
      <c r="O240" s="21">
        <f t="shared" si="44"/>
        <v>1</v>
      </c>
      <c r="P240" s="666"/>
      <c r="Q240" s="21">
        <f t="shared" si="45"/>
        <v>1</v>
      </c>
      <c r="R240" s="662">
        <f t="shared" si="46"/>
        <v>0</v>
      </c>
      <c r="S240" s="315">
        <f t="shared" si="47"/>
        <v>0</v>
      </c>
    </row>
    <row r="241" spans="1:19">
      <c r="A241" s="149"/>
      <c r="B241" s="54"/>
      <c r="C241" s="21">
        <f t="shared" si="38"/>
        <v>1</v>
      </c>
      <c r="D241" s="666"/>
      <c r="E241" s="21">
        <f t="shared" si="39"/>
        <v>1</v>
      </c>
      <c r="F241" s="666"/>
      <c r="G241" s="21">
        <f t="shared" si="40"/>
        <v>1</v>
      </c>
      <c r="H241" s="666"/>
      <c r="I241" s="21">
        <f t="shared" si="41"/>
        <v>1</v>
      </c>
      <c r="J241" s="666"/>
      <c r="K241" s="21">
        <f t="shared" si="42"/>
        <v>1</v>
      </c>
      <c r="L241" s="666"/>
      <c r="M241" s="21">
        <f t="shared" si="43"/>
        <v>1</v>
      </c>
      <c r="N241" s="666"/>
      <c r="O241" s="21">
        <f t="shared" si="44"/>
        <v>1</v>
      </c>
      <c r="P241" s="666"/>
      <c r="Q241" s="21">
        <f t="shared" si="45"/>
        <v>1</v>
      </c>
      <c r="R241" s="662">
        <f t="shared" si="46"/>
        <v>0</v>
      </c>
      <c r="S241" s="315">
        <f t="shared" si="47"/>
        <v>0</v>
      </c>
    </row>
    <row r="242" spans="1:19">
      <c r="A242" s="149"/>
      <c r="B242" s="54"/>
      <c r="C242" s="21">
        <f t="shared" si="38"/>
        <v>1</v>
      </c>
      <c r="D242" s="666"/>
      <c r="E242" s="21">
        <f t="shared" si="39"/>
        <v>1</v>
      </c>
      <c r="F242" s="666"/>
      <c r="G242" s="21">
        <f t="shared" si="40"/>
        <v>1</v>
      </c>
      <c r="H242" s="666"/>
      <c r="I242" s="21">
        <f t="shared" si="41"/>
        <v>1</v>
      </c>
      <c r="J242" s="666"/>
      <c r="K242" s="21">
        <f t="shared" si="42"/>
        <v>1</v>
      </c>
      <c r="L242" s="666"/>
      <c r="M242" s="21">
        <f t="shared" si="43"/>
        <v>1</v>
      </c>
      <c r="N242" s="666"/>
      <c r="O242" s="21">
        <f t="shared" si="44"/>
        <v>1</v>
      </c>
      <c r="P242" s="666"/>
      <c r="Q242" s="21">
        <f t="shared" si="45"/>
        <v>1</v>
      </c>
      <c r="R242" s="662">
        <f t="shared" si="46"/>
        <v>0</v>
      </c>
      <c r="S242" s="315">
        <f t="shared" si="47"/>
        <v>0</v>
      </c>
    </row>
    <row r="243" spans="1:19">
      <c r="A243" s="149"/>
      <c r="B243" s="54"/>
      <c r="C243" s="21">
        <f t="shared" si="38"/>
        <v>1</v>
      </c>
      <c r="D243" s="666"/>
      <c r="E243" s="21">
        <f t="shared" si="39"/>
        <v>1</v>
      </c>
      <c r="F243" s="666"/>
      <c r="G243" s="21">
        <f t="shared" si="40"/>
        <v>1</v>
      </c>
      <c r="H243" s="666"/>
      <c r="I243" s="21">
        <f t="shared" si="41"/>
        <v>1</v>
      </c>
      <c r="J243" s="666"/>
      <c r="K243" s="21">
        <f t="shared" si="42"/>
        <v>1</v>
      </c>
      <c r="L243" s="666"/>
      <c r="M243" s="21">
        <f t="shared" si="43"/>
        <v>1</v>
      </c>
      <c r="N243" s="666"/>
      <c r="O243" s="21">
        <f t="shared" si="44"/>
        <v>1</v>
      </c>
      <c r="P243" s="666"/>
      <c r="Q243" s="21">
        <f t="shared" si="45"/>
        <v>1</v>
      </c>
      <c r="R243" s="662">
        <f t="shared" si="46"/>
        <v>0</v>
      </c>
      <c r="S243" s="315">
        <f t="shared" si="47"/>
        <v>0</v>
      </c>
    </row>
    <row r="244" spans="1:19">
      <c r="A244" s="149"/>
      <c r="B244" s="54"/>
      <c r="C244" s="21">
        <f t="shared" si="38"/>
        <v>1</v>
      </c>
      <c r="D244" s="666"/>
      <c r="E244" s="21">
        <f t="shared" si="39"/>
        <v>1</v>
      </c>
      <c r="F244" s="666"/>
      <c r="G244" s="21">
        <f t="shared" si="40"/>
        <v>1</v>
      </c>
      <c r="H244" s="666"/>
      <c r="I244" s="21">
        <f t="shared" si="41"/>
        <v>1</v>
      </c>
      <c r="J244" s="666"/>
      <c r="K244" s="21">
        <f t="shared" si="42"/>
        <v>1</v>
      </c>
      <c r="L244" s="666"/>
      <c r="M244" s="21">
        <f t="shared" si="43"/>
        <v>1</v>
      </c>
      <c r="N244" s="666"/>
      <c r="O244" s="21">
        <f t="shared" si="44"/>
        <v>1</v>
      </c>
      <c r="P244" s="666"/>
      <c r="Q244" s="21">
        <f t="shared" si="45"/>
        <v>1</v>
      </c>
      <c r="R244" s="662">
        <f t="shared" si="46"/>
        <v>0</v>
      </c>
      <c r="S244" s="315">
        <f t="shared" si="47"/>
        <v>0</v>
      </c>
    </row>
    <row r="245" spans="1:19">
      <c r="A245" s="149"/>
      <c r="B245" s="54"/>
      <c r="C245" s="21">
        <f t="shared" si="38"/>
        <v>1</v>
      </c>
      <c r="D245" s="666"/>
      <c r="E245" s="21">
        <f t="shared" si="39"/>
        <v>1</v>
      </c>
      <c r="F245" s="666"/>
      <c r="G245" s="21">
        <f t="shared" si="40"/>
        <v>1</v>
      </c>
      <c r="H245" s="666"/>
      <c r="I245" s="21">
        <f t="shared" si="41"/>
        <v>1</v>
      </c>
      <c r="J245" s="666"/>
      <c r="K245" s="21">
        <f t="shared" si="42"/>
        <v>1</v>
      </c>
      <c r="L245" s="666"/>
      <c r="M245" s="21">
        <f t="shared" si="43"/>
        <v>1</v>
      </c>
      <c r="N245" s="666"/>
      <c r="O245" s="21">
        <f t="shared" si="44"/>
        <v>1</v>
      </c>
      <c r="P245" s="666"/>
      <c r="Q245" s="21">
        <f t="shared" si="45"/>
        <v>1</v>
      </c>
      <c r="R245" s="662">
        <f t="shared" si="46"/>
        <v>0</v>
      </c>
      <c r="S245" s="315">
        <f t="shared" si="47"/>
        <v>0</v>
      </c>
    </row>
    <row r="246" spans="1:19">
      <c r="A246" s="149"/>
      <c r="B246" s="54"/>
      <c r="C246" s="21">
        <f t="shared" si="38"/>
        <v>1</v>
      </c>
      <c r="D246" s="666"/>
      <c r="E246" s="21">
        <f t="shared" si="39"/>
        <v>1</v>
      </c>
      <c r="F246" s="666"/>
      <c r="G246" s="21">
        <f t="shared" si="40"/>
        <v>1</v>
      </c>
      <c r="H246" s="666"/>
      <c r="I246" s="21">
        <f t="shared" si="41"/>
        <v>1</v>
      </c>
      <c r="J246" s="666"/>
      <c r="K246" s="21">
        <f t="shared" si="42"/>
        <v>1</v>
      </c>
      <c r="L246" s="666"/>
      <c r="M246" s="21">
        <f t="shared" si="43"/>
        <v>1</v>
      </c>
      <c r="N246" s="666"/>
      <c r="O246" s="21">
        <f t="shared" si="44"/>
        <v>1</v>
      </c>
      <c r="P246" s="666"/>
      <c r="Q246" s="21">
        <f t="shared" si="45"/>
        <v>1</v>
      </c>
      <c r="R246" s="662">
        <f t="shared" si="46"/>
        <v>0</v>
      </c>
      <c r="S246" s="315">
        <f t="shared" si="47"/>
        <v>0</v>
      </c>
    </row>
    <row r="247" spans="1:19">
      <c r="A247" s="149"/>
      <c r="B247" s="54"/>
      <c r="C247" s="21">
        <f t="shared" si="38"/>
        <v>1</v>
      </c>
      <c r="D247" s="666"/>
      <c r="E247" s="21">
        <f t="shared" si="39"/>
        <v>1</v>
      </c>
      <c r="F247" s="666"/>
      <c r="G247" s="21">
        <f t="shared" si="40"/>
        <v>1</v>
      </c>
      <c r="H247" s="666"/>
      <c r="I247" s="21">
        <f t="shared" si="41"/>
        <v>1</v>
      </c>
      <c r="J247" s="666"/>
      <c r="K247" s="21">
        <f t="shared" si="42"/>
        <v>1</v>
      </c>
      <c r="L247" s="666"/>
      <c r="M247" s="21">
        <f t="shared" si="43"/>
        <v>1</v>
      </c>
      <c r="N247" s="666"/>
      <c r="O247" s="21">
        <f t="shared" si="44"/>
        <v>1</v>
      </c>
      <c r="P247" s="666"/>
      <c r="Q247" s="21">
        <f t="shared" si="45"/>
        <v>1</v>
      </c>
      <c r="R247" s="662">
        <f t="shared" si="46"/>
        <v>0</v>
      </c>
      <c r="S247" s="315">
        <f t="shared" si="47"/>
        <v>0</v>
      </c>
    </row>
    <row r="248" spans="1:19">
      <c r="A248" s="149"/>
      <c r="B248" s="54"/>
      <c r="C248" s="21">
        <f t="shared" si="38"/>
        <v>1</v>
      </c>
      <c r="D248" s="666"/>
      <c r="E248" s="21">
        <f t="shared" si="39"/>
        <v>1</v>
      </c>
      <c r="F248" s="666"/>
      <c r="G248" s="21">
        <f t="shared" si="40"/>
        <v>1</v>
      </c>
      <c r="H248" s="666"/>
      <c r="I248" s="21">
        <f t="shared" si="41"/>
        <v>1</v>
      </c>
      <c r="J248" s="666"/>
      <c r="K248" s="21">
        <f t="shared" si="42"/>
        <v>1</v>
      </c>
      <c r="L248" s="666"/>
      <c r="M248" s="21">
        <f t="shared" si="43"/>
        <v>1</v>
      </c>
      <c r="N248" s="666"/>
      <c r="O248" s="21">
        <f t="shared" si="44"/>
        <v>1</v>
      </c>
      <c r="P248" s="666"/>
      <c r="Q248" s="21">
        <f t="shared" si="45"/>
        <v>1</v>
      </c>
      <c r="R248" s="662">
        <f t="shared" si="46"/>
        <v>0</v>
      </c>
      <c r="S248" s="315">
        <f t="shared" si="47"/>
        <v>0</v>
      </c>
    </row>
    <row r="249" spans="1:19">
      <c r="A249" s="149"/>
      <c r="B249" s="54"/>
      <c r="C249" s="21">
        <f t="shared" si="38"/>
        <v>1</v>
      </c>
      <c r="D249" s="666"/>
      <c r="E249" s="21">
        <f t="shared" si="39"/>
        <v>1</v>
      </c>
      <c r="F249" s="666"/>
      <c r="G249" s="21">
        <f t="shared" si="40"/>
        <v>1</v>
      </c>
      <c r="H249" s="666"/>
      <c r="I249" s="21">
        <f t="shared" si="41"/>
        <v>1</v>
      </c>
      <c r="J249" s="666"/>
      <c r="K249" s="21">
        <f t="shared" si="42"/>
        <v>1</v>
      </c>
      <c r="L249" s="666"/>
      <c r="M249" s="21">
        <f t="shared" si="43"/>
        <v>1</v>
      </c>
      <c r="N249" s="666"/>
      <c r="O249" s="21">
        <f t="shared" si="44"/>
        <v>1</v>
      </c>
      <c r="P249" s="666"/>
      <c r="Q249" s="21">
        <f t="shared" si="45"/>
        <v>1</v>
      </c>
      <c r="R249" s="662">
        <f t="shared" si="46"/>
        <v>0</v>
      </c>
      <c r="S249" s="315">
        <f t="shared" si="47"/>
        <v>0</v>
      </c>
    </row>
    <row r="250" spans="1:19">
      <c r="A250" s="149"/>
      <c r="B250" s="54"/>
      <c r="C250" s="21">
        <f t="shared" si="38"/>
        <v>1</v>
      </c>
      <c r="D250" s="666"/>
      <c r="E250" s="21">
        <f t="shared" si="39"/>
        <v>1</v>
      </c>
      <c r="F250" s="666"/>
      <c r="G250" s="21">
        <f t="shared" si="40"/>
        <v>1</v>
      </c>
      <c r="H250" s="666"/>
      <c r="I250" s="21">
        <f t="shared" si="41"/>
        <v>1</v>
      </c>
      <c r="J250" s="666"/>
      <c r="K250" s="21">
        <f t="shared" si="42"/>
        <v>1</v>
      </c>
      <c r="L250" s="666"/>
      <c r="M250" s="21">
        <f t="shared" si="43"/>
        <v>1</v>
      </c>
      <c r="N250" s="666"/>
      <c r="O250" s="21">
        <f t="shared" si="44"/>
        <v>1</v>
      </c>
      <c r="P250" s="666"/>
      <c r="Q250" s="21">
        <f t="shared" si="45"/>
        <v>1</v>
      </c>
      <c r="R250" s="662">
        <f t="shared" si="46"/>
        <v>0</v>
      </c>
      <c r="S250" s="315">
        <f t="shared" si="47"/>
        <v>0</v>
      </c>
    </row>
    <row r="251" spans="1:19">
      <c r="A251" s="149"/>
      <c r="B251" s="54"/>
      <c r="C251" s="21">
        <f t="shared" si="38"/>
        <v>1</v>
      </c>
      <c r="D251" s="666"/>
      <c r="E251" s="21">
        <f t="shared" si="39"/>
        <v>1</v>
      </c>
      <c r="F251" s="666"/>
      <c r="G251" s="21">
        <f t="shared" si="40"/>
        <v>1</v>
      </c>
      <c r="H251" s="666"/>
      <c r="I251" s="21">
        <f t="shared" si="41"/>
        <v>1</v>
      </c>
      <c r="J251" s="666"/>
      <c r="K251" s="21">
        <f t="shared" si="42"/>
        <v>1</v>
      </c>
      <c r="L251" s="666"/>
      <c r="M251" s="21">
        <f t="shared" si="43"/>
        <v>1</v>
      </c>
      <c r="N251" s="666"/>
      <c r="O251" s="21">
        <f t="shared" si="44"/>
        <v>1</v>
      </c>
      <c r="P251" s="666"/>
      <c r="Q251" s="21">
        <f t="shared" si="45"/>
        <v>1</v>
      </c>
      <c r="R251" s="662">
        <f t="shared" si="46"/>
        <v>0</v>
      </c>
      <c r="S251" s="315">
        <f t="shared" si="47"/>
        <v>0</v>
      </c>
    </row>
    <row r="252" spans="1:19">
      <c r="A252" s="149"/>
      <c r="B252" s="54"/>
      <c r="C252" s="21">
        <f t="shared" si="38"/>
        <v>1</v>
      </c>
      <c r="D252" s="666"/>
      <c r="E252" s="21">
        <f t="shared" si="39"/>
        <v>1</v>
      </c>
      <c r="F252" s="666"/>
      <c r="G252" s="21">
        <f t="shared" si="40"/>
        <v>1</v>
      </c>
      <c r="H252" s="666"/>
      <c r="I252" s="21">
        <f t="shared" si="41"/>
        <v>1</v>
      </c>
      <c r="J252" s="666"/>
      <c r="K252" s="21">
        <f t="shared" si="42"/>
        <v>1</v>
      </c>
      <c r="L252" s="666"/>
      <c r="M252" s="21">
        <f t="shared" si="43"/>
        <v>1</v>
      </c>
      <c r="N252" s="666"/>
      <c r="O252" s="21">
        <f t="shared" si="44"/>
        <v>1</v>
      </c>
      <c r="P252" s="666"/>
      <c r="Q252" s="21">
        <f t="shared" si="45"/>
        <v>1</v>
      </c>
      <c r="R252" s="662">
        <f t="shared" si="46"/>
        <v>0</v>
      </c>
      <c r="S252" s="315">
        <f t="shared" si="47"/>
        <v>0</v>
      </c>
    </row>
    <row r="253" spans="1:19">
      <c r="A253" s="149"/>
      <c r="B253" s="54"/>
      <c r="C253" s="21">
        <f t="shared" si="38"/>
        <v>1</v>
      </c>
      <c r="D253" s="666"/>
      <c r="E253" s="21">
        <f t="shared" si="39"/>
        <v>1</v>
      </c>
      <c r="F253" s="666"/>
      <c r="G253" s="21">
        <f t="shared" si="40"/>
        <v>1</v>
      </c>
      <c r="H253" s="666"/>
      <c r="I253" s="21">
        <f t="shared" si="41"/>
        <v>1</v>
      </c>
      <c r="J253" s="666"/>
      <c r="K253" s="21">
        <f t="shared" si="42"/>
        <v>1</v>
      </c>
      <c r="L253" s="666"/>
      <c r="M253" s="21">
        <f t="shared" si="43"/>
        <v>1</v>
      </c>
      <c r="N253" s="666"/>
      <c r="O253" s="21">
        <f t="shared" si="44"/>
        <v>1</v>
      </c>
      <c r="P253" s="666"/>
      <c r="Q253" s="21">
        <f t="shared" si="45"/>
        <v>1</v>
      </c>
      <c r="R253" s="662">
        <f t="shared" si="46"/>
        <v>0</v>
      </c>
      <c r="S253" s="315">
        <f t="shared" si="47"/>
        <v>0</v>
      </c>
    </row>
    <row r="254" spans="1:19">
      <c r="A254" s="149"/>
      <c r="B254" s="54"/>
      <c r="C254" s="21">
        <f t="shared" si="38"/>
        <v>1</v>
      </c>
      <c r="D254" s="666"/>
      <c r="E254" s="21">
        <f t="shared" si="39"/>
        <v>1</v>
      </c>
      <c r="F254" s="666"/>
      <c r="G254" s="21">
        <f t="shared" si="40"/>
        <v>1</v>
      </c>
      <c r="H254" s="666"/>
      <c r="I254" s="21">
        <f t="shared" si="41"/>
        <v>1</v>
      </c>
      <c r="J254" s="666"/>
      <c r="K254" s="21">
        <f t="shared" si="42"/>
        <v>1</v>
      </c>
      <c r="L254" s="666"/>
      <c r="M254" s="21">
        <f t="shared" si="43"/>
        <v>1</v>
      </c>
      <c r="N254" s="666"/>
      <c r="O254" s="21">
        <f t="shared" si="44"/>
        <v>1</v>
      </c>
      <c r="P254" s="666"/>
      <c r="Q254" s="21">
        <f t="shared" si="45"/>
        <v>1</v>
      </c>
      <c r="R254" s="662">
        <f t="shared" si="46"/>
        <v>0</v>
      </c>
      <c r="S254" s="315">
        <f t="shared" si="47"/>
        <v>0</v>
      </c>
    </row>
    <row r="255" spans="1:19">
      <c r="A255" s="149"/>
      <c r="B255" s="54"/>
      <c r="C255" s="21">
        <f t="shared" si="38"/>
        <v>1</v>
      </c>
      <c r="D255" s="666"/>
      <c r="E255" s="21">
        <f t="shared" si="39"/>
        <v>1</v>
      </c>
      <c r="F255" s="666"/>
      <c r="G255" s="21">
        <f t="shared" si="40"/>
        <v>1</v>
      </c>
      <c r="H255" s="666"/>
      <c r="I255" s="21">
        <f t="shared" si="41"/>
        <v>1</v>
      </c>
      <c r="J255" s="666"/>
      <c r="K255" s="21">
        <f t="shared" si="42"/>
        <v>1</v>
      </c>
      <c r="L255" s="666"/>
      <c r="M255" s="21">
        <f t="shared" si="43"/>
        <v>1</v>
      </c>
      <c r="N255" s="666"/>
      <c r="O255" s="21">
        <f t="shared" si="44"/>
        <v>1</v>
      </c>
      <c r="P255" s="666"/>
      <c r="Q255" s="21">
        <f t="shared" si="45"/>
        <v>1</v>
      </c>
      <c r="R255" s="662">
        <f t="shared" si="46"/>
        <v>0</v>
      </c>
      <c r="S255" s="315">
        <f t="shared" si="47"/>
        <v>0</v>
      </c>
    </row>
    <row r="256" spans="1:19">
      <c r="A256" s="149"/>
      <c r="B256" s="54"/>
      <c r="C256" s="21">
        <f t="shared" si="38"/>
        <v>1</v>
      </c>
      <c r="D256" s="666"/>
      <c r="E256" s="21">
        <f t="shared" si="39"/>
        <v>1</v>
      </c>
      <c r="F256" s="666"/>
      <c r="G256" s="21">
        <f t="shared" si="40"/>
        <v>1</v>
      </c>
      <c r="H256" s="666"/>
      <c r="I256" s="21">
        <f t="shared" si="41"/>
        <v>1</v>
      </c>
      <c r="J256" s="666"/>
      <c r="K256" s="21">
        <f t="shared" si="42"/>
        <v>1</v>
      </c>
      <c r="L256" s="666"/>
      <c r="M256" s="21">
        <f t="shared" si="43"/>
        <v>1</v>
      </c>
      <c r="N256" s="666"/>
      <c r="O256" s="21">
        <f t="shared" si="44"/>
        <v>1</v>
      </c>
      <c r="P256" s="666"/>
      <c r="Q256" s="21">
        <f t="shared" si="45"/>
        <v>1</v>
      </c>
      <c r="R256" s="662">
        <f t="shared" si="46"/>
        <v>0</v>
      </c>
      <c r="S256" s="315">
        <f t="shared" si="47"/>
        <v>0</v>
      </c>
    </row>
    <row r="257" spans="1:19">
      <c r="A257" s="149"/>
      <c r="B257" s="54"/>
      <c r="C257" s="21">
        <f t="shared" si="38"/>
        <v>1</v>
      </c>
      <c r="D257" s="666"/>
      <c r="E257" s="21">
        <f t="shared" si="39"/>
        <v>1</v>
      </c>
      <c r="F257" s="666"/>
      <c r="G257" s="21">
        <f t="shared" si="40"/>
        <v>1</v>
      </c>
      <c r="H257" s="666"/>
      <c r="I257" s="21">
        <f t="shared" si="41"/>
        <v>1</v>
      </c>
      <c r="J257" s="666"/>
      <c r="K257" s="21">
        <f t="shared" si="42"/>
        <v>1</v>
      </c>
      <c r="L257" s="666"/>
      <c r="M257" s="21">
        <f t="shared" si="43"/>
        <v>1</v>
      </c>
      <c r="N257" s="666"/>
      <c r="O257" s="21">
        <f t="shared" si="44"/>
        <v>1</v>
      </c>
      <c r="P257" s="666"/>
      <c r="Q257" s="21">
        <f t="shared" si="45"/>
        <v>1</v>
      </c>
      <c r="R257" s="662">
        <f t="shared" si="46"/>
        <v>0</v>
      </c>
      <c r="S257" s="315">
        <f t="shared" si="47"/>
        <v>0</v>
      </c>
    </row>
    <row r="258" spans="1:19">
      <c r="A258" s="149"/>
      <c r="B258" s="54"/>
      <c r="C258" s="21">
        <f t="shared" si="38"/>
        <v>1</v>
      </c>
      <c r="D258" s="666"/>
      <c r="E258" s="21">
        <f t="shared" si="39"/>
        <v>1</v>
      </c>
      <c r="F258" s="666"/>
      <c r="G258" s="21">
        <f t="shared" si="40"/>
        <v>1</v>
      </c>
      <c r="H258" s="666"/>
      <c r="I258" s="21">
        <f t="shared" si="41"/>
        <v>1</v>
      </c>
      <c r="J258" s="666"/>
      <c r="K258" s="21">
        <f t="shared" si="42"/>
        <v>1</v>
      </c>
      <c r="L258" s="666"/>
      <c r="M258" s="21">
        <f t="shared" si="43"/>
        <v>1</v>
      </c>
      <c r="N258" s="666"/>
      <c r="O258" s="21">
        <f t="shared" si="44"/>
        <v>1</v>
      </c>
      <c r="P258" s="666"/>
      <c r="Q258" s="21">
        <f t="shared" si="45"/>
        <v>1</v>
      </c>
      <c r="R258" s="662">
        <f t="shared" si="46"/>
        <v>0</v>
      </c>
      <c r="S258" s="315">
        <f t="shared" si="47"/>
        <v>0</v>
      </c>
    </row>
    <row r="259" spans="1:19">
      <c r="A259" s="149"/>
      <c r="B259" s="54"/>
      <c r="C259" s="21">
        <f t="shared" si="38"/>
        <v>1</v>
      </c>
      <c r="D259" s="666"/>
      <c r="E259" s="21">
        <f t="shared" si="39"/>
        <v>1</v>
      </c>
      <c r="F259" s="666"/>
      <c r="G259" s="21">
        <f t="shared" si="40"/>
        <v>1</v>
      </c>
      <c r="H259" s="666"/>
      <c r="I259" s="21">
        <f t="shared" si="41"/>
        <v>1</v>
      </c>
      <c r="J259" s="666"/>
      <c r="K259" s="21">
        <f t="shared" si="42"/>
        <v>1</v>
      </c>
      <c r="L259" s="666"/>
      <c r="M259" s="21">
        <f t="shared" si="43"/>
        <v>1</v>
      </c>
      <c r="N259" s="666"/>
      <c r="O259" s="21">
        <f t="shared" si="44"/>
        <v>1</v>
      </c>
      <c r="P259" s="666"/>
      <c r="Q259" s="21">
        <f t="shared" si="45"/>
        <v>1</v>
      </c>
      <c r="R259" s="662">
        <f t="shared" si="46"/>
        <v>0</v>
      </c>
      <c r="S259" s="315">
        <f t="shared" si="47"/>
        <v>0</v>
      </c>
    </row>
    <row r="260" spans="1:19">
      <c r="A260" s="149"/>
      <c r="B260" s="54"/>
      <c r="C260" s="21">
        <f t="shared" si="38"/>
        <v>1</v>
      </c>
      <c r="D260" s="666"/>
      <c r="E260" s="21">
        <f t="shared" si="39"/>
        <v>1</v>
      </c>
      <c r="F260" s="666"/>
      <c r="G260" s="21">
        <f t="shared" si="40"/>
        <v>1</v>
      </c>
      <c r="H260" s="666"/>
      <c r="I260" s="21">
        <f t="shared" si="41"/>
        <v>1</v>
      </c>
      <c r="J260" s="666"/>
      <c r="K260" s="21">
        <f t="shared" si="42"/>
        <v>1</v>
      </c>
      <c r="L260" s="666"/>
      <c r="M260" s="21">
        <f t="shared" si="43"/>
        <v>1</v>
      </c>
      <c r="N260" s="666"/>
      <c r="O260" s="21">
        <f t="shared" si="44"/>
        <v>1</v>
      </c>
      <c r="P260" s="666"/>
      <c r="Q260" s="21">
        <f t="shared" si="45"/>
        <v>1</v>
      </c>
      <c r="R260" s="662">
        <f t="shared" si="46"/>
        <v>0</v>
      </c>
      <c r="S260" s="315">
        <f t="shared" si="47"/>
        <v>0</v>
      </c>
    </row>
    <row r="261" spans="1:19">
      <c r="A261" s="149"/>
      <c r="B261" s="54"/>
      <c r="C261" s="21">
        <f t="shared" si="38"/>
        <v>1</v>
      </c>
      <c r="D261" s="666"/>
      <c r="E261" s="21">
        <f t="shared" si="39"/>
        <v>1</v>
      </c>
      <c r="F261" s="666"/>
      <c r="G261" s="21">
        <f t="shared" si="40"/>
        <v>1</v>
      </c>
      <c r="H261" s="666"/>
      <c r="I261" s="21">
        <f t="shared" si="41"/>
        <v>1</v>
      </c>
      <c r="J261" s="666"/>
      <c r="K261" s="21">
        <f t="shared" si="42"/>
        <v>1</v>
      </c>
      <c r="L261" s="666"/>
      <c r="M261" s="21">
        <f t="shared" si="43"/>
        <v>1</v>
      </c>
      <c r="N261" s="666"/>
      <c r="O261" s="21">
        <f t="shared" si="44"/>
        <v>1</v>
      </c>
      <c r="P261" s="666"/>
      <c r="Q261" s="21">
        <f t="shared" si="45"/>
        <v>1</v>
      </c>
      <c r="R261" s="662">
        <f t="shared" si="46"/>
        <v>0</v>
      </c>
      <c r="S261" s="315">
        <f t="shared" si="47"/>
        <v>0</v>
      </c>
    </row>
    <row r="262" spans="1:19">
      <c r="A262" s="149"/>
      <c r="B262" s="54"/>
      <c r="C262" s="21">
        <f t="shared" si="38"/>
        <v>1</v>
      </c>
      <c r="D262" s="666"/>
      <c r="E262" s="21">
        <f t="shared" si="39"/>
        <v>1</v>
      </c>
      <c r="F262" s="666"/>
      <c r="G262" s="21">
        <f t="shared" si="40"/>
        <v>1</v>
      </c>
      <c r="H262" s="666"/>
      <c r="I262" s="21">
        <f t="shared" si="41"/>
        <v>1</v>
      </c>
      <c r="J262" s="666"/>
      <c r="K262" s="21">
        <f t="shared" si="42"/>
        <v>1</v>
      </c>
      <c r="L262" s="666"/>
      <c r="M262" s="21">
        <f t="shared" si="43"/>
        <v>1</v>
      </c>
      <c r="N262" s="666"/>
      <c r="O262" s="21">
        <f t="shared" si="44"/>
        <v>1</v>
      </c>
      <c r="P262" s="666"/>
      <c r="Q262" s="21">
        <f t="shared" si="45"/>
        <v>1</v>
      </c>
      <c r="R262" s="662">
        <f t="shared" si="46"/>
        <v>0</v>
      </c>
      <c r="S262" s="315">
        <f t="shared" si="47"/>
        <v>0</v>
      </c>
    </row>
    <row r="263" spans="1:19">
      <c r="A263" s="149"/>
      <c r="B263" s="54"/>
      <c r="C263" s="21">
        <f t="shared" si="38"/>
        <v>1</v>
      </c>
      <c r="D263" s="666"/>
      <c r="E263" s="21">
        <f t="shared" si="39"/>
        <v>1</v>
      </c>
      <c r="F263" s="666"/>
      <c r="G263" s="21">
        <f t="shared" si="40"/>
        <v>1</v>
      </c>
      <c r="H263" s="666"/>
      <c r="I263" s="21">
        <f t="shared" si="41"/>
        <v>1</v>
      </c>
      <c r="J263" s="666"/>
      <c r="K263" s="21">
        <f t="shared" si="42"/>
        <v>1</v>
      </c>
      <c r="L263" s="666"/>
      <c r="M263" s="21">
        <f t="shared" si="43"/>
        <v>1</v>
      </c>
      <c r="N263" s="666"/>
      <c r="O263" s="21">
        <f t="shared" si="44"/>
        <v>1</v>
      </c>
      <c r="P263" s="666"/>
      <c r="Q263" s="21">
        <f t="shared" si="45"/>
        <v>1</v>
      </c>
      <c r="R263" s="662">
        <f t="shared" si="46"/>
        <v>0</v>
      </c>
      <c r="S263" s="315">
        <f t="shared" si="47"/>
        <v>0</v>
      </c>
    </row>
    <row r="264" spans="1:19">
      <c r="A264" s="149"/>
      <c r="B264" s="54"/>
      <c r="C264" s="21">
        <f t="shared" si="38"/>
        <v>1</v>
      </c>
      <c r="D264" s="666"/>
      <c r="E264" s="21">
        <f t="shared" si="39"/>
        <v>1</v>
      </c>
      <c r="F264" s="666"/>
      <c r="G264" s="21">
        <f t="shared" si="40"/>
        <v>1</v>
      </c>
      <c r="H264" s="666"/>
      <c r="I264" s="21">
        <f t="shared" si="41"/>
        <v>1</v>
      </c>
      <c r="J264" s="666"/>
      <c r="K264" s="21">
        <f t="shared" si="42"/>
        <v>1</v>
      </c>
      <c r="L264" s="666"/>
      <c r="M264" s="21">
        <f t="shared" si="43"/>
        <v>1</v>
      </c>
      <c r="N264" s="666"/>
      <c r="O264" s="21">
        <f t="shared" si="44"/>
        <v>1</v>
      </c>
      <c r="P264" s="666"/>
      <c r="Q264" s="21">
        <f t="shared" si="45"/>
        <v>1</v>
      </c>
      <c r="R264" s="662">
        <f t="shared" si="46"/>
        <v>0</v>
      </c>
      <c r="S264" s="315">
        <f t="shared" si="47"/>
        <v>0</v>
      </c>
    </row>
    <row r="265" spans="1:19">
      <c r="A265" s="149"/>
      <c r="B265" s="54"/>
      <c r="C265" s="21">
        <f t="shared" si="38"/>
        <v>1</v>
      </c>
      <c r="D265" s="666"/>
      <c r="E265" s="21">
        <f t="shared" si="39"/>
        <v>1</v>
      </c>
      <c r="F265" s="666"/>
      <c r="G265" s="21">
        <f t="shared" si="40"/>
        <v>1</v>
      </c>
      <c r="H265" s="666"/>
      <c r="I265" s="21">
        <f t="shared" si="41"/>
        <v>1</v>
      </c>
      <c r="J265" s="666"/>
      <c r="K265" s="21">
        <f t="shared" si="42"/>
        <v>1</v>
      </c>
      <c r="L265" s="666"/>
      <c r="M265" s="21">
        <f t="shared" si="43"/>
        <v>1</v>
      </c>
      <c r="N265" s="666"/>
      <c r="O265" s="21">
        <f t="shared" si="44"/>
        <v>1</v>
      </c>
      <c r="P265" s="666"/>
      <c r="Q265" s="21">
        <f t="shared" si="45"/>
        <v>1</v>
      </c>
      <c r="R265" s="662">
        <f t="shared" si="46"/>
        <v>0</v>
      </c>
      <c r="S265" s="315">
        <f t="shared" si="47"/>
        <v>0</v>
      </c>
    </row>
    <row r="266" spans="1:19">
      <c r="A266" s="149"/>
      <c r="B266" s="54"/>
      <c r="C266" s="21">
        <f t="shared" si="38"/>
        <v>1</v>
      </c>
      <c r="D266" s="666"/>
      <c r="E266" s="21">
        <f t="shared" si="39"/>
        <v>1</v>
      </c>
      <c r="F266" s="666"/>
      <c r="G266" s="21">
        <f t="shared" si="40"/>
        <v>1</v>
      </c>
      <c r="H266" s="666"/>
      <c r="I266" s="21">
        <f t="shared" si="41"/>
        <v>1</v>
      </c>
      <c r="J266" s="666"/>
      <c r="K266" s="21">
        <f t="shared" si="42"/>
        <v>1</v>
      </c>
      <c r="L266" s="666"/>
      <c r="M266" s="21">
        <f t="shared" si="43"/>
        <v>1</v>
      </c>
      <c r="N266" s="666"/>
      <c r="O266" s="21">
        <f t="shared" si="44"/>
        <v>1</v>
      </c>
      <c r="P266" s="666"/>
      <c r="Q266" s="21">
        <f t="shared" si="45"/>
        <v>1</v>
      </c>
      <c r="R266" s="662">
        <f t="shared" si="46"/>
        <v>0</v>
      </c>
      <c r="S266" s="315">
        <f t="shared" si="47"/>
        <v>0</v>
      </c>
    </row>
    <row r="267" spans="1:19">
      <c r="A267" s="149"/>
      <c r="B267" s="54"/>
      <c r="C267" s="21">
        <f t="shared" si="38"/>
        <v>1</v>
      </c>
      <c r="D267" s="666"/>
      <c r="E267" s="21">
        <f t="shared" si="39"/>
        <v>1</v>
      </c>
      <c r="F267" s="666"/>
      <c r="G267" s="21">
        <f t="shared" si="40"/>
        <v>1</v>
      </c>
      <c r="H267" s="666"/>
      <c r="I267" s="21">
        <f t="shared" si="41"/>
        <v>1</v>
      </c>
      <c r="J267" s="666"/>
      <c r="K267" s="21">
        <f t="shared" si="42"/>
        <v>1</v>
      </c>
      <c r="L267" s="666"/>
      <c r="M267" s="21">
        <f t="shared" si="43"/>
        <v>1</v>
      </c>
      <c r="N267" s="666"/>
      <c r="O267" s="21">
        <f t="shared" si="44"/>
        <v>1</v>
      </c>
      <c r="P267" s="666"/>
      <c r="Q267" s="21">
        <f t="shared" si="45"/>
        <v>1</v>
      </c>
      <c r="R267" s="662">
        <f t="shared" si="46"/>
        <v>0</v>
      </c>
      <c r="S267" s="315">
        <f t="shared" si="47"/>
        <v>0</v>
      </c>
    </row>
    <row r="268" spans="1:19">
      <c r="A268" s="149"/>
      <c r="B268" s="54"/>
      <c r="C268" s="21">
        <f t="shared" si="38"/>
        <v>1</v>
      </c>
      <c r="D268" s="666"/>
      <c r="E268" s="21">
        <f t="shared" si="39"/>
        <v>1</v>
      </c>
      <c r="F268" s="666"/>
      <c r="G268" s="21">
        <f t="shared" si="40"/>
        <v>1</v>
      </c>
      <c r="H268" s="666"/>
      <c r="I268" s="21">
        <f t="shared" si="41"/>
        <v>1</v>
      </c>
      <c r="J268" s="666"/>
      <c r="K268" s="21">
        <f t="shared" si="42"/>
        <v>1</v>
      </c>
      <c r="L268" s="666"/>
      <c r="M268" s="21">
        <f t="shared" si="43"/>
        <v>1</v>
      </c>
      <c r="N268" s="666"/>
      <c r="O268" s="21">
        <f t="shared" si="44"/>
        <v>1</v>
      </c>
      <c r="P268" s="666"/>
      <c r="Q268" s="21">
        <f t="shared" si="45"/>
        <v>1</v>
      </c>
      <c r="R268" s="662">
        <f t="shared" si="46"/>
        <v>0</v>
      </c>
      <c r="S268" s="315">
        <f t="shared" si="47"/>
        <v>0</v>
      </c>
    </row>
    <row r="269" spans="1:19">
      <c r="A269" s="149"/>
      <c r="B269" s="54"/>
      <c r="C269" s="21">
        <f t="shared" si="38"/>
        <v>1</v>
      </c>
      <c r="D269" s="666"/>
      <c r="E269" s="21">
        <f t="shared" si="39"/>
        <v>1</v>
      </c>
      <c r="F269" s="666"/>
      <c r="G269" s="21">
        <f t="shared" si="40"/>
        <v>1</v>
      </c>
      <c r="H269" s="666"/>
      <c r="I269" s="21">
        <f t="shared" si="41"/>
        <v>1</v>
      </c>
      <c r="J269" s="666"/>
      <c r="K269" s="21">
        <f t="shared" si="42"/>
        <v>1</v>
      </c>
      <c r="L269" s="666"/>
      <c r="M269" s="21">
        <f t="shared" si="43"/>
        <v>1</v>
      </c>
      <c r="N269" s="666"/>
      <c r="O269" s="21">
        <f t="shared" si="44"/>
        <v>1</v>
      </c>
      <c r="P269" s="666"/>
      <c r="Q269" s="21">
        <f t="shared" si="45"/>
        <v>1</v>
      </c>
      <c r="R269" s="662">
        <f t="shared" si="46"/>
        <v>0</v>
      </c>
      <c r="S269" s="315">
        <f t="shared" si="47"/>
        <v>0</v>
      </c>
    </row>
    <row r="270" spans="1:19">
      <c r="A270" s="149"/>
      <c r="B270" s="54"/>
      <c r="C270" s="21">
        <f t="shared" si="38"/>
        <v>1</v>
      </c>
      <c r="D270" s="666"/>
      <c r="E270" s="21">
        <f t="shared" si="39"/>
        <v>1</v>
      </c>
      <c r="F270" s="666"/>
      <c r="G270" s="21">
        <f t="shared" si="40"/>
        <v>1</v>
      </c>
      <c r="H270" s="666"/>
      <c r="I270" s="21">
        <f t="shared" si="41"/>
        <v>1</v>
      </c>
      <c r="J270" s="666"/>
      <c r="K270" s="21">
        <f t="shared" si="42"/>
        <v>1</v>
      </c>
      <c r="L270" s="666"/>
      <c r="M270" s="21">
        <f t="shared" si="43"/>
        <v>1</v>
      </c>
      <c r="N270" s="666"/>
      <c r="O270" s="21">
        <f t="shared" si="44"/>
        <v>1</v>
      </c>
      <c r="P270" s="666"/>
      <c r="Q270" s="21">
        <f t="shared" si="45"/>
        <v>1</v>
      </c>
      <c r="R270" s="662">
        <f t="shared" si="46"/>
        <v>0</v>
      </c>
      <c r="S270" s="315">
        <f t="shared" si="47"/>
        <v>0</v>
      </c>
    </row>
    <row r="271" spans="1:19">
      <c r="A271" s="149"/>
      <c r="B271" s="54"/>
      <c r="C271" s="21">
        <f t="shared" si="38"/>
        <v>1</v>
      </c>
      <c r="D271" s="666"/>
      <c r="E271" s="21">
        <f t="shared" si="39"/>
        <v>1</v>
      </c>
      <c r="F271" s="666"/>
      <c r="G271" s="21">
        <f t="shared" si="40"/>
        <v>1</v>
      </c>
      <c r="H271" s="666"/>
      <c r="I271" s="21">
        <f t="shared" si="41"/>
        <v>1</v>
      </c>
      <c r="J271" s="666"/>
      <c r="K271" s="21">
        <f t="shared" si="42"/>
        <v>1</v>
      </c>
      <c r="L271" s="666"/>
      <c r="M271" s="21">
        <f t="shared" si="43"/>
        <v>1</v>
      </c>
      <c r="N271" s="666"/>
      <c r="O271" s="21">
        <f t="shared" si="44"/>
        <v>1</v>
      </c>
      <c r="P271" s="666"/>
      <c r="Q271" s="21">
        <f t="shared" si="45"/>
        <v>1</v>
      </c>
      <c r="R271" s="662">
        <f t="shared" si="46"/>
        <v>0</v>
      </c>
      <c r="S271" s="315">
        <f t="shared" si="47"/>
        <v>0</v>
      </c>
    </row>
    <row r="272" spans="1:19">
      <c r="A272" s="149"/>
      <c r="B272" s="54"/>
      <c r="C272" s="21">
        <f t="shared" si="38"/>
        <v>1</v>
      </c>
      <c r="D272" s="666"/>
      <c r="E272" s="21">
        <f t="shared" si="39"/>
        <v>1</v>
      </c>
      <c r="F272" s="666"/>
      <c r="G272" s="21">
        <f t="shared" si="40"/>
        <v>1</v>
      </c>
      <c r="H272" s="666"/>
      <c r="I272" s="21">
        <f t="shared" si="41"/>
        <v>1</v>
      </c>
      <c r="J272" s="666"/>
      <c r="K272" s="21">
        <f t="shared" si="42"/>
        <v>1</v>
      </c>
      <c r="L272" s="666"/>
      <c r="M272" s="21">
        <f t="shared" si="43"/>
        <v>1</v>
      </c>
      <c r="N272" s="666"/>
      <c r="O272" s="21">
        <f t="shared" si="44"/>
        <v>1</v>
      </c>
      <c r="P272" s="666"/>
      <c r="Q272" s="21">
        <f t="shared" si="45"/>
        <v>1</v>
      </c>
      <c r="R272" s="662">
        <f t="shared" si="46"/>
        <v>0</v>
      </c>
      <c r="S272" s="315">
        <f t="shared" si="47"/>
        <v>0</v>
      </c>
    </row>
    <row r="273" spans="1:19">
      <c r="A273" s="149"/>
      <c r="B273" s="54"/>
      <c r="C273" s="21">
        <f t="shared" si="38"/>
        <v>1</v>
      </c>
      <c r="D273" s="666"/>
      <c r="E273" s="21">
        <f t="shared" si="39"/>
        <v>1</v>
      </c>
      <c r="F273" s="666"/>
      <c r="G273" s="21">
        <f t="shared" si="40"/>
        <v>1</v>
      </c>
      <c r="H273" s="666"/>
      <c r="I273" s="21">
        <f t="shared" si="41"/>
        <v>1</v>
      </c>
      <c r="J273" s="666"/>
      <c r="K273" s="21">
        <f t="shared" si="42"/>
        <v>1</v>
      </c>
      <c r="L273" s="666"/>
      <c r="M273" s="21">
        <f t="shared" si="43"/>
        <v>1</v>
      </c>
      <c r="N273" s="666"/>
      <c r="O273" s="21">
        <f t="shared" si="44"/>
        <v>1</v>
      </c>
      <c r="P273" s="666"/>
      <c r="Q273" s="21">
        <f t="shared" si="45"/>
        <v>1</v>
      </c>
      <c r="R273" s="662">
        <f t="shared" si="46"/>
        <v>0</v>
      </c>
      <c r="S273" s="315">
        <f t="shared" si="47"/>
        <v>0</v>
      </c>
    </row>
    <row r="274" spans="1:19">
      <c r="A274" s="149"/>
      <c r="B274" s="54"/>
      <c r="C274" s="21">
        <f t="shared" si="38"/>
        <v>1</v>
      </c>
      <c r="D274" s="666"/>
      <c r="E274" s="21">
        <f t="shared" si="39"/>
        <v>1</v>
      </c>
      <c r="F274" s="666"/>
      <c r="G274" s="21">
        <f t="shared" si="40"/>
        <v>1</v>
      </c>
      <c r="H274" s="666"/>
      <c r="I274" s="21">
        <f t="shared" si="41"/>
        <v>1</v>
      </c>
      <c r="J274" s="666"/>
      <c r="K274" s="21">
        <f t="shared" si="42"/>
        <v>1</v>
      </c>
      <c r="L274" s="666"/>
      <c r="M274" s="21">
        <f t="shared" si="43"/>
        <v>1</v>
      </c>
      <c r="N274" s="666"/>
      <c r="O274" s="21">
        <f t="shared" si="44"/>
        <v>1</v>
      </c>
      <c r="P274" s="666"/>
      <c r="Q274" s="21">
        <f t="shared" si="45"/>
        <v>1</v>
      </c>
      <c r="R274" s="662">
        <f t="shared" si="46"/>
        <v>0</v>
      </c>
      <c r="S274" s="315">
        <f t="shared" si="47"/>
        <v>0</v>
      </c>
    </row>
    <row r="275" spans="1:19">
      <c r="A275" s="149"/>
      <c r="B275" s="54"/>
      <c r="C275" s="21">
        <f t="shared" si="38"/>
        <v>1</v>
      </c>
      <c r="D275" s="666"/>
      <c r="E275" s="21">
        <f t="shared" si="39"/>
        <v>1</v>
      </c>
      <c r="F275" s="666"/>
      <c r="G275" s="21">
        <f t="shared" si="40"/>
        <v>1</v>
      </c>
      <c r="H275" s="666"/>
      <c r="I275" s="21">
        <f t="shared" si="41"/>
        <v>1</v>
      </c>
      <c r="J275" s="666"/>
      <c r="K275" s="21">
        <f t="shared" si="42"/>
        <v>1</v>
      </c>
      <c r="L275" s="666"/>
      <c r="M275" s="21">
        <f t="shared" si="43"/>
        <v>1</v>
      </c>
      <c r="N275" s="666"/>
      <c r="O275" s="21">
        <f t="shared" si="44"/>
        <v>1</v>
      </c>
      <c r="P275" s="666"/>
      <c r="Q275" s="21">
        <f t="shared" si="45"/>
        <v>1</v>
      </c>
      <c r="R275" s="662">
        <f t="shared" si="46"/>
        <v>0</v>
      </c>
      <c r="S275" s="315">
        <f t="shared" si="47"/>
        <v>0</v>
      </c>
    </row>
    <row r="276" spans="1:19">
      <c r="A276" s="149"/>
      <c r="B276" s="54"/>
      <c r="C276" s="21">
        <f t="shared" si="38"/>
        <v>1</v>
      </c>
      <c r="D276" s="666"/>
      <c r="E276" s="21">
        <f t="shared" si="39"/>
        <v>1</v>
      </c>
      <c r="F276" s="666"/>
      <c r="G276" s="21">
        <f t="shared" si="40"/>
        <v>1</v>
      </c>
      <c r="H276" s="666"/>
      <c r="I276" s="21">
        <f t="shared" si="41"/>
        <v>1</v>
      </c>
      <c r="J276" s="666"/>
      <c r="K276" s="21">
        <f t="shared" si="42"/>
        <v>1</v>
      </c>
      <c r="L276" s="666"/>
      <c r="M276" s="21">
        <f t="shared" si="43"/>
        <v>1</v>
      </c>
      <c r="N276" s="666"/>
      <c r="O276" s="21">
        <f t="shared" si="44"/>
        <v>1</v>
      </c>
      <c r="P276" s="666"/>
      <c r="Q276" s="21">
        <f t="shared" si="45"/>
        <v>1</v>
      </c>
      <c r="R276" s="662">
        <f t="shared" si="46"/>
        <v>0</v>
      </c>
      <c r="S276" s="315">
        <f t="shared" si="47"/>
        <v>0</v>
      </c>
    </row>
    <row r="277" spans="1:19">
      <c r="A277" s="149"/>
      <c r="B277" s="54"/>
      <c r="C277" s="21">
        <f t="shared" si="38"/>
        <v>1</v>
      </c>
      <c r="D277" s="666"/>
      <c r="E277" s="21">
        <f t="shared" si="39"/>
        <v>1</v>
      </c>
      <c r="F277" s="666"/>
      <c r="G277" s="21">
        <f t="shared" si="40"/>
        <v>1</v>
      </c>
      <c r="H277" s="666"/>
      <c r="I277" s="21">
        <f t="shared" si="41"/>
        <v>1</v>
      </c>
      <c r="J277" s="666"/>
      <c r="K277" s="21">
        <f t="shared" si="42"/>
        <v>1</v>
      </c>
      <c r="L277" s="666"/>
      <c r="M277" s="21">
        <f t="shared" si="43"/>
        <v>1</v>
      </c>
      <c r="N277" s="666"/>
      <c r="O277" s="21">
        <f t="shared" si="44"/>
        <v>1</v>
      </c>
      <c r="P277" s="666"/>
      <c r="Q277" s="21">
        <f t="shared" si="45"/>
        <v>1</v>
      </c>
      <c r="R277" s="662">
        <f t="shared" si="46"/>
        <v>0</v>
      </c>
      <c r="S277" s="315">
        <f t="shared" si="47"/>
        <v>0</v>
      </c>
    </row>
    <row r="278" spans="1:19">
      <c r="A278" s="149"/>
      <c r="B278" s="54"/>
      <c r="C278" s="21">
        <f t="shared" si="38"/>
        <v>1</v>
      </c>
      <c r="D278" s="666"/>
      <c r="E278" s="21">
        <f t="shared" si="39"/>
        <v>1</v>
      </c>
      <c r="F278" s="666"/>
      <c r="G278" s="21">
        <f t="shared" si="40"/>
        <v>1</v>
      </c>
      <c r="H278" s="666"/>
      <c r="I278" s="21">
        <f t="shared" si="41"/>
        <v>1</v>
      </c>
      <c r="J278" s="666"/>
      <c r="K278" s="21">
        <f t="shared" si="42"/>
        <v>1</v>
      </c>
      <c r="L278" s="666"/>
      <c r="M278" s="21">
        <f t="shared" si="43"/>
        <v>1</v>
      </c>
      <c r="N278" s="666"/>
      <c r="O278" s="21">
        <f t="shared" si="44"/>
        <v>1</v>
      </c>
      <c r="P278" s="666"/>
      <c r="Q278" s="21">
        <f t="shared" si="45"/>
        <v>1</v>
      </c>
      <c r="R278" s="662">
        <f t="shared" si="46"/>
        <v>0</v>
      </c>
      <c r="S278" s="315">
        <f t="shared" si="47"/>
        <v>0</v>
      </c>
    </row>
    <row r="279" spans="1:19">
      <c r="A279" s="149"/>
      <c r="B279" s="54"/>
      <c r="C279" s="21">
        <f t="shared" si="38"/>
        <v>1</v>
      </c>
      <c r="D279" s="666"/>
      <c r="E279" s="21">
        <f t="shared" si="39"/>
        <v>1</v>
      </c>
      <c r="F279" s="666"/>
      <c r="G279" s="21">
        <f t="shared" si="40"/>
        <v>1</v>
      </c>
      <c r="H279" s="666"/>
      <c r="I279" s="21">
        <f t="shared" si="41"/>
        <v>1</v>
      </c>
      <c r="J279" s="666"/>
      <c r="K279" s="21">
        <f t="shared" si="42"/>
        <v>1</v>
      </c>
      <c r="L279" s="666"/>
      <c r="M279" s="21">
        <f t="shared" si="43"/>
        <v>1</v>
      </c>
      <c r="N279" s="666"/>
      <c r="O279" s="21">
        <f t="shared" si="44"/>
        <v>1</v>
      </c>
      <c r="P279" s="666"/>
      <c r="Q279" s="21">
        <f t="shared" si="45"/>
        <v>1</v>
      </c>
      <c r="R279" s="662">
        <f t="shared" si="46"/>
        <v>0</v>
      </c>
      <c r="S279" s="315">
        <f t="shared" si="47"/>
        <v>0</v>
      </c>
    </row>
    <row r="280" spans="1:19">
      <c r="A280" s="149"/>
      <c r="B280" s="54"/>
      <c r="C280" s="21">
        <f t="shared" si="38"/>
        <v>1</v>
      </c>
      <c r="D280" s="666"/>
      <c r="E280" s="21">
        <f t="shared" si="39"/>
        <v>1</v>
      </c>
      <c r="F280" s="666"/>
      <c r="G280" s="21">
        <f t="shared" si="40"/>
        <v>1</v>
      </c>
      <c r="H280" s="666"/>
      <c r="I280" s="21">
        <f t="shared" si="41"/>
        <v>1</v>
      </c>
      <c r="J280" s="666"/>
      <c r="K280" s="21">
        <f t="shared" si="42"/>
        <v>1</v>
      </c>
      <c r="L280" s="666"/>
      <c r="M280" s="21">
        <f t="shared" si="43"/>
        <v>1</v>
      </c>
      <c r="N280" s="666"/>
      <c r="O280" s="21">
        <f t="shared" si="44"/>
        <v>1</v>
      </c>
      <c r="P280" s="666"/>
      <c r="Q280" s="21">
        <f t="shared" si="45"/>
        <v>1</v>
      </c>
      <c r="R280" s="662">
        <f t="shared" si="46"/>
        <v>0</v>
      </c>
      <c r="S280" s="315">
        <f t="shared" si="47"/>
        <v>0</v>
      </c>
    </row>
    <row r="281" spans="1:19">
      <c r="A281" s="149"/>
      <c r="B281" s="54"/>
      <c r="C281" s="21">
        <f t="shared" si="38"/>
        <v>1</v>
      </c>
      <c r="D281" s="666"/>
      <c r="E281" s="21">
        <f t="shared" si="39"/>
        <v>1</v>
      </c>
      <c r="F281" s="666"/>
      <c r="G281" s="21">
        <f t="shared" si="40"/>
        <v>1</v>
      </c>
      <c r="H281" s="666"/>
      <c r="I281" s="21">
        <f t="shared" si="41"/>
        <v>1</v>
      </c>
      <c r="J281" s="666"/>
      <c r="K281" s="21">
        <f t="shared" si="42"/>
        <v>1</v>
      </c>
      <c r="L281" s="666"/>
      <c r="M281" s="21">
        <f t="shared" si="43"/>
        <v>1</v>
      </c>
      <c r="N281" s="666"/>
      <c r="O281" s="21">
        <f t="shared" si="44"/>
        <v>1</v>
      </c>
      <c r="P281" s="666"/>
      <c r="Q281" s="21">
        <f t="shared" si="45"/>
        <v>1</v>
      </c>
      <c r="R281" s="662">
        <f t="shared" si="46"/>
        <v>0</v>
      </c>
      <c r="S281" s="315">
        <f t="shared" si="47"/>
        <v>0</v>
      </c>
    </row>
    <row r="282" spans="1:19">
      <c r="A282" s="149"/>
      <c r="B282" s="54"/>
      <c r="C282" s="21">
        <f t="shared" ref="C282:C345" si="48">IF(B282="",1,(LOOKUP(B282,$3:$3,$4:$4)-LOOKUP($B$24,$3:$3,$4:$4)+100)/100)</f>
        <v>1</v>
      </c>
      <c r="D282" s="666"/>
      <c r="E282" s="21">
        <f t="shared" ref="E282:E345" si="49">(SUMIF($5:$5,D282,$6:$6)-SUMIF($5:$5,$D$24,$6:$6)+100)/100</f>
        <v>1</v>
      </c>
      <c r="F282" s="666"/>
      <c r="G282" s="21">
        <f t="shared" ref="G282:G345" si="50">(SUMIF($7:$7,F282,$8:$8)-SUMIF($7:$7,$F$24,$8:$8)+100)/100</f>
        <v>1</v>
      </c>
      <c r="H282" s="666"/>
      <c r="I282" s="21">
        <f t="shared" ref="I282:I345" si="51">(SUMIF($9:$9,H282,$10:$10)-SUMIF($9:$9,$H$24,$10:$10)+100)/100</f>
        <v>1</v>
      </c>
      <c r="J282" s="666"/>
      <c r="K282" s="21">
        <f t="shared" ref="K282:K345" si="52">(SUMIF($11:$11,J282,$12:$12)-SUMIF($11:$11,$J$24,$12:$12)+100)/100</f>
        <v>1</v>
      </c>
      <c r="L282" s="666"/>
      <c r="M282" s="21">
        <f t="shared" ref="M282:M345" si="53">(SUMIF($13:$13,L282,$14:$14)-SUMIF($13:$13,$L$24,$14:$14)+100)/100</f>
        <v>1</v>
      </c>
      <c r="N282" s="666"/>
      <c r="O282" s="21">
        <f t="shared" ref="O282:O345" si="54">(SUMIF($15:$15,N282,$16:$16)-SUMIF($15:$15,$N$24,$16:$16)+100)/100</f>
        <v>1</v>
      </c>
      <c r="P282" s="666"/>
      <c r="Q282" s="21">
        <f t="shared" ref="Q282:Q345" si="55">(SUMIF($17:$17,P282,$18:$18)-SUMIF($17:$17,$P$24,$18:$18)+100)/100</f>
        <v>1</v>
      </c>
      <c r="R282" s="662">
        <f t="shared" ref="R282:R345" si="56">IF(B282="",0,ROUND($R$24*C282*E282*G282*I282*K282*M282*O282*Q282,0))</f>
        <v>0</v>
      </c>
      <c r="S282" s="315">
        <f t="shared" si="47"/>
        <v>0</v>
      </c>
    </row>
    <row r="283" spans="1:19">
      <c r="A283" s="149"/>
      <c r="B283" s="54"/>
      <c r="C283" s="21">
        <f t="shared" si="48"/>
        <v>1</v>
      </c>
      <c r="D283" s="666"/>
      <c r="E283" s="21">
        <f t="shared" si="49"/>
        <v>1</v>
      </c>
      <c r="F283" s="666"/>
      <c r="G283" s="21">
        <f t="shared" si="50"/>
        <v>1</v>
      </c>
      <c r="H283" s="666"/>
      <c r="I283" s="21">
        <f t="shared" si="51"/>
        <v>1</v>
      </c>
      <c r="J283" s="666"/>
      <c r="K283" s="21">
        <f t="shared" si="52"/>
        <v>1</v>
      </c>
      <c r="L283" s="666"/>
      <c r="M283" s="21">
        <f t="shared" si="53"/>
        <v>1</v>
      </c>
      <c r="N283" s="666"/>
      <c r="O283" s="21">
        <f t="shared" si="54"/>
        <v>1</v>
      </c>
      <c r="P283" s="666"/>
      <c r="Q283" s="21">
        <f t="shared" si="55"/>
        <v>1</v>
      </c>
      <c r="R283" s="662">
        <f t="shared" si="56"/>
        <v>0</v>
      </c>
      <c r="S283" s="315">
        <f t="shared" si="47"/>
        <v>0</v>
      </c>
    </row>
    <row r="284" spans="1:19">
      <c r="A284" s="149"/>
      <c r="B284" s="54"/>
      <c r="C284" s="21">
        <f t="shared" si="48"/>
        <v>1</v>
      </c>
      <c r="D284" s="666"/>
      <c r="E284" s="21">
        <f t="shared" si="49"/>
        <v>1</v>
      </c>
      <c r="F284" s="666"/>
      <c r="G284" s="21">
        <f t="shared" si="50"/>
        <v>1</v>
      </c>
      <c r="H284" s="666"/>
      <c r="I284" s="21">
        <f t="shared" si="51"/>
        <v>1</v>
      </c>
      <c r="J284" s="666"/>
      <c r="K284" s="21">
        <f t="shared" si="52"/>
        <v>1</v>
      </c>
      <c r="L284" s="666"/>
      <c r="M284" s="21">
        <f t="shared" si="53"/>
        <v>1</v>
      </c>
      <c r="N284" s="666"/>
      <c r="O284" s="21">
        <f t="shared" si="54"/>
        <v>1</v>
      </c>
      <c r="P284" s="666"/>
      <c r="Q284" s="21">
        <f t="shared" si="55"/>
        <v>1</v>
      </c>
      <c r="R284" s="662">
        <f t="shared" si="56"/>
        <v>0</v>
      </c>
      <c r="S284" s="315">
        <f t="shared" si="47"/>
        <v>0</v>
      </c>
    </row>
    <row r="285" spans="1:19">
      <c r="A285" s="149"/>
      <c r="B285" s="54"/>
      <c r="C285" s="21">
        <f t="shared" si="48"/>
        <v>1</v>
      </c>
      <c r="D285" s="666"/>
      <c r="E285" s="21">
        <f t="shared" si="49"/>
        <v>1</v>
      </c>
      <c r="F285" s="666"/>
      <c r="G285" s="21">
        <f t="shared" si="50"/>
        <v>1</v>
      </c>
      <c r="H285" s="666"/>
      <c r="I285" s="21">
        <f t="shared" si="51"/>
        <v>1</v>
      </c>
      <c r="J285" s="666"/>
      <c r="K285" s="21">
        <f t="shared" si="52"/>
        <v>1</v>
      </c>
      <c r="L285" s="666"/>
      <c r="M285" s="21">
        <f t="shared" si="53"/>
        <v>1</v>
      </c>
      <c r="N285" s="666"/>
      <c r="O285" s="21">
        <f t="shared" si="54"/>
        <v>1</v>
      </c>
      <c r="P285" s="666"/>
      <c r="Q285" s="21">
        <f t="shared" si="55"/>
        <v>1</v>
      </c>
      <c r="R285" s="662">
        <f t="shared" si="56"/>
        <v>0</v>
      </c>
      <c r="S285" s="315">
        <f t="shared" si="47"/>
        <v>0</v>
      </c>
    </row>
    <row r="286" spans="1:19">
      <c r="A286" s="149"/>
      <c r="B286" s="54"/>
      <c r="C286" s="21">
        <f t="shared" si="48"/>
        <v>1</v>
      </c>
      <c r="D286" s="666"/>
      <c r="E286" s="21">
        <f t="shared" si="49"/>
        <v>1</v>
      </c>
      <c r="F286" s="666"/>
      <c r="G286" s="21">
        <f t="shared" si="50"/>
        <v>1</v>
      </c>
      <c r="H286" s="666"/>
      <c r="I286" s="21">
        <f t="shared" si="51"/>
        <v>1</v>
      </c>
      <c r="J286" s="666"/>
      <c r="K286" s="21">
        <f t="shared" si="52"/>
        <v>1</v>
      </c>
      <c r="L286" s="666"/>
      <c r="M286" s="21">
        <f t="shared" si="53"/>
        <v>1</v>
      </c>
      <c r="N286" s="666"/>
      <c r="O286" s="21">
        <f t="shared" si="54"/>
        <v>1</v>
      </c>
      <c r="P286" s="666"/>
      <c r="Q286" s="21">
        <f t="shared" si="55"/>
        <v>1</v>
      </c>
      <c r="R286" s="662">
        <f t="shared" si="56"/>
        <v>0</v>
      </c>
      <c r="S286" s="315">
        <f t="shared" si="47"/>
        <v>0</v>
      </c>
    </row>
    <row r="287" spans="1:19">
      <c r="A287" s="149"/>
      <c r="B287" s="54"/>
      <c r="C287" s="21">
        <f t="shared" si="48"/>
        <v>1</v>
      </c>
      <c r="D287" s="666"/>
      <c r="E287" s="21">
        <f t="shared" si="49"/>
        <v>1</v>
      </c>
      <c r="F287" s="666"/>
      <c r="G287" s="21">
        <f t="shared" si="50"/>
        <v>1</v>
      </c>
      <c r="H287" s="666"/>
      <c r="I287" s="21">
        <f t="shared" si="51"/>
        <v>1</v>
      </c>
      <c r="J287" s="666"/>
      <c r="K287" s="21">
        <f t="shared" si="52"/>
        <v>1</v>
      </c>
      <c r="L287" s="666"/>
      <c r="M287" s="21">
        <f t="shared" si="53"/>
        <v>1</v>
      </c>
      <c r="N287" s="666"/>
      <c r="O287" s="21">
        <f t="shared" si="54"/>
        <v>1</v>
      </c>
      <c r="P287" s="666"/>
      <c r="Q287" s="21">
        <f t="shared" si="55"/>
        <v>1</v>
      </c>
      <c r="R287" s="662">
        <f t="shared" si="56"/>
        <v>0</v>
      </c>
      <c r="S287" s="315">
        <f t="shared" ref="S287:S320" si="57">ROUND(R287*B287/10000,0)</f>
        <v>0</v>
      </c>
    </row>
    <row r="288" spans="1:19">
      <c r="A288" s="149"/>
      <c r="B288" s="54"/>
      <c r="C288" s="21">
        <f t="shared" si="48"/>
        <v>1</v>
      </c>
      <c r="D288" s="666"/>
      <c r="E288" s="21">
        <f t="shared" si="49"/>
        <v>1</v>
      </c>
      <c r="F288" s="666"/>
      <c r="G288" s="21">
        <f t="shared" si="50"/>
        <v>1</v>
      </c>
      <c r="H288" s="666"/>
      <c r="I288" s="21">
        <f t="shared" si="51"/>
        <v>1</v>
      </c>
      <c r="J288" s="666"/>
      <c r="K288" s="21">
        <f t="shared" si="52"/>
        <v>1</v>
      </c>
      <c r="L288" s="666"/>
      <c r="M288" s="21">
        <f t="shared" si="53"/>
        <v>1</v>
      </c>
      <c r="N288" s="666"/>
      <c r="O288" s="21">
        <f t="shared" si="54"/>
        <v>1</v>
      </c>
      <c r="P288" s="666"/>
      <c r="Q288" s="21">
        <f t="shared" si="55"/>
        <v>1</v>
      </c>
      <c r="R288" s="662">
        <f t="shared" si="56"/>
        <v>0</v>
      </c>
      <c r="S288" s="315">
        <f t="shared" si="57"/>
        <v>0</v>
      </c>
    </row>
    <row r="289" spans="1:19">
      <c r="A289" s="149"/>
      <c r="B289" s="54"/>
      <c r="C289" s="21">
        <f t="shared" si="48"/>
        <v>1</v>
      </c>
      <c r="D289" s="666"/>
      <c r="E289" s="21">
        <f t="shared" si="49"/>
        <v>1</v>
      </c>
      <c r="F289" s="666"/>
      <c r="G289" s="21">
        <f t="shared" si="50"/>
        <v>1</v>
      </c>
      <c r="H289" s="666"/>
      <c r="I289" s="21">
        <f t="shared" si="51"/>
        <v>1</v>
      </c>
      <c r="J289" s="666"/>
      <c r="K289" s="21">
        <f t="shared" si="52"/>
        <v>1</v>
      </c>
      <c r="L289" s="666"/>
      <c r="M289" s="21">
        <f t="shared" si="53"/>
        <v>1</v>
      </c>
      <c r="N289" s="666"/>
      <c r="O289" s="21">
        <f t="shared" si="54"/>
        <v>1</v>
      </c>
      <c r="P289" s="666"/>
      <c r="Q289" s="21">
        <f t="shared" si="55"/>
        <v>1</v>
      </c>
      <c r="R289" s="662">
        <f t="shared" si="56"/>
        <v>0</v>
      </c>
      <c r="S289" s="315">
        <f t="shared" si="57"/>
        <v>0</v>
      </c>
    </row>
    <row r="290" spans="1:19">
      <c r="A290" s="149"/>
      <c r="B290" s="54"/>
      <c r="C290" s="21">
        <f t="shared" si="48"/>
        <v>1</v>
      </c>
      <c r="D290" s="666"/>
      <c r="E290" s="21">
        <f t="shared" si="49"/>
        <v>1</v>
      </c>
      <c r="F290" s="666"/>
      <c r="G290" s="21">
        <f t="shared" si="50"/>
        <v>1</v>
      </c>
      <c r="H290" s="666"/>
      <c r="I290" s="21">
        <f t="shared" si="51"/>
        <v>1</v>
      </c>
      <c r="J290" s="666"/>
      <c r="K290" s="21">
        <f t="shared" si="52"/>
        <v>1</v>
      </c>
      <c r="L290" s="666"/>
      <c r="M290" s="21">
        <f t="shared" si="53"/>
        <v>1</v>
      </c>
      <c r="N290" s="666"/>
      <c r="O290" s="21">
        <f t="shared" si="54"/>
        <v>1</v>
      </c>
      <c r="P290" s="666"/>
      <c r="Q290" s="21">
        <f t="shared" si="55"/>
        <v>1</v>
      </c>
      <c r="R290" s="662">
        <f t="shared" si="56"/>
        <v>0</v>
      </c>
      <c r="S290" s="315">
        <f t="shared" si="57"/>
        <v>0</v>
      </c>
    </row>
    <row r="291" spans="1:19">
      <c r="A291" s="149"/>
      <c r="B291" s="54"/>
      <c r="C291" s="21">
        <f t="shared" si="48"/>
        <v>1</v>
      </c>
      <c r="D291" s="666"/>
      <c r="E291" s="21">
        <f t="shared" si="49"/>
        <v>1</v>
      </c>
      <c r="F291" s="666"/>
      <c r="G291" s="21">
        <f t="shared" si="50"/>
        <v>1</v>
      </c>
      <c r="H291" s="666"/>
      <c r="I291" s="21">
        <f t="shared" si="51"/>
        <v>1</v>
      </c>
      <c r="J291" s="666"/>
      <c r="K291" s="21">
        <f t="shared" si="52"/>
        <v>1</v>
      </c>
      <c r="L291" s="666"/>
      <c r="M291" s="21">
        <f t="shared" si="53"/>
        <v>1</v>
      </c>
      <c r="N291" s="666"/>
      <c r="O291" s="21">
        <f t="shared" si="54"/>
        <v>1</v>
      </c>
      <c r="P291" s="666"/>
      <c r="Q291" s="21">
        <f t="shared" si="55"/>
        <v>1</v>
      </c>
      <c r="R291" s="662">
        <f t="shared" si="56"/>
        <v>0</v>
      </c>
      <c r="S291" s="315">
        <f t="shared" si="57"/>
        <v>0</v>
      </c>
    </row>
    <row r="292" spans="1:19">
      <c r="A292" s="149"/>
      <c r="B292" s="54"/>
      <c r="C292" s="21">
        <f t="shared" si="48"/>
        <v>1</v>
      </c>
      <c r="D292" s="666"/>
      <c r="E292" s="21">
        <f t="shared" si="49"/>
        <v>1</v>
      </c>
      <c r="F292" s="666"/>
      <c r="G292" s="21">
        <f t="shared" si="50"/>
        <v>1</v>
      </c>
      <c r="H292" s="666"/>
      <c r="I292" s="21">
        <f t="shared" si="51"/>
        <v>1</v>
      </c>
      <c r="J292" s="666"/>
      <c r="K292" s="21">
        <f t="shared" si="52"/>
        <v>1</v>
      </c>
      <c r="L292" s="666"/>
      <c r="M292" s="21">
        <f t="shared" si="53"/>
        <v>1</v>
      </c>
      <c r="N292" s="666"/>
      <c r="O292" s="21">
        <f t="shared" si="54"/>
        <v>1</v>
      </c>
      <c r="P292" s="666"/>
      <c r="Q292" s="21">
        <f t="shared" si="55"/>
        <v>1</v>
      </c>
      <c r="R292" s="662">
        <f t="shared" si="56"/>
        <v>0</v>
      </c>
      <c r="S292" s="315">
        <f t="shared" si="57"/>
        <v>0</v>
      </c>
    </row>
    <row r="293" spans="1:19">
      <c r="A293" s="149"/>
      <c r="B293" s="54"/>
      <c r="C293" s="21">
        <f t="shared" si="48"/>
        <v>1</v>
      </c>
      <c r="D293" s="666"/>
      <c r="E293" s="21">
        <f t="shared" si="49"/>
        <v>1</v>
      </c>
      <c r="F293" s="666"/>
      <c r="G293" s="21">
        <f t="shared" si="50"/>
        <v>1</v>
      </c>
      <c r="H293" s="666"/>
      <c r="I293" s="21">
        <f t="shared" si="51"/>
        <v>1</v>
      </c>
      <c r="J293" s="666"/>
      <c r="K293" s="21">
        <f t="shared" si="52"/>
        <v>1</v>
      </c>
      <c r="L293" s="666"/>
      <c r="M293" s="21">
        <f t="shared" si="53"/>
        <v>1</v>
      </c>
      <c r="N293" s="666"/>
      <c r="O293" s="21">
        <f t="shared" si="54"/>
        <v>1</v>
      </c>
      <c r="P293" s="666"/>
      <c r="Q293" s="21">
        <f t="shared" si="55"/>
        <v>1</v>
      </c>
      <c r="R293" s="662">
        <f t="shared" si="56"/>
        <v>0</v>
      </c>
      <c r="S293" s="315">
        <f t="shared" si="57"/>
        <v>0</v>
      </c>
    </row>
    <row r="294" spans="1:19">
      <c r="A294" s="149"/>
      <c r="B294" s="54"/>
      <c r="C294" s="21">
        <f t="shared" si="48"/>
        <v>1</v>
      </c>
      <c r="D294" s="666"/>
      <c r="E294" s="21">
        <f t="shared" si="49"/>
        <v>1</v>
      </c>
      <c r="F294" s="666"/>
      <c r="G294" s="21">
        <f t="shared" si="50"/>
        <v>1</v>
      </c>
      <c r="H294" s="666"/>
      <c r="I294" s="21">
        <f t="shared" si="51"/>
        <v>1</v>
      </c>
      <c r="J294" s="666"/>
      <c r="K294" s="21">
        <f t="shared" si="52"/>
        <v>1</v>
      </c>
      <c r="L294" s="666"/>
      <c r="M294" s="21">
        <f t="shared" si="53"/>
        <v>1</v>
      </c>
      <c r="N294" s="666"/>
      <c r="O294" s="21">
        <f t="shared" si="54"/>
        <v>1</v>
      </c>
      <c r="P294" s="666"/>
      <c r="Q294" s="21">
        <f t="shared" si="55"/>
        <v>1</v>
      </c>
      <c r="R294" s="662">
        <f t="shared" si="56"/>
        <v>0</v>
      </c>
      <c r="S294" s="315">
        <f t="shared" si="57"/>
        <v>0</v>
      </c>
    </row>
    <row r="295" spans="1:19">
      <c r="A295" s="149"/>
      <c r="B295" s="54"/>
      <c r="C295" s="21">
        <f t="shared" si="48"/>
        <v>1</v>
      </c>
      <c r="D295" s="666"/>
      <c r="E295" s="21">
        <f t="shared" si="49"/>
        <v>1</v>
      </c>
      <c r="F295" s="666"/>
      <c r="G295" s="21">
        <f t="shared" si="50"/>
        <v>1</v>
      </c>
      <c r="H295" s="666"/>
      <c r="I295" s="21">
        <f t="shared" si="51"/>
        <v>1</v>
      </c>
      <c r="J295" s="666"/>
      <c r="K295" s="21">
        <f t="shared" si="52"/>
        <v>1</v>
      </c>
      <c r="L295" s="666"/>
      <c r="M295" s="21">
        <f t="shared" si="53"/>
        <v>1</v>
      </c>
      <c r="N295" s="666"/>
      <c r="O295" s="21">
        <f t="shared" si="54"/>
        <v>1</v>
      </c>
      <c r="P295" s="666"/>
      <c r="Q295" s="21">
        <f t="shared" si="55"/>
        <v>1</v>
      </c>
      <c r="R295" s="662">
        <f t="shared" si="56"/>
        <v>0</v>
      </c>
      <c r="S295" s="315">
        <f t="shared" si="57"/>
        <v>0</v>
      </c>
    </row>
    <row r="296" spans="1:19">
      <c r="A296" s="149"/>
      <c r="B296" s="54"/>
      <c r="C296" s="21">
        <f t="shared" si="48"/>
        <v>1</v>
      </c>
      <c r="D296" s="666"/>
      <c r="E296" s="21">
        <f t="shared" si="49"/>
        <v>1</v>
      </c>
      <c r="F296" s="666"/>
      <c r="G296" s="21">
        <f t="shared" si="50"/>
        <v>1</v>
      </c>
      <c r="H296" s="666"/>
      <c r="I296" s="21">
        <f t="shared" si="51"/>
        <v>1</v>
      </c>
      <c r="J296" s="666"/>
      <c r="K296" s="21">
        <f t="shared" si="52"/>
        <v>1</v>
      </c>
      <c r="L296" s="666"/>
      <c r="M296" s="21">
        <f t="shared" si="53"/>
        <v>1</v>
      </c>
      <c r="N296" s="666"/>
      <c r="O296" s="21">
        <f t="shared" si="54"/>
        <v>1</v>
      </c>
      <c r="P296" s="666"/>
      <c r="Q296" s="21">
        <f t="shared" si="55"/>
        <v>1</v>
      </c>
      <c r="R296" s="662">
        <f t="shared" si="56"/>
        <v>0</v>
      </c>
      <c r="S296" s="315">
        <f t="shared" si="57"/>
        <v>0</v>
      </c>
    </row>
    <row r="297" spans="1:19">
      <c r="A297" s="149"/>
      <c r="B297" s="54"/>
      <c r="C297" s="21">
        <f t="shared" si="48"/>
        <v>1</v>
      </c>
      <c r="D297" s="666"/>
      <c r="E297" s="21">
        <f t="shared" si="49"/>
        <v>1</v>
      </c>
      <c r="F297" s="666"/>
      <c r="G297" s="21">
        <f t="shared" si="50"/>
        <v>1</v>
      </c>
      <c r="H297" s="666"/>
      <c r="I297" s="21">
        <f t="shared" si="51"/>
        <v>1</v>
      </c>
      <c r="J297" s="666"/>
      <c r="K297" s="21">
        <f t="shared" si="52"/>
        <v>1</v>
      </c>
      <c r="L297" s="666"/>
      <c r="M297" s="21">
        <f t="shared" si="53"/>
        <v>1</v>
      </c>
      <c r="N297" s="666"/>
      <c r="O297" s="21">
        <f t="shared" si="54"/>
        <v>1</v>
      </c>
      <c r="P297" s="666"/>
      <c r="Q297" s="21">
        <f t="shared" si="55"/>
        <v>1</v>
      </c>
      <c r="R297" s="662">
        <f t="shared" si="56"/>
        <v>0</v>
      </c>
      <c r="S297" s="315">
        <f t="shared" si="57"/>
        <v>0</v>
      </c>
    </row>
    <row r="298" spans="1:19">
      <c r="A298" s="149"/>
      <c r="B298" s="54"/>
      <c r="C298" s="21">
        <f t="shared" si="48"/>
        <v>1</v>
      </c>
      <c r="D298" s="666"/>
      <c r="E298" s="21">
        <f t="shared" si="49"/>
        <v>1</v>
      </c>
      <c r="F298" s="666"/>
      <c r="G298" s="21">
        <f t="shared" si="50"/>
        <v>1</v>
      </c>
      <c r="H298" s="666"/>
      <c r="I298" s="21">
        <f t="shared" si="51"/>
        <v>1</v>
      </c>
      <c r="J298" s="666"/>
      <c r="K298" s="21">
        <f t="shared" si="52"/>
        <v>1</v>
      </c>
      <c r="L298" s="666"/>
      <c r="M298" s="21">
        <f t="shared" si="53"/>
        <v>1</v>
      </c>
      <c r="N298" s="666"/>
      <c r="O298" s="21">
        <f t="shared" si="54"/>
        <v>1</v>
      </c>
      <c r="P298" s="666"/>
      <c r="Q298" s="21">
        <f t="shared" si="55"/>
        <v>1</v>
      </c>
      <c r="R298" s="662">
        <f t="shared" si="56"/>
        <v>0</v>
      </c>
      <c r="S298" s="315">
        <f t="shared" si="57"/>
        <v>0</v>
      </c>
    </row>
    <row r="299" spans="1:19">
      <c r="A299" s="149"/>
      <c r="B299" s="54"/>
      <c r="C299" s="21">
        <f t="shared" si="48"/>
        <v>1</v>
      </c>
      <c r="D299" s="666"/>
      <c r="E299" s="21">
        <f t="shared" si="49"/>
        <v>1</v>
      </c>
      <c r="F299" s="666"/>
      <c r="G299" s="21">
        <f t="shared" si="50"/>
        <v>1</v>
      </c>
      <c r="H299" s="666"/>
      <c r="I299" s="21">
        <f t="shared" si="51"/>
        <v>1</v>
      </c>
      <c r="J299" s="666"/>
      <c r="K299" s="21">
        <f t="shared" si="52"/>
        <v>1</v>
      </c>
      <c r="L299" s="666"/>
      <c r="M299" s="21">
        <f t="shared" si="53"/>
        <v>1</v>
      </c>
      <c r="N299" s="666"/>
      <c r="O299" s="21">
        <f t="shared" si="54"/>
        <v>1</v>
      </c>
      <c r="P299" s="666"/>
      <c r="Q299" s="21">
        <f t="shared" si="55"/>
        <v>1</v>
      </c>
      <c r="R299" s="662">
        <f t="shared" si="56"/>
        <v>0</v>
      </c>
      <c r="S299" s="315">
        <f t="shared" si="57"/>
        <v>0</v>
      </c>
    </row>
    <row r="300" spans="1:19">
      <c r="A300" s="149"/>
      <c r="B300" s="54"/>
      <c r="C300" s="21">
        <f t="shared" si="48"/>
        <v>1</v>
      </c>
      <c r="D300" s="666"/>
      <c r="E300" s="21">
        <f t="shared" si="49"/>
        <v>1</v>
      </c>
      <c r="F300" s="666"/>
      <c r="G300" s="21">
        <f t="shared" si="50"/>
        <v>1</v>
      </c>
      <c r="H300" s="666"/>
      <c r="I300" s="21">
        <f t="shared" si="51"/>
        <v>1</v>
      </c>
      <c r="J300" s="666"/>
      <c r="K300" s="21">
        <f t="shared" si="52"/>
        <v>1</v>
      </c>
      <c r="L300" s="666"/>
      <c r="M300" s="21">
        <f t="shared" si="53"/>
        <v>1</v>
      </c>
      <c r="N300" s="666"/>
      <c r="O300" s="21">
        <f t="shared" si="54"/>
        <v>1</v>
      </c>
      <c r="P300" s="666"/>
      <c r="Q300" s="21">
        <f t="shared" si="55"/>
        <v>1</v>
      </c>
      <c r="R300" s="662">
        <f t="shared" si="56"/>
        <v>0</v>
      </c>
      <c r="S300" s="315">
        <f t="shared" si="57"/>
        <v>0</v>
      </c>
    </row>
    <row r="301" spans="1:19">
      <c r="A301" s="149"/>
      <c r="B301" s="54"/>
      <c r="C301" s="21">
        <f t="shared" si="48"/>
        <v>1</v>
      </c>
      <c r="D301" s="666"/>
      <c r="E301" s="21">
        <f t="shared" si="49"/>
        <v>1</v>
      </c>
      <c r="F301" s="666"/>
      <c r="G301" s="21">
        <f t="shared" si="50"/>
        <v>1</v>
      </c>
      <c r="H301" s="666"/>
      <c r="I301" s="21">
        <f t="shared" si="51"/>
        <v>1</v>
      </c>
      <c r="J301" s="666"/>
      <c r="K301" s="21">
        <f t="shared" si="52"/>
        <v>1</v>
      </c>
      <c r="L301" s="666"/>
      <c r="M301" s="21">
        <f t="shared" si="53"/>
        <v>1</v>
      </c>
      <c r="N301" s="666"/>
      <c r="O301" s="21">
        <f t="shared" si="54"/>
        <v>1</v>
      </c>
      <c r="P301" s="666"/>
      <c r="Q301" s="21">
        <f t="shared" si="55"/>
        <v>1</v>
      </c>
      <c r="R301" s="662">
        <f t="shared" si="56"/>
        <v>0</v>
      </c>
      <c r="S301" s="315">
        <f t="shared" si="57"/>
        <v>0</v>
      </c>
    </row>
    <row r="302" spans="1:19">
      <c r="A302" s="149"/>
      <c r="B302" s="54"/>
      <c r="C302" s="21">
        <f t="shared" si="48"/>
        <v>1</v>
      </c>
      <c r="D302" s="666"/>
      <c r="E302" s="21">
        <f t="shared" si="49"/>
        <v>1</v>
      </c>
      <c r="F302" s="666"/>
      <c r="G302" s="21">
        <f t="shared" si="50"/>
        <v>1</v>
      </c>
      <c r="H302" s="666"/>
      <c r="I302" s="21">
        <f t="shared" si="51"/>
        <v>1</v>
      </c>
      <c r="J302" s="666"/>
      <c r="K302" s="21">
        <f t="shared" si="52"/>
        <v>1</v>
      </c>
      <c r="L302" s="666"/>
      <c r="M302" s="21">
        <f t="shared" si="53"/>
        <v>1</v>
      </c>
      <c r="N302" s="666"/>
      <c r="O302" s="21">
        <f t="shared" si="54"/>
        <v>1</v>
      </c>
      <c r="P302" s="666"/>
      <c r="Q302" s="21">
        <f t="shared" si="55"/>
        <v>1</v>
      </c>
      <c r="R302" s="662">
        <f t="shared" si="56"/>
        <v>0</v>
      </c>
      <c r="S302" s="315">
        <f t="shared" si="57"/>
        <v>0</v>
      </c>
    </row>
    <row r="303" spans="1:19">
      <c r="A303" s="149"/>
      <c r="B303" s="54"/>
      <c r="C303" s="21">
        <f t="shared" si="48"/>
        <v>1</v>
      </c>
      <c r="D303" s="666"/>
      <c r="E303" s="21">
        <f t="shared" si="49"/>
        <v>1</v>
      </c>
      <c r="F303" s="666"/>
      <c r="G303" s="21">
        <f t="shared" si="50"/>
        <v>1</v>
      </c>
      <c r="H303" s="666"/>
      <c r="I303" s="21">
        <f t="shared" si="51"/>
        <v>1</v>
      </c>
      <c r="J303" s="666"/>
      <c r="K303" s="21">
        <f t="shared" si="52"/>
        <v>1</v>
      </c>
      <c r="L303" s="666"/>
      <c r="M303" s="21">
        <f t="shared" si="53"/>
        <v>1</v>
      </c>
      <c r="N303" s="666"/>
      <c r="O303" s="21">
        <f t="shared" si="54"/>
        <v>1</v>
      </c>
      <c r="P303" s="666"/>
      <c r="Q303" s="21">
        <f t="shared" si="55"/>
        <v>1</v>
      </c>
      <c r="R303" s="662">
        <f t="shared" si="56"/>
        <v>0</v>
      </c>
      <c r="S303" s="315">
        <f t="shared" si="57"/>
        <v>0</v>
      </c>
    </row>
    <row r="304" spans="1:19">
      <c r="A304" s="149"/>
      <c r="B304" s="54"/>
      <c r="C304" s="21">
        <f t="shared" si="48"/>
        <v>1</v>
      </c>
      <c r="D304" s="666"/>
      <c r="E304" s="21">
        <f t="shared" si="49"/>
        <v>1</v>
      </c>
      <c r="F304" s="666"/>
      <c r="G304" s="21">
        <f t="shared" si="50"/>
        <v>1</v>
      </c>
      <c r="H304" s="666"/>
      <c r="I304" s="21">
        <f t="shared" si="51"/>
        <v>1</v>
      </c>
      <c r="J304" s="666"/>
      <c r="K304" s="21">
        <f t="shared" si="52"/>
        <v>1</v>
      </c>
      <c r="L304" s="666"/>
      <c r="M304" s="21">
        <f t="shared" si="53"/>
        <v>1</v>
      </c>
      <c r="N304" s="666"/>
      <c r="O304" s="21">
        <f t="shared" si="54"/>
        <v>1</v>
      </c>
      <c r="P304" s="666"/>
      <c r="Q304" s="21">
        <f t="shared" si="55"/>
        <v>1</v>
      </c>
      <c r="R304" s="662">
        <f t="shared" si="56"/>
        <v>0</v>
      </c>
      <c r="S304" s="315">
        <f t="shared" si="57"/>
        <v>0</v>
      </c>
    </row>
    <row r="305" spans="1:19">
      <c r="A305" s="149"/>
      <c r="B305" s="54"/>
      <c r="C305" s="21">
        <f t="shared" si="48"/>
        <v>1</v>
      </c>
      <c r="D305" s="666"/>
      <c r="E305" s="21">
        <f t="shared" si="49"/>
        <v>1</v>
      </c>
      <c r="F305" s="666"/>
      <c r="G305" s="21">
        <f t="shared" si="50"/>
        <v>1</v>
      </c>
      <c r="H305" s="666"/>
      <c r="I305" s="21">
        <f t="shared" si="51"/>
        <v>1</v>
      </c>
      <c r="J305" s="666"/>
      <c r="K305" s="21">
        <f t="shared" si="52"/>
        <v>1</v>
      </c>
      <c r="L305" s="666"/>
      <c r="M305" s="21">
        <f t="shared" si="53"/>
        <v>1</v>
      </c>
      <c r="N305" s="666"/>
      <c r="O305" s="21">
        <f t="shared" si="54"/>
        <v>1</v>
      </c>
      <c r="P305" s="666"/>
      <c r="Q305" s="21">
        <f t="shared" si="55"/>
        <v>1</v>
      </c>
      <c r="R305" s="662">
        <f t="shared" si="56"/>
        <v>0</v>
      </c>
      <c r="S305" s="315">
        <f t="shared" si="57"/>
        <v>0</v>
      </c>
    </row>
    <row r="306" spans="1:19">
      <c r="A306" s="149"/>
      <c r="B306" s="54"/>
      <c r="C306" s="21">
        <f t="shared" si="48"/>
        <v>1</v>
      </c>
      <c r="D306" s="666"/>
      <c r="E306" s="21">
        <f t="shared" si="49"/>
        <v>1</v>
      </c>
      <c r="F306" s="666"/>
      <c r="G306" s="21">
        <f t="shared" si="50"/>
        <v>1</v>
      </c>
      <c r="H306" s="666"/>
      <c r="I306" s="21">
        <f t="shared" si="51"/>
        <v>1</v>
      </c>
      <c r="J306" s="666"/>
      <c r="K306" s="21">
        <f t="shared" si="52"/>
        <v>1</v>
      </c>
      <c r="L306" s="666"/>
      <c r="M306" s="21">
        <f t="shared" si="53"/>
        <v>1</v>
      </c>
      <c r="N306" s="666"/>
      <c r="O306" s="21">
        <f t="shared" si="54"/>
        <v>1</v>
      </c>
      <c r="P306" s="666"/>
      <c r="Q306" s="21">
        <f t="shared" si="55"/>
        <v>1</v>
      </c>
      <c r="R306" s="662">
        <f t="shared" si="56"/>
        <v>0</v>
      </c>
      <c r="S306" s="315">
        <f t="shared" si="57"/>
        <v>0</v>
      </c>
    </row>
    <row r="307" spans="1:19">
      <c r="A307" s="149"/>
      <c r="B307" s="54"/>
      <c r="C307" s="21">
        <f t="shared" si="48"/>
        <v>1</v>
      </c>
      <c r="D307" s="666"/>
      <c r="E307" s="21">
        <f t="shared" si="49"/>
        <v>1</v>
      </c>
      <c r="F307" s="666"/>
      <c r="G307" s="21">
        <f t="shared" si="50"/>
        <v>1</v>
      </c>
      <c r="H307" s="666"/>
      <c r="I307" s="21">
        <f t="shared" si="51"/>
        <v>1</v>
      </c>
      <c r="J307" s="666"/>
      <c r="K307" s="21">
        <f t="shared" si="52"/>
        <v>1</v>
      </c>
      <c r="L307" s="666"/>
      <c r="M307" s="21">
        <f t="shared" si="53"/>
        <v>1</v>
      </c>
      <c r="N307" s="666"/>
      <c r="O307" s="21">
        <f t="shared" si="54"/>
        <v>1</v>
      </c>
      <c r="P307" s="666"/>
      <c r="Q307" s="21">
        <f t="shared" si="55"/>
        <v>1</v>
      </c>
      <c r="R307" s="662">
        <f t="shared" si="56"/>
        <v>0</v>
      </c>
      <c r="S307" s="315">
        <f t="shared" si="57"/>
        <v>0</v>
      </c>
    </row>
    <row r="308" spans="1:19">
      <c r="A308" s="149"/>
      <c r="B308" s="54"/>
      <c r="C308" s="21">
        <f t="shared" si="48"/>
        <v>1</v>
      </c>
      <c r="D308" s="666"/>
      <c r="E308" s="21">
        <f t="shared" si="49"/>
        <v>1</v>
      </c>
      <c r="F308" s="666"/>
      <c r="G308" s="21">
        <f t="shared" si="50"/>
        <v>1</v>
      </c>
      <c r="H308" s="666"/>
      <c r="I308" s="21">
        <f t="shared" si="51"/>
        <v>1</v>
      </c>
      <c r="J308" s="666"/>
      <c r="K308" s="21">
        <f t="shared" si="52"/>
        <v>1</v>
      </c>
      <c r="L308" s="666"/>
      <c r="M308" s="21">
        <f t="shared" si="53"/>
        <v>1</v>
      </c>
      <c r="N308" s="666"/>
      <c r="O308" s="21">
        <f t="shared" si="54"/>
        <v>1</v>
      </c>
      <c r="P308" s="666"/>
      <c r="Q308" s="21">
        <f t="shared" si="55"/>
        <v>1</v>
      </c>
      <c r="R308" s="662">
        <f t="shared" si="56"/>
        <v>0</v>
      </c>
      <c r="S308" s="315">
        <f t="shared" si="57"/>
        <v>0</v>
      </c>
    </row>
    <row r="309" spans="1:19">
      <c r="A309" s="149"/>
      <c r="B309" s="54"/>
      <c r="C309" s="21">
        <f t="shared" si="48"/>
        <v>1</v>
      </c>
      <c r="D309" s="666"/>
      <c r="E309" s="21">
        <f t="shared" si="49"/>
        <v>1</v>
      </c>
      <c r="F309" s="666"/>
      <c r="G309" s="21">
        <f t="shared" si="50"/>
        <v>1</v>
      </c>
      <c r="H309" s="666"/>
      <c r="I309" s="21">
        <f t="shared" si="51"/>
        <v>1</v>
      </c>
      <c r="J309" s="666"/>
      <c r="K309" s="21">
        <f t="shared" si="52"/>
        <v>1</v>
      </c>
      <c r="L309" s="666"/>
      <c r="M309" s="21">
        <f t="shared" si="53"/>
        <v>1</v>
      </c>
      <c r="N309" s="666"/>
      <c r="O309" s="21">
        <f t="shared" si="54"/>
        <v>1</v>
      </c>
      <c r="P309" s="666"/>
      <c r="Q309" s="21">
        <f t="shared" si="55"/>
        <v>1</v>
      </c>
      <c r="R309" s="662">
        <f t="shared" si="56"/>
        <v>0</v>
      </c>
      <c r="S309" s="315">
        <f t="shared" si="57"/>
        <v>0</v>
      </c>
    </row>
    <row r="310" spans="1:19">
      <c r="A310" s="149"/>
      <c r="B310" s="54"/>
      <c r="C310" s="21">
        <f t="shared" si="48"/>
        <v>1</v>
      </c>
      <c r="D310" s="666"/>
      <c r="E310" s="21">
        <f t="shared" si="49"/>
        <v>1</v>
      </c>
      <c r="F310" s="666"/>
      <c r="G310" s="21">
        <f t="shared" si="50"/>
        <v>1</v>
      </c>
      <c r="H310" s="666"/>
      <c r="I310" s="21">
        <f t="shared" si="51"/>
        <v>1</v>
      </c>
      <c r="J310" s="666"/>
      <c r="K310" s="21">
        <f t="shared" si="52"/>
        <v>1</v>
      </c>
      <c r="L310" s="666"/>
      <c r="M310" s="21">
        <f t="shared" si="53"/>
        <v>1</v>
      </c>
      <c r="N310" s="666"/>
      <c r="O310" s="21">
        <f t="shared" si="54"/>
        <v>1</v>
      </c>
      <c r="P310" s="666"/>
      <c r="Q310" s="21">
        <f t="shared" si="55"/>
        <v>1</v>
      </c>
      <c r="R310" s="662">
        <f t="shared" si="56"/>
        <v>0</v>
      </c>
      <c r="S310" s="315">
        <f t="shared" si="57"/>
        <v>0</v>
      </c>
    </row>
    <row r="311" spans="1:19">
      <c r="A311" s="149"/>
      <c r="B311" s="54"/>
      <c r="C311" s="21">
        <f t="shared" si="48"/>
        <v>1</v>
      </c>
      <c r="D311" s="666"/>
      <c r="E311" s="21">
        <f t="shared" si="49"/>
        <v>1</v>
      </c>
      <c r="F311" s="666"/>
      <c r="G311" s="21">
        <f t="shared" si="50"/>
        <v>1</v>
      </c>
      <c r="H311" s="666"/>
      <c r="I311" s="21">
        <f t="shared" si="51"/>
        <v>1</v>
      </c>
      <c r="J311" s="666"/>
      <c r="K311" s="21">
        <f t="shared" si="52"/>
        <v>1</v>
      </c>
      <c r="L311" s="666"/>
      <c r="M311" s="21">
        <f t="shared" si="53"/>
        <v>1</v>
      </c>
      <c r="N311" s="666"/>
      <c r="O311" s="21">
        <f t="shared" si="54"/>
        <v>1</v>
      </c>
      <c r="P311" s="666"/>
      <c r="Q311" s="21">
        <f t="shared" si="55"/>
        <v>1</v>
      </c>
      <c r="R311" s="662">
        <f t="shared" si="56"/>
        <v>0</v>
      </c>
      <c r="S311" s="315">
        <f t="shared" si="57"/>
        <v>0</v>
      </c>
    </row>
    <row r="312" spans="1:19">
      <c r="A312" s="149"/>
      <c r="B312" s="54"/>
      <c r="C312" s="21">
        <f t="shared" si="48"/>
        <v>1</v>
      </c>
      <c r="D312" s="666"/>
      <c r="E312" s="21">
        <f t="shared" si="49"/>
        <v>1</v>
      </c>
      <c r="F312" s="666"/>
      <c r="G312" s="21">
        <f t="shared" si="50"/>
        <v>1</v>
      </c>
      <c r="H312" s="666"/>
      <c r="I312" s="21">
        <f t="shared" si="51"/>
        <v>1</v>
      </c>
      <c r="J312" s="666"/>
      <c r="K312" s="21">
        <f t="shared" si="52"/>
        <v>1</v>
      </c>
      <c r="L312" s="666"/>
      <c r="M312" s="21">
        <f t="shared" si="53"/>
        <v>1</v>
      </c>
      <c r="N312" s="666"/>
      <c r="O312" s="21">
        <f t="shared" si="54"/>
        <v>1</v>
      </c>
      <c r="P312" s="666"/>
      <c r="Q312" s="21">
        <f t="shared" si="55"/>
        <v>1</v>
      </c>
      <c r="R312" s="662">
        <f t="shared" si="56"/>
        <v>0</v>
      </c>
      <c r="S312" s="315">
        <f t="shared" si="57"/>
        <v>0</v>
      </c>
    </row>
    <row r="313" spans="1:19">
      <c r="A313" s="149"/>
      <c r="B313" s="54"/>
      <c r="C313" s="21">
        <f t="shared" si="48"/>
        <v>1</v>
      </c>
      <c r="D313" s="666"/>
      <c r="E313" s="21">
        <f t="shared" si="49"/>
        <v>1</v>
      </c>
      <c r="F313" s="666"/>
      <c r="G313" s="21">
        <f t="shared" si="50"/>
        <v>1</v>
      </c>
      <c r="H313" s="666"/>
      <c r="I313" s="21">
        <f t="shared" si="51"/>
        <v>1</v>
      </c>
      <c r="J313" s="666"/>
      <c r="K313" s="21">
        <f t="shared" si="52"/>
        <v>1</v>
      </c>
      <c r="L313" s="666"/>
      <c r="M313" s="21">
        <f t="shared" si="53"/>
        <v>1</v>
      </c>
      <c r="N313" s="666"/>
      <c r="O313" s="21">
        <f t="shared" si="54"/>
        <v>1</v>
      </c>
      <c r="P313" s="666"/>
      <c r="Q313" s="21">
        <f t="shared" si="55"/>
        <v>1</v>
      </c>
      <c r="R313" s="662">
        <f t="shared" si="56"/>
        <v>0</v>
      </c>
      <c r="S313" s="315">
        <f t="shared" si="57"/>
        <v>0</v>
      </c>
    </row>
    <row r="314" spans="1:19">
      <c r="A314" s="149"/>
      <c r="B314" s="54"/>
      <c r="C314" s="21">
        <f t="shared" si="48"/>
        <v>1</v>
      </c>
      <c r="D314" s="666"/>
      <c r="E314" s="21">
        <f t="shared" si="49"/>
        <v>1</v>
      </c>
      <c r="F314" s="666"/>
      <c r="G314" s="21">
        <f t="shared" si="50"/>
        <v>1</v>
      </c>
      <c r="H314" s="666"/>
      <c r="I314" s="21">
        <f t="shared" si="51"/>
        <v>1</v>
      </c>
      <c r="J314" s="666"/>
      <c r="K314" s="21">
        <f t="shared" si="52"/>
        <v>1</v>
      </c>
      <c r="L314" s="666"/>
      <c r="M314" s="21">
        <f t="shared" si="53"/>
        <v>1</v>
      </c>
      <c r="N314" s="666"/>
      <c r="O314" s="21">
        <f t="shared" si="54"/>
        <v>1</v>
      </c>
      <c r="P314" s="666"/>
      <c r="Q314" s="21">
        <f t="shared" si="55"/>
        <v>1</v>
      </c>
      <c r="R314" s="662">
        <f t="shared" si="56"/>
        <v>0</v>
      </c>
      <c r="S314" s="315">
        <f t="shared" si="57"/>
        <v>0</v>
      </c>
    </row>
    <row r="315" spans="1:19">
      <c r="A315" s="149"/>
      <c r="B315" s="54"/>
      <c r="C315" s="21">
        <f t="shared" si="48"/>
        <v>1</v>
      </c>
      <c r="D315" s="666"/>
      <c r="E315" s="21">
        <f t="shared" si="49"/>
        <v>1</v>
      </c>
      <c r="F315" s="666"/>
      <c r="G315" s="21">
        <f t="shared" si="50"/>
        <v>1</v>
      </c>
      <c r="H315" s="666"/>
      <c r="I315" s="21">
        <f t="shared" si="51"/>
        <v>1</v>
      </c>
      <c r="J315" s="666"/>
      <c r="K315" s="21">
        <f t="shared" si="52"/>
        <v>1</v>
      </c>
      <c r="L315" s="666"/>
      <c r="M315" s="21">
        <f t="shared" si="53"/>
        <v>1</v>
      </c>
      <c r="N315" s="666"/>
      <c r="O315" s="21">
        <f t="shared" si="54"/>
        <v>1</v>
      </c>
      <c r="P315" s="666"/>
      <c r="Q315" s="21">
        <f t="shared" si="55"/>
        <v>1</v>
      </c>
      <c r="R315" s="662">
        <f t="shared" si="56"/>
        <v>0</v>
      </c>
      <c r="S315" s="315">
        <f t="shared" si="57"/>
        <v>0</v>
      </c>
    </row>
    <row r="316" spans="1:19">
      <c r="A316" s="149"/>
      <c r="B316" s="54"/>
      <c r="C316" s="21">
        <f t="shared" si="48"/>
        <v>1</v>
      </c>
      <c r="D316" s="666"/>
      <c r="E316" s="21">
        <f t="shared" si="49"/>
        <v>1</v>
      </c>
      <c r="F316" s="666"/>
      <c r="G316" s="21">
        <f t="shared" si="50"/>
        <v>1</v>
      </c>
      <c r="H316" s="666"/>
      <c r="I316" s="21">
        <f t="shared" si="51"/>
        <v>1</v>
      </c>
      <c r="J316" s="666"/>
      <c r="K316" s="21">
        <f t="shared" si="52"/>
        <v>1</v>
      </c>
      <c r="L316" s="666"/>
      <c r="M316" s="21">
        <f t="shared" si="53"/>
        <v>1</v>
      </c>
      <c r="N316" s="666"/>
      <c r="O316" s="21">
        <f t="shared" si="54"/>
        <v>1</v>
      </c>
      <c r="P316" s="666"/>
      <c r="Q316" s="21">
        <f t="shared" si="55"/>
        <v>1</v>
      </c>
      <c r="R316" s="662">
        <f t="shared" si="56"/>
        <v>0</v>
      </c>
      <c r="S316" s="315">
        <f t="shared" si="57"/>
        <v>0</v>
      </c>
    </row>
    <row r="317" spans="1:19">
      <c r="A317" s="149"/>
      <c r="B317" s="54"/>
      <c r="C317" s="21">
        <f t="shared" si="48"/>
        <v>1</v>
      </c>
      <c r="D317" s="666"/>
      <c r="E317" s="21">
        <f t="shared" si="49"/>
        <v>1</v>
      </c>
      <c r="F317" s="666"/>
      <c r="G317" s="21">
        <f t="shared" si="50"/>
        <v>1</v>
      </c>
      <c r="H317" s="666"/>
      <c r="I317" s="21">
        <f t="shared" si="51"/>
        <v>1</v>
      </c>
      <c r="J317" s="666"/>
      <c r="K317" s="21">
        <f t="shared" si="52"/>
        <v>1</v>
      </c>
      <c r="L317" s="666"/>
      <c r="M317" s="21">
        <f t="shared" si="53"/>
        <v>1</v>
      </c>
      <c r="N317" s="666"/>
      <c r="O317" s="21">
        <f t="shared" si="54"/>
        <v>1</v>
      </c>
      <c r="P317" s="666"/>
      <c r="Q317" s="21">
        <f t="shared" si="55"/>
        <v>1</v>
      </c>
      <c r="R317" s="662">
        <f t="shared" si="56"/>
        <v>0</v>
      </c>
      <c r="S317" s="315">
        <f t="shared" si="57"/>
        <v>0</v>
      </c>
    </row>
    <row r="318" spans="1:19">
      <c r="A318" s="149"/>
      <c r="B318" s="54"/>
      <c r="C318" s="21">
        <f t="shared" si="48"/>
        <v>1</v>
      </c>
      <c r="D318" s="666"/>
      <c r="E318" s="21">
        <f t="shared" si="49"/>
        <v>1</v>
      </c>
      <c r="F318" s="666"/>
      <c r="G318" s="21">
        <f t="shared" si="50"/>
        <v>1</v>
      </c>
      <c r="H318" s="666"/>
      <c r="I318" s="21">
        <f t="shared" si="51"/>
        <v>1</v>
      </c>
      <c r="J318" s="666"/>
      <c r="K318" s="21">
        <f t="shared" si="52"/>
        <v>1</v>
      </c>
      <c r="L318" s="666"/>
      <c r="M318" s="21">
        <f t="shared" si="53"/>
        <v>1</v>
      </c>
      <c r="N318" s="666"/>
      <c r="O318" s="21">
        <f t="shared" si="54"/>
        <v>1</v>
      </c>
      <c r="P318" s="666"/>
      <c r="Q318" s="21">
        <f t="shared" si="55"/>
        <v>1</v>
      </c>
      <c r="R318" s="662">
        <f t="shared" si="56"/>
        <v>0</v>
      </c>
      <c r="S318" s="315">
        <f t="shared" si="57"/>
        <v>0</v>
      </c>
    </row>
    <row r="319" spans="1:19">
      <c r="A319" s="149"/>
      <c r="B319" s="54"/>
      <c r="C319" s="21">
        <f t="shared" si="48"/>
        <v>1</v>
      </c>
      <c r="D319" s="666"/>
      <c r="E319" s="21">
        <f t="shared" si="49"/>
        <v>1</v>
      </c>
      <c r="F319" s="666"/>
      <c r="G319" s="21">
        <f t="shared" si="50"/>
        <v>1</v>
      </c>
      <c r="H319" s="666"/>
      <c r="I319" s="21">
        <f t="shared" si="51"/>
        <v>1</v>
      </c>
      <c r="J319" s="666"/>
      <c r="K319" s="21">
        <f t="shared" si="52"/>
        <v>1</v>
      </c>
      <c r="L319" s="666"/>
      <c r="M319" s="21">
        <f t="shared" si="53"/>
        <v>1</v>
      </c>
      <c r="N319" s="666"/>
      <c r="O319" s="21">
        <f t="shared" si="54"/>
        <v>1</v>
      </c>
      <c r="P319" s="666"/>
      <c r="Q319" s="21">
        <f t="shared" si="55"/>
        <v>1</v>
      </c>
      <c r="R319" s="662">
        <f t="shared" si="56"/>
        <v>0</v>
      </c>
      <c r="S319" s="315">
        <f t="shared" si="57"/>
        <v>0</v>
      </c>
    </row>
    <row r="320" spans="1:19">
      <c r="A320" s="149"/>
      <c r="B320" s="54"/>
      <c r="C320" s="21">
        <f t="shared" si="48"/>
        <v>1</v>
      </c>
      <c r="D320" s="666"/>
      <c r="E320" s="21">
        <f t="shared" si="49"/>
        <v>1</v>
      </c>
      <c r="F320" s="666"/>
      <c r="G320" s="21">
        <f t="shared" si="50"/>
        <v>1</v>
      </c>
      <c r="H320" s="666"/>
      <c r="I320" s="21">
        <f t="shared" si="51"/>
        <v>1</v>
      </c>
      <c r="J320" s="666"/>
      <c r="K320" s="21">
        <f t="shared" si="52"/>
        <v>1</v>
      </c>
      <c r="L320" s="666"/>
      <c r="M320" s="21">
        <f t="shared" si="53"/>
        <v>1</v>
      </c>
      <c r="N320" s="666"/>
      <c r="O320" s="21">
        <f t="shared" si="54"/>
        <v>1</v>
      </c>
      <c r="P320" s="666"/>
      <c r="Q320" s="21">
        <f t="shared" si="55"/>
        <v>1</v>
      </c>
      <c r="R320" s="662">
        <f t="shared" si="56"/>
        <v>0</v>
      </c>
      <c r="S320" s="315">
        <f t="shared" si="57"/>
        <v>0</v>
      </c>
    </row>
    <row r="321" spans="1:19">
      <c r="A321" s="149"/>
      <c r="B321" s="54"/>
      <c r="C321" s="21">
        <f t="shared" si="48"/>
        <v>1</v>
      </c>
      <c r="D321" s="666"/>
      <c r="E321" s="21">
        <f t="shared" si="49"/>
        <v>1</v>
      </c>
      <c r="F321" s="666"/>
      <c r="G321" s="21">
        <f t="shared" si="50"/>
        <v>1</v>
      </c>
      <c r="H321" s="666"/>
      <c r="I321" s="21">
        <f t="shared" si="51"/>
        <v>1</v>
      </c>
      <c r="J321" s="666"/>
      <c r="K321" s="21">
        <f t="shared" si="52"/>
        <v>1</v>
      </c>
      <c r="L321" s="666"/>
      <c r="M321" s="21">
        <f t="shared" si="53"/>
        <v>1</v>
      </c>
      <c r="N321" s="666"/>
      <c r="O321" s="21">
        <f t="shared" si="54"/>
        <v>1</v>
      </c>
      <c r="P321" s="666"/>
      <c r="Q321" s="21">
        <f t="shared" si="55"/>
        <v>1</v>
      </c>
      <c r="R321" s="662">
        <f t="shared" si="56"/>
        <v>0</v>
      </c>
      <c r="S321" s="315">
        <f t="shared" ref="S321:S384" si="58">ROUND(R321*B321/10000,0)</f>
        <v>0</v>
      </c>
    </row>
    <row r="322" spans="1:19">
      <c r="A322" s="149"/>
      <c r="B322" s="54"/>
      <c r="C322" s="21">
        <f t="shared" si="48"/>
        <v>1</v>
      </c>
      <c r="D322" s="666"/>
      <c r="E322" s="21">
        <f t="shared" si="49"/>
        <v>1</v>
      </c>
      <c r="F322" s="666"/>
      <c r="G322" s="21">
        <f t="shared" si="50"/>
        <v>1</v>
      </c>
      <c r="H322" s="666"/>
      <c r="I322" s="21">
        <f t="shared" si="51"/>
        <v>1</v>
      </c>
      <c r="J322" s="666"/>
      <c r="K322" s="21">
        <f t="shared" si="52"/>
        <v>1</v>
      </c>
      <c r="L322" s="666"/>
      <c r="M322" s="21">
        <f t="shared" si="53"/>
        <v>1</v>
      </c>
      <c r="N322" s="666"/>
      <c r="O322" s="21">
        <f t="shared" si="54"/>
        <v>1</v>
      </c>
      <c r="P322" s="666"/>
      <c r="Q322" s="21">
        <f t="shared" si="55"/>
        <v>1</v>
      </c>
      <c r="R322" s="662">
        <f t="shared" si="56"/>
        <v>0</v>
      </c>
      <c r="S322" s="315">
        <f t="shared" si="58"/>
        <v>0</v>
      </c>
    </row>
    <row r="323" spans="1:19">
      <c r="A323" s="149"/>
      <c r="B323" s="54"/>
      <c r="C323" s="21">
        <f t="shared" si="48"/>
        <v>1</v>
      </c>
      <c r="D323" s="666"/>
      <c r="E323" s="21">
        <f t="shared" si="49"/>
        <v>1</v>
      </c>
      <c r="F323" s="666"/>
      <c r="G323" s="21">
        <f t="shared" si="50"/>
        <v>1</v>
      </c>
      <c r="H323" s="666"/>
      <c r="I323" s="21">
        <f t="shared" si="51"/>
        <v>1</v>
      </c>
      <c r="J323" s="666"/>
      <c r="K323" s="21">
        <f t="shared" si="52"/>
        <v>1</v>
      </c>
      <c r="L323" s="666"/>
      <c r="M323" s="21">
        <f t="shared" si="53"/>
        <v>1</v>
      </c>
      <c r="N323" s="666"/>
      <c r="O323" s="21">
        <f t="shared" si="54"/>
        <v>1</v>
      </c>
      <c r="P323" s="666"/>
      <c r="Q323" s="21">
        <f t="shared" si="55"/>
        <v>1</v>
      </c>
      <c r="R323" s="662">
        <f t="shared" si="56"/>
        <v>0</v>
      </c>
      <c r="S323" s="315">
        <f t="shared" si="58"/>
        <v>0</v>
      </c>
    </row>
    <row r="324" spans="1:19">
      <c r="A324" s="149"/>
      <c r="B324" s="54"/>
      <c r="C324" s="21">
        <f t="shared" si="48"/>
        <v>1</v>
      </c>
      <c r="D324" s="666"/>
      <c r="E324" s="21">
        <f t="shared" si="49"/>
        <v>1</v>
      </c>
      <c r="F324" s="666"/>
      <c r="G324" s="21">
        <f t="shared" si="50"/>
        <v>1</v>
      </c>
      <c r="H324" s="666"/>
      <c r="I324" s="21">
        <f t="shared" si="51"/>
        <v>1</v>
      </c>
      <c r="J324" s="666"/>
      <c r="K324" s="21">
        <f t="shared" si="52"/>
        <v>1</v>
      </c>
      <c r="L324" s="666"/>
      <c r="M324" s="21">
        <f t="shared" si="53"/>
        <v>1</v>
      </c>
      <c r="N324" s="666"/>
      <c r="O324" s="21">
        <f t="shared" si="54"/>
        <v>1</v>
      </c>
      <c r="P324" s="666"/>
      <c r="Q324" s="21">
        <f t="shared" si="55"/>
        <v>1</v>
      </c>
      <c r="R324" s="662">
        <f t="shared" si="56"/>
        <v>0</v>
      </c>
      <c r="S324" s="315">
        <f t="shared" si="58"/>
        <v>0</v>
      </c>
    </row>
    <row r="325" spans="1:19">
      <c r="A325" s="149"/>
      <c r="B325" s="54"/>
      <c r="C325" s="21">
        <f t="shared" si="48"/>
        <v>1</v>
      </c>
      <c r="D325" s="666"/>
      <c r="E325" s="21">
        <f t="shared" si="49"/>
        <v>1</v>
      </c>
      <c r="F325" s="666"/>
      <c r="G325" s="21">
        <f t="shared" si="50"/>
        <v>1</v>
      </c>
      <c r="H325" s="666"/>
      <c r="I325" s="21">
        <f t="shared" si="51"/>
        <v>1</v>
      </c>
      <c r="J325" s="666"/>
      <c r="K325" s="21">
        <f t="shared" si="52"/>
        <v>1</v>
      </c>
      <c r="L325" s="666"/>
      <c r="M325" s="21">
        <f t="shared" si="53"/>
        <v>1</v>
      </c>
      <c r="N325" s="666"/>
      <c r="O325" s="21">
        <f t="shared" si="54"/>
        <v>1</v>
      </c>
      <c r="P325" s="666"/>
      <c r="Q325" s="21">
        <f t="shared" si="55"/>
        <v>1</v>
      </c>
      <c r="R325" s="662">
        <f t="shared" si="56"/>
        <v>0</v>
      </c>
      <c r="S325" s="315">
        <f t="shared" si="58"/>
        <v>0</v>
      </c>
    </row>
    <row r="326" spans="1:19">
      <c r="A326" s="149"/>
      <c r="B326" s="54"/>
      <c r="C326" s="21">
        <f t="shared" si="48"/>
        <v>1</v>
      </c>
      <c r="D326" s="666"/>
      <c r="E326" s="21">
        <f t="shared" si="49"/>
        <v>1</v>
      </c>
      <c r="F326" s="666"/>
      <c r="G326" s="21">
        <f t="shared" si="50"/>
        <v>1</v>
      </c>
      <c r="H326" s="666"/>
      <c r="I326" s="21">
        <f t="shared" si="51"/>
        <v>1</v>
      </c>
      <c r="J326" s="666"/>
      <c r="K326" s="21">
        <f t="shared" si="52"/>
        <v>1</v>
      </c>
      <c r="L326" s="666"/>
      <c r="M326" s="21">
        <f t="shared" si="53"/>
        <v>1</v>
      </c>
      <c r="N326" s="666"/>
      <c r="O326" s="21">
        <f t="shared" si="54"/>
        <v>1</v>
      </c>
      <c r="P326" s="666"/>
      <c r="Q326" s="21">
        <f t="shared" si="55"/>
        <v>1</v>
      </c>
      <c r="R326" s="662">
        <f t="shared" si="56"/>
        <v>0</v>
      </c>
      <c r="S326" s="315">
        <f t="shared" si="58"/>
        <v>0</v>
      </c>
    </row>
    <row r="327" spans="1:19">
      <c r="A327" s="149"/>
      <c r="B327" s="54"/>
      <c r="C327" s="21">
        <f t="shared" si="48"/>
        <v>1</v>
      </c>
      <c r="D327" s="666"/>
      <c r="E327" s="21">
        <f t="shared" si="49"/>
        <v>1</v>
      </c>
      <c r="F327" s="666"/>
      <c r="G327" s="21">
        <f t="shared" si="50"/>
        <v>1</v>
      </c>
      <c r="H327" s="666"/>
      <c r="I327" s="21">
        <f t="shared" si="51"/>
        <v>1</v>
      </c>
      <c r="J327" s="666"/>
      <c r="K327" s="21">
        <f t="shared" si="52"/>
        <v>1</v>
      </c>
      <c r="L327" s="666"/>
      <c r="M327" s="21">
        <f t="shared" si="53"/>
        <v>1</v>
      </c>
      <c r="N327" s="666"/>
      <c r="O327" s="21">
        <f t="shared" si="54"/>
        <v>1</v>
      </c>
      <c r="P327" s="666"/>
      <c r="Q327" s="21">
        <f t="shared" si="55"/>
        <v>1</v>
      </c>
      <c r="R327" s="662">
        <f t="shared" si="56"/>
        <v>0</v>
      </c>
      <c r="S327" s="315">
        <f t="shared" si="58"/>
        <v>0</v>
      </c>
    </row>
    <row r="328" spans="1:19">
      <c r="A328" s="149"/>
      <c r="B328" s="54"/>
      <c r="C328" s="21">
        <f t="shared" si="48"/>
        <v>1</v>
      </c>
      <c r="D328" s="666"/>
      <c r="E328" s="21">
        <f t="shared" si="49"/>
        <v>1</v>
      </c>
      <c r="F328" s="666"/>
      <c r="G328" s="21">
        <f t="shared" si="50"/>
        <v>1</v>
      </c>
      <c r="H328" s="666"/>
      <c r="I328" s="21">
        <f t="shared" si="51"/>
        <v>1</v>
      </c>
      <c r="J328" s="666"/>
      <c r="K328" s="21">
        <f t="shared" si="52"/>
        <v>1</v>
      </c>
      <c r="L328" s="666"/>
      <c r="M328" s="21">
        <f t="shared" si="53"/>
        <v>1</v>
      </c>
      <c r="N328" s="666"/>
      <c r="O328" s="21">
        <f t="shared" si="54"/>
        <v>1</v>
      </c>
      <c r="P328" s="666"/>
      <c r="Q328" s="21">
        <f t="shared" si="55"/>
        <v>1</v>
      </c>
      <c r="R328" s="662">
        <f t="shared" si="56"/>
        <v>0</v>
      </c>
      <c r="S328" s="315">
        <f t="shared" si="58"/>
        <v>0</v>
      </c>
    </row>
    <row r="329" spans="1:19">
      <c r="A329" s="149"/>
      <c r="B329" s="54"/>
      <c r="C329" s="21">
        <f t="shared" si="48"/>
        <v>1</v>
      </c>
      <c r="D329" s="666"/>
      <c r="E329" s="21">
        <f t="shared" si="49"/>
        <v>1</v>
      </c>
      <c r="F329" s="666"/>
      <c r="G329" s="21">
        <f t="shared" si="50"/>
        <v>1</v>
      </c>
      <c r="H329" s="666"/>
      <c r="I329" s="21">
        <f t="shared" si="51"/>
        <v>1</v>
      </c>
      <c r="J329" s="666"/>
      <c r="K329" s="21">
        <f t="shared" si="52"/>
        <v>1</v>
      </c>
      <c r="L329" s="666"/>
      <c r="M329" s="21">
        <f t="shared" si="53"/>
        <v>1</v>
      </c>
      <c r="N329" s="666"/>
      <c r="O329" s="21">
        <f t="shared" si="54"/>
        <v>1</v>
      </c>
      <c r="P329" s="666"/>
      <c r="Q329" s="21">
        <f t="shared" si="55"/>
        <v>1</v>
      </c>
      <c r="R329" s="662">
        <f t="shared" si="56"/>
        <v>0</v>
      </c>
      <c r="S329" s="315">
        <f t="shared" si="58"/>
        <v>0</v>
      </c>
    </row>
    <row r="330" spans="1:19">
      <c r="A330" s="149"/>
      <c r="B330" s="54"/>
      <c r="C330" s="21">
        <f t="shared" si="48"/>
        <v>1</v>
      </c>
      <c r="D330" s="666"/>
      <c r="E330" s="21">
        <f t="shared" si="49"/>
        <v>1</v>
      </c>
      <c r="F330" s="666"/>
      <c r="G330" s="21">
        <f t="shared" si="50"/>
        <v>1</v>
      </c>
      <c r="H330" s="666"/>
      <c r="I330" s="21">
        <f t="shared" si="51"/>
        <v>1</v>
      </c>
      <c r="J330" s="666"/>
      <c r="K330" s="21">
        <f t="shared" si="52"/>
        <v>1</v>
      </c>
      <c r="L330" s="666"/>
      <c r="M330" s="21">
        <f t="shared" si="53"/>
        <v>1</v>
      </c>
      <c r="N330" s="666"/>
      <c r="O330" s="21">
        <f t="shared" si="54"/>
        <v>1</v>
      </c>
      <c r="P330" s="666"/>
      <c r="Q330" s="21">
        <f t="shared" si="55"/>
        <v>1</v>
      </c>
      <c r="R330" s="662">
        <f t="shared" si="56"/>
        <v>0</v>
      </c>
      <c r="S330" s="315">
        <f t="shared" si="58"/>
        <v>0</v>
      </c>
    </row>
    <row r="331" spans="1:19">
      <c r="A331" s="149"/>
      <c r="B331" s="54"/>
      <c r="C331" s="21">
        <f t="shared" si="48"/>
        <v>1</v>
      </c>
      <c r="D331" s="666"/>
      <c r="E331" s="21">
        <f t="shared" si="49"/>
        <v>1</v>
      </c>
      <c r="F331" s="666"/>
      <c r="G331" s="21">
        <f t="shared" si="50"/>
        <v>1</v>
      </c>
      <c r="H331" s="666"/>
      <c r="I331" s="21">
        <f t="shared" si="51"/>
        <v>1</v>
      </c>
      <c r="J331" s="666"/>
      <c r="K331" s="21">
        <f t="shared" si="52"/>
        <v>1</v>
      </c>
      <c r="L331" s="666"/>
      <c r="M331" s="21">
        <f t="shared" si="53"/>
        <v>1</v>
      </c>
      <c r="N331" s="666"/>
      <c r="O331" s="21">
        <f t="shared" si="54"/>
        <v>1</v>
      </c>
      <c r="P331" s="666"/>
      <c r="Q331" s="21">
        <f t="shared" si="55"/>
        <v>1</v>
      </c>
      <c r="R331" s="662">
        <f t="shared" si="56"/>
        <v>0</v>
      </c>
      <c r="S331" s="315">
        <f t="shared" si="58"/>
        <v>0</v>
      </c>
    </row>
    <row r="332" spans="1:19">
      <c r="A332" s="149"/>
      <c r="B332" s="54"/>
      <c r="C332" s="21">
        <f t="shared" si="48"/>
        <v>1</v>
      </c>
      <c r="D332" s="666"/>
      <c r="E332" s="21">
        <f t="shared" si="49"/>
        <v>1</v>
      </c>
      <c r="F332" s="666"/>
      <c r="G332" s="21">
        <f t="shared" si="50"/>
        <v>1</v>
      </c>
      <c r="H332" s="666"/>
      <c r="I332" s="21">
        <f t="shared" si="51"/>
        <v>1</v>
      </c>
      <c r="J332" s="666"/>
      <c r="K332" s="21">
        <f t="shared" si="52"/>
        <v>1</v>
      </c>
      <c r="L332" s="666"/>
      <c r="M332" s="21">
        <f t="shared" si="53"/>
        <v>1</v>
      </c>
      <c r="N332" s="666"/>
      <c r="O332" s="21">
        <f t="shared" si="54"/>
        <v>1</v>
      </c>
      <c r="P332" s="666"/>
      <c r="Q332" s="21">
        <f t="shared" si="55"/>
        <v>1</v>
      </c>
      <c r="R332" s="662">
        <f t="shared" si="56"/>
        <v>0</v>
      </c>
      <c r="S332" s="315">
        <f t="shared" si="58"/>
        <v>0</v>
      </c>
    </row>
    <row r="333" spans="1:19">
      <c r="A333" s="149"/>
      <c r="B333" s="54"/>
      <c r="C333" s="21">
        <f t="shared" si="48"/>
        <v>1</v>
      </c>
      <c r="D333" s="666"/>
      <c r="E333" s="21">
        <f t="shared" si="49"/>
        <v>1</v>
      </c>
      <c r="F333" s="666"/>
      <c r="G333" s="21">
        <f t="shared" si="50"/>
        <v>1</v>
      </c>
      <c r="H333" s="666"/>
      <c r="I333" s="21">
        <f t="shared" si="51"/>
        <v>1</v>
      </c>
      <c r="J333" s="666"/>
      <c r="K333" s="21">
        <f t="shared" si="52"/>
        <v>1</v>
      </c>
      <c r="L333" s="666"/>
      <c r="M333" s="21">
        <f t="shared" si="53"/>
        <v>1</v>
      </c>
      <c r="N333" s="666"/>
      <c r="O333" s="21">
        <f t="shared" si="54"/>
        <v>1</v>
      </c>
      <c r="P333" s="666"/>
      <c r="Q333" s="21">
        <f t="shared" si="55"/>
        <v>1</v>
      </c>
      <c r="R333" s="662">
        <f t="shared" si="56"/>
        <v>0</v>
      </c>
      <c r="S333" s="315">
        <f t="shared" si="58"/>
        <v>0</v>
      </c>
    </row>
    <row r="334" spans="1:19">
      <c r="A334" s="149"/>
      <c r="B334" s="54"/>
      <c r="C334" s="21">
        <f t="shared" si="48"/>
        <v>1</v>
      </c>
      <c r="D334" s="666"/>
      <c r="E334" s="21">
        <f t="shared" si="49"/>
        <v>1</v>
      </c>
      <c r="F334" s="666"/>
      <c r="G334" s="21">
        <f t="shared" si="50"/>
        <v>1</v>
      </c>
      <c r="H334" s="666"/>
      <c r="I334" s="21">
        <f t="shared" si="51"/>
        <v>1</v>
      </c>
      <c r="J334" s="666"/>
      <c r="K334" s="21">
        <f t="shared" si="52"/>
        <v>1</v>
      </c>
      <c r="L334" s="666"/>
      <c r="M334" s="21">
        <f t="shared" si="53"/>
        <v>1</v>
      </c>
      <c r="N334" s="666"/>
      <c r="O334" s="21">
        <f t="shared" si="54"/>
        <v>1</v>
      </c>
      <c r="P334" s="666"/>
      <c r="Q334" s="21">
        <f t="shared" si="55"/>
        <v>1</v>
      </c>
      <c r="R334" s="662">
        <f t="shared" si="56"/>
        <v>0</v>
      </c>
      <c r="S334" s="315">
        <f t="shared" si="58"/>
        <v>0</v>
      </c>
    </row>
    <row r="335" spans="1:19">
      <c r="A335" s="149"/>
      <c r="B335" s="54"/>
      <c r="C335" s="21">
        <f t="shared" si="48"/>
        <v>1</v>
      </c>
      <c r="D335" s="666"/>
      <c r="E335" s="21">
        <f t="shared" si="49"/>
        <v>1</v>
      </c>
      <c r="F335" s="666"/>
      <c r="G335" s="21">
        <f t="shared" si="50"/>
        <v>1</v>
      </c>
      <c r="H335" s="666"/>
      <c r="I335" s="21">
        <f t="shared" si="51"/>
        <v>1</v>
      </c>
      <c r="J335" s="666"/>
      <c r="K335" s="21">
        <f t="shared" si="52"/>
        <v>1</v>
      </c>
      <c r="L335" s="666"/>
      <c r="M335" s="21">
        <f t="shared" si="53"/>
        <v>1</v>
      </c>
      <c r="N335" s="666"/>
      <c r="O335" s="21">
        <f t="shared" si="54"/>
        <v>1</v>
      </c>
      <c r="P335" s="666"/>
      <c r="Q335" s="21">
        <f t="shared" si="55"/>
        <v>1</v>
      </c>
      <c r="R335" s="662">
        <f t="shared" si="56"/>
        <v>0</v>
      </c>
      <c r="S335" s="315">
        <f t="shared" si="58"/>
        <v>0</v>
      </c>
    </row>
    <row r="336" spans="1:19">
      <c r="A336" s="149"/>
      <c r="B336" s="54"/>
      <c r="C336" s="21">
        <f t="shared" si="48"/>
        <v>1</v>
      </c>
      <c r="D336" s="666"/>
      <c r="E336" s="21">
        <f t="shared" si="49"/>
        <v>1</v>
      </c>
      <c r="F336" s="666"/>
      <c r="G336" s="21">
        <f t="shared" si="50"/>
        <v>1</v>
      </c>
      <c r="H336" s="666"/>
      <c r="I336" s="21">
        <f t="shared" si="51"/>
        <v>1</v>
      </c>
      <c r="J336" s="666"/>
      <c r="K336" s="21">
        <f t="shared" si="52"/>
        <v>1</v>
      </c>
      <c r="L336" s="666"/>
      <c r="M336" s="21">
        <f t="shared" si="53"/>
        <v>1</v>
      </c>
      <c r="N336" s="666"/>
      <c r="O336" s="21">
        <f t="shared" si="54"/>
        <v>1</v>
      </c>
      <c r="P336" s="666"/>
      <c r="Q336" s="21">
        <f t="shared" si="55"/>
        <v>1</v>
      </c>
      <c r="R336" s="662">
        <f t="shared" si="56"/>
        <v>0</v>
      </c>
      <c r="S336" s="315">
        <f t="shared" si="58"/>
        <v>0</v>
      </c>
    </row>
    <row r="337" spans="1:19">
      <c r="A337" s="149"/>
      <c r="B337" s="54"/>
      <c r="C337" s="21">
        <f t="shared" si="48"/>
        <v>1</v>
      </c>
      <c r="D337" s="666"/>
      <c r="E337" s="21">
        <f t="shared" si="49"/>
        <v>1</v>
      </c>
      <c r="F337" s="666"/>
      <c r="G337" s="21">
        <f t="shared" si="50"/>
        <v>1</v>
      </c>
      <c r="H337" s="666"/>
      <c r="I337" s="21">
        <f t="shared" si="51"/>
        <v>1</v>
      </c>
      <c r="J337" s="666"/>
      <c r="K337" s="21">
        <f t="shared" si="52"/>
        <v>1</v>
      </c>
      <c r="L337" s="666"/>
      <c r="M337" s="21">
        <f t="shared" si="53"/>
        <v>1</v>
      </c>
      <c r="N337" s="666"/>
      <c r="O337" s="21">
        <f t="shared" si="54"/>
        <v>1</v>
      </c>
      <c r="P337" s="666"/>
      <c r="Q337" s="21">
        <f t="shared" si="55"/>
        <v>1</v>
      </c>
      <c r="R337" s="662">
        <f t="shared" si="56"/>
        <v>0</v>
      </c>
      <c r="S337" s="315">
        <f t="shared" si="58"/>
        <v>0</v>
      </c>
    </row>
    <row r="338" spans="1:19">
      <c r="A338" s="149"/>
      <c r="B338" s="54"/>
      <c r="C338" s="21">
        <f t="shared" si="48"/>
        <v>1</v>
      </c>
      <c r="D338" s="666"/>
      <c r="E338" s="21">
        <f t="shared" si="49"/>
        <v>1</v>
      </c>
      <c r="F338" s="666"/>
      <c r="G338" s="21">
        <f t="shared" si="50"/>
        <v>1</v>
      </c>
      <c r="H338" s="666"/>
      <c r="I338" s="21">
        <f t="shared" si="51"/>
        <v>1</v>
      </c>
      <c r="J338" s="666"/>
      <c r="K338" s="21">
        <f t="shared" si="52"/>
        <v>1</v>
      </c>
      <c r="L338" s="666"/>
      <c r="M338" s="21">
        <f t="shared" si="53"/>
        <v>1</v>
      </c>
      <c r="N338" s="666"/>
      <c r="O338" s="21">
        <f t="shared" si="54"/>
        <v>1</v>
      </c>
      <c r="P338" s="666"/>
      <c r="Q338" s="21">
        <f t="shared" si="55"/>
        <v>1</v>
      </c>
      <c r="R338" s="662">
        <f t="shared" si="56"/>
        <v>0</v>
      </c>
      <c r="S338" s="315">
        <f t="shared" si="58"/>
        <v>0</v>
      </c>
    </row>
    <row r="339" spans="1:19">
      <c r="A339" s="149"/>
      <c r="B339" s="54"/>
      <c r="C339" s="21">
        <f t="shared" si="48"/>
        <v>1</v>
      </c>
      <c r="D339" s="666"/>
      <c r="E339" s="21">
        <f t="shared" si="49"/>
        <v>1</v>
      </c>
      <c r="F339" s="666"/>
      <c r="G339" s="21">
        <f t="shared" si="50"/>
        <v>1</v>
      </c>
      <c r="H339" s="666"/>
      <c r="I339" s="21">
        <f t="shared" si="51"/>
        <v>1</v>
      </c>
      <c r="J339" s="666"/>
      <c r="K339" s="21">
        <f t="shared" si="52"/>
        <v>1</v>
      </c>
      <c r="L339" s="666"/>
      <c r="M339" s="21">
        <f t="shared" si="53"/>
        <v>1</v>
      </c>
      <c r="N339" s="666"/>
      <c r="O339" s="21">
        <f t="shared" si="54"/>
        <v>1</v>
      </c>
      <c r="P339" s="666"/>
      <c r="Q339" s="21">
        <f t="shared" si="55"/>
        <v>1</v>
      </c>
      <c r="R339" s="662">
        <f t="shared" si="56"/>
        <v>0</v>
      </c>
      <c r="S339" s="315">
        <f t="shared" si="58"/>
        <v>0</v>
      </c>
    </row>
    <row r="340" spans="1:19">
      <c r="A340" s="149"/>
      <c r="B340" s="54"/>
      <c r="C340" s="21">
        <f t="shared" si="48"/>
        <v>1</v>
      </c>
      <c r="D340" s="666"/>
      <c r="E340" s="21">
        <f t="shared" si="49"/>
        <v>1</v>
      </c>
      <c r="F340" s="666"/>
      <c r="G340" s="21">
        <f t="shared" si="50"/>
        <v>1</v>
      </c>
      <c r="H340" s="666"/>
      <c r="I340" s="21">
        <f t="shared" si="51"/>
        <v>1</v>
      </c>
      <c r="J340" s="666"/>
      <c r="K340" s="21">
        <f t="shared" si="52"/>
        <v>1</v>
      </c>
      <c r="L340" s="666"/>
      <c r="M340" s="21">
        <f t="shared" si="53"/>
        <v>1</v>
      </c>
      <c r="N340" s="666"/>
      <c r="O340" s="21">
        <f t="shared" si="54"/>
        <v>1</v>
      </c>
      <c r="P340" s="666"/>
      <c r="Q340" s="21">
        <f t="shared" si="55"/>
        <v>1</v>
      </c>
      <c r="R340" s="662">
        <f t="shared" si="56"/>
        <v>0</v>
      </c>
      <c r="S340" s="315">
        <f t="shared" si="58"/>
        <v>0</v>
      </c>
    </row>
    <row r="341" spans="1:19">
      <c r="A341" s="149"/>
      <c r="B341" s="54"/>
      <c r="C341" s="21">
        <f t="shared" si="48"/>
        <v>1</v>
      </c>
      <c r="D341" s="666"/>
      <c r="E341" s="21">
        <f t="shared" si="49"/>
        <v>1</v>
      </c>
      <c r="F341" s="666"/>
      <c r="G341" s="21">
        <f t="shared" si="50"/>
        <v>1</v>
      </c>
      <c r="H341" s="666"/>
      <c r="I341" s="21">
        <f t="shared" si="51"/>
        <v>1</v>
      </c>
      <c r="J341" s="666"/>
      <c r="K341" s="21">
        <f t="shared" si="52"/>
        <v>1</v>
      </c>
      <c r="L341" s="666"/>
      <c r="M341" s="21">
        <f t="shared" si="53"/>
        <v>1</v>
      </c>
      <c r="N341" s="666"/>
      <c r="O341" s="21">
        <f t="shared" si="54"/>
        <v>1</v>
      </c>
      <c r="P341" s="666"/>
      <c r="Q341" s="21">
        <f t="shared" si="55"/>
        <v>1</v>
      </c>
      <c r="R341" s="662">
        <f t="shared" si="56"/>
        <v>0</v>
      </c>
      <c r="S341" s="315">
        <f t="shared" si="58"/>
        <v>0</v>
      </c>
    </row>
    <row r="342" spans="1:19">
      <c r="A342" s="149"/>
      <c r="B342" s="54"/>
      <c r="C342" s="21">
        <f t="shared" si="48"/>
        <v>1</v>
      </c>
      <c r="D342" s="666"/>
      <c r="E342" s="21">
        <f t="shared" si="49"/>
        <v>1</v>
      </c>
      <c r="F342" s="666"/>
      <c r="G342" s="21">
        <f t="shared" si="50"/>
        <v>1</v>
      </c>
      <c r="H342" s="666"/>
      <c r="I342" s="21">
        <f t="shared" si="51"/>
        <v>1</v>
      </c>
      <c r="J342" s="666"/>
      <c r="K342" s="21">
        <f t="shared" si="52"/>
        <v>1</v>
      </c>
      <c r="L342" s="666"/>
      <c r="M342" s="21">
        <f t="shared" si="53"/>
        <v>1</v>
      </c>
      <c r="N342" s="666"/>
      <c r="O342" s="21">
        <f t="shared" si="54"/>
        <v>1</v>
      </c>
      <c r="P342" s="666"/>
      <c r="Q342" s="21">
        <f t="shared" si="55"/>
        <v>1</v>
      </c>
      <c r="R342" s="662">
        <f t="shared" si="56"/>
        <v>0</v>
      </c>
      <c r="S342" s="315">
        <f t="shared" si="58"/>
        <v>0</v>
      </c>
    </row>
    <row r="343" spans="1:19">
      <c r="A343" s="149"/>
      <c r="B343" s="54"/>
      <c r="C343" s="21">
        <f t="shared" si="48"/>
        <v>1</v>
      </c>
      <c r="D343" s="666"/>
      <c r="E343" s="21">
        <f t="shared" si="49"/>
        <v>1</v>
      </c>
      <c r="F343" s="666"/>
      <c r="G343" s="21">
        <f t="shared" si="50"/>
        <v>1</v>
      </c>
      <c r="H343" s="666"/>
      <c r="I343" s="21">
        <f t="shared" si="51"/>
        <v>1</v>
      </c>
      <c r="J343" s="666"/>
      <c r="K343" s="21">
        <f t="shared" si="52"/>
        <v>1</v>
      </c>
      <c r="L343" s="666"/>
      <c r="M343" s="21">
        <f t="shared" si="53"/>
        <v>1</v>
      </c>
      <c r="N343" s="666"/>
      <c r="O343" s="21">
        <f t="shared" si="54"/>
        <v>1</v>
      </c>
      <c r="P343" s="666"/>
      <c r="Q343" s="21">
        <f t="shared" si="55"/>
        <v>1</v>
      </c>
      <c r="R343" s="662">
        <f t="shared" si="56"/>
        <v>0</v>
      </c>
      <c r="S343" s="315">
        <f t="shared" si="58"/>
        <v>0</v>
      </c>
    </row>
    <row r="344" spans="1:19">
      <c r="A344" s="149"/>
      <c r="B344" s="54"/>
      <c r="C344" s="21">
        <f t="shared" si="48"/>
        <v>1</v>
      </c>
      <c r="D344" s="666"/>
      <c r="E344" s="21">
        <f t="shared" si="49"/>
        <v>1</v>
      </c>
      <c r="F344" s="666"/>
      <c r="G344" s="21">
        <f t="shared" si="50"/>
        <v>1</v>
      </c>
      <c r="H344" s="666"/>
      <c r="I344" s="21">
        <f t="shared" si="51"/>
        <v>1</v>
      </c>
      <c r="J344" s="666"/>
      <c r="K344" s="21">
        <f t="shared" si="52"/>
        <v>1</v>
      </c>
      <c r="L344" s="666"/>
      <c r="M344" s="21">
        <f t="shared" si="53"/>
        <v>1</v>
      </c>
      <c r="N344" s="666"/>
      <c r="O344" s="21">
        <f t="shared" si="54"/>
        <v>1</v>
      </c>
      <c r="P344" s="666"/>
      <c r="Q344" s="21">
        <f t="shared" si="55"/>
        <v>1</v>
      </c>
      <c r="R344" s="662">
        <f t="shared" si="56"/>
        <v>0</v>
      </c>
      <c r="S344" s="315">
        <f t="shared" si="58"/>
        <v>0</v>
      </c>
    </row>
    <row r="345" spans="1:19">
      <c r="A345" s="149"/>
      <c r="B345" s="54"/>
      <c r="C345" s="21">
        <f t="shared" si="48"/>
        <v>1</v>
      </c>
      <c r="D345" s="666"/>
      <c r="E345" s="21">
        <f t="shared" si="49"/>
        <v>1</v>
      </c>
      <c r="F345" s="666"/>
      <c r="G345" s="21">
        <f t="shared" si="50"/>
        <v>1</v>
      </c>
      <c r="H345" s="666"/>
      <c r="I345" s="21">
        <f t="shared" si="51"/>
        <v>1</v>
      </c>
      <c r="J345" s="666"/>
      <c r="K345" s="21">
        <f t="shared" si="52"/>
        <v>1</v>
      </c>
      <c r="L345" s="666"/>
      <c r="M345" s="21">
        <f t="shared" si="53"/>
        <v>1</v>
      </c>
      <c r="N345" s="666"/>
      <c r="O345" s="21">
        <f t="shared" si="54"/>
        <v>1</v>
      </c>
      <c r="P345" s="666"/>
      <c r="Q345" s="21">
        <f t="shared" si="55"/>
        <v>1</v>
      </c>
      <c r="R345" s="662">
        <f t="shared" si="56"/>
        <v>0</v>
      </c>
      <c r="S345" s="315">
        <f t="shared" si="58"/>
        <v>0</v>
      </c>
    </row>
    <row r="346" spans="1:19">
      <c r="A346" s="149"/>
      <c r="B346" s="54"/>
      <c r="C346" s="21">
        <f t="shared" ref="C346:C409" si="59">IF(B346="",1,(LOOKUP(B346,$3:$3,$4:$4)-LOOKUP($B$24,$3:$3,$4:$4)+100)/100)</f>
        <v>1</v>
      </c>
      <c r="D346" s="666"/>
      <c r="E346" s="21">
        <f t="shared" ref="E346:E409" si="60">(SUMIF($5:$5,D346,$6:$6)-SUMIF($5:$5,$D$24,$6:$6)+100)/100</f>
        <v>1</v>
      </c>
      <c r="F346" s="666"/>
      <c r="G346" s="21">
        <f t="shared" ref="G346:G409" si="61">(SUMIF($7:$7,F346,$8:$8)-SUMIF($7:$7,$F$24,$8:$8)+100)/100</f>
        <v>1</v>
      </c>
      <c r="H346" s="666"/>
      <c r="I346" s="21">
        <f t="shared" ref="I346:I409" si="62">(SUMIF($9:$9,H346,$10:$10)-SUMIF($9:$9,$H$24,$10:$10)+100)/100</f>
        <v>1</v>
      </c>
      <c r="J346" s="666"/>
      <c r="K346" s="21">
        <f t="shared" ref="K346:K409" si="63">(SUMIF($11:$11,J346,$12:$12)-SUMIF($11:$11,$J$24,$12:$12)+100)/100</f>
        <v>1</v>
      </c>
      <c r="L346" s="666"/>
      <c r="M346" s="21">
        <f t="shared" ref="M346:M409" si="64">(SUMIF($13:$13,L346,$14:$14)-SUMIF($13:$13,$L$24,$14:$14)+100)/100</f>
        <v>1</v>
      </c>
      <c r="N346" s="666"/>
      <c r="O346" s="21">
        <f t="shared" ref="O346:O409" si="65">(SUMIF($15:$15,N346,$16:$16)-SUMIF($15:$15,$N$24,$16:$16)+100)/100</f>
        <v>1</v>
      </c>
      <c r="P346" s="666"/>
      <c r="Q346" s="21">
        <f t="shared" ref="Q346:Q409" si="66">(SUMIF($17:$17,P346,$18:$18)-SUMIF($17:$17,$P$24,$18:$18)+100)/100</f>
        <v>1</v>
      </c>
      <c r="R346" s="662">
        <f t="shared" ref="R346:R409" si="67">IF(B346="",0,ROUND($R$24*C346*E346*G346*I346*K346*M346*O346*Q346,0))</f>
        <v>0</v>
      </c>
      <c r="S346" s="315">
        <f t="shared" si="58"/>
        <v>0</v>
      </c>
    </row>
    <row r="347" spans="1:19">
      <c r="A347" s="149"/>
      <c r="B347" s="54"/>
      <c r="C347" s="21">
        <f t="shared" si="59"/>
        <v>1</v>
      </c>
      <c r="D347" s="666"/>
      <c r="E347" s="21">
        <f t="shared" si="60"/>
        <v>1</v>
      </c>
      <c r="F347" s="666"/>
      <c r="G347" s="21">
        <f t="shared" si="61"/>
        <v>1</v>
      </c>
      <c r="H347" s="666"/>
      <c r="I347" s="21">
        <f t="shared" si="62"/>
        <v>1</v>
      </c>
      <c r="J347" s="666"/>
      <c r="K347" s="21">
        <f t="shared" si="63"/>
        <v>1</v>
      </c>
      <c r="L347" s="666"/>
      <c r="M347" s="21">
        <f t="shared" si="64"/>
        <v>1</v>
      </c>
      <c r="N347" s="666"/>
      <c r="O347" s="21">
        <f t="shared" si="65"/>
        <v>1</v>
      </c>
      <c r="P347" s="666"/>
      <c r="Q347" s="21">
        <f t="shared" si="66"/>
        <v>1</v>
      </c>
      <c r="R347" s="662">
        <f t="shared" si="67"/>
        <v>0</v>
      </c>
      <c r="S347" s="315">
        <f t="shared" si="58"/>
        <v>0</v>
      </c>
    </row>
    <row r="348" spans="1:19">
      <c r="A348" s="149"/>
      <c r="B348" s="54"/>
      <c r="C348" s="21">
        <f t="shared" si="59"/>
        <v>1</v>
      </c>
      <c r="D348" s="666"/>
      <c r="E348" s="21">
        <f t="shared" si="60"/>
        <v>1</v>
      </c>
      <c r="F348" s="666"/>
      <c r="G348" s="21">
        <f t="shared" si="61"/>
        <v>1</v>
      </c>
      <c r="H348" s="666"/>
      <c r="I348" s="21">
        <f t="shared" si="62"/>
        <v>1</v>
      </c>
      <c r="J348" s="666"/>
      <c r="K348" s="21">
        <f t="shared" si="63"/>
        <v>1</v>
      </c>
      <c r="L348" s="666"/>
      <c r="M348" s="21">
        <f t="shared" si="64"/>
        <v>1</v>
      </c>
      <c r="N348" s="666"/>
      <c r="O348" s="21">
        <f t="shared" si="65"/>
        <v>1</v>
      </c>
      <c r="P348" s="666"/>
      <c r="Q348" s="21">
        <f t="shared" si="66"/>
        <v>1</v>
      </c>
      <c r="R348" s="662">
        <f t="shared" si="67"/>
        <v>0</v>
      </c>
      <c r="S348" s="315">
        <f t="shared" si="58"/>
        <v>0</v>
      </c>
    </row>
    <row r="349" spans="1:19">
      <c r="A349" s="149"/>
      <c r="B349" s="54"/>
      <c r="C349" s="21">
        <f t="shared" si="59"/>
        <v>1</v>
      </c>
      <c r="D349" s="666"/>
      <c r="E349" s="21">
        <f t="shared" si="60"/>
        <v>1</v>
      </c>
      <c r="F349" s="666"/>
      <c r="G349" s="21">
        <f t="shared" si="61"/>
        <v>1</v>
      </c>
      <c r="H349" s="666"/>
      <c r="I349" s="21">
        <f t="shared" si="62"/>
        <v>1</v>
      </c>
      <c r="J349" s="666"/>
      <c r="K349" s="21">
        <f t="shared" si="63"/>
        <v>1</v>
      </c>
      <c r="L349" s="666"/>
      <c r="M349" s="21">
        <f t="shared" si="64"/>
        <v>1</v>
      </c>
      <c r="N349" s="666"/>
      <c r="O349" s="21">
        <f t="shared" si="65"/>
        <v>1</v>
      </c>
      <c r="P349" s="666"/>
      <c r="Q349" s="21">
        <f t="shared" si="66"/>
        <v>1</v>
      </c>
      <c r="R349" s="662">
        <f t="shared" si="67"/>
        <v>0</v>
      </c>
      <c r="S349" s="315">
        <f t="shared" si="58"/>
        <v>0</v>
      </c>
    </row>
    <row r="350" spans="1:19">
      <c r="A350" s="149"/>
      <c r="B350" s="54"/>
      <c r="C350" s="21">
        <f t="shared" si="59"/>
        <v>1</v>
      </c>
      <c r="D350" s="666"/>
      <c r="E350" s="21">
        <f t="shared" si="60"/>
        <v>1</v>
      </c>
      <c r="F350" s="666"/>
      <c r="G350" s="21">
        <f t="shared" si="61"/>
        <v>1</v>
      </c>
      <c r="H350" s="666"/>
      <c r="I350" s="21">
        <f t="shared" si="62"/>
        <v>1</v>
      </c>
      <c r="J350" s="666"/>
      <c r="K350" s="21">
        <f t="shared" si="63"/>
        <v>1</v>
      </c>
      <c r="L350" s="666"/>
      <c r="M350" s="21">
        <f t="shared" si="64"/>
        <v>1</v>
      </c>
      <c r="N350" s="666"/>
      <c r="O350" s="21">
        <f t="shared" si="65"/>
        <v>1</v>
      </c>
      <c r="P350" s="666"/>
      <c r="Q350" s="21">
        <f t="shared" si="66"/>
        <v>1</v>
      </c>
      <c r="R350" s="662">
        <f t="shared" si="67"/>
        <v>0</v>
      </c>
      <c r="S350" s="315">
        <f t="shared" si="58"/>
        <v>0</v>
      </c>
    </row>
    <row r="351" spans="1:19">
      <c r="A351" s="149"/>
      <c r="B351" s="54"/>
      <c r="C351" s="21">
        <f t="shared" si="59"/>
        <v>1</v>
      </c>
      <c r="D351" s="666"/>
      <c r="E351" s="21">
        <f t="shared" si="60"/>
        <v>1</v>
      </c>
      <c r="F351" s="666"/>
      <c r="G351" s="21">
        <f t="shared" si="61"/>
        <v>1</v>
      </c>
      <c r="H351" s="666"/>
      <c r="I351" s="21">
        <f t="shared" si="62"/>
        <v>1</v>
      </c>
      <c r="J351" s="666"/>
      <c r="K351" s="21">
        <f t="shared" si="63"/>
        <v>1</v>
      </c>
      <c r="L351" s="666"/>
      <c r="M351" s="21">
        <f t="shared" si="64"/>
        <v>1</v>
      </c>
      <c r="N351" s="666"/>
      <c r="O351" s="21">
        <f t="shared" si="65"/>
        <v>1</v>
      </c>
      <c r="P351" s="666"/>
      <c r="Q351" s="21">
        <f t="shared" si="66"/>
        <v>1</v>
      </c>
      <c r="R351" s="662">
        <f t="shared" si="67"/>
        <v>0</v>
      </c>
      <c r="S351" s="315">
        <f t="shared" si="58"/>
        <v>0</v>
      </c>
    </row>
    <row r="352" spans="1:19">
      <c r="A352" s="149"/>
      <c r="B352" s="54"/>
      <c r="C352" s="21">
        <f t="shared" si="59"/>
        <v>1</v>
      </c>
      <c r="D352" s="666"/>
      <c r="E352" s="21">
        <f t="shared" si="60"/>
        <v>1</v>
      </c>
      <c r="F352" s="666"/>
      <c r="G352" s="21">
        <f t="shared" si="61"/>
        <v>1</v>
      </c>
      <c r="H352" s="666"/>
      <c r="I352" s="21">
        <f t="shared" si="62"/>
        <v>1</v>
      </c>
      <c r="J352" s="666"/>
      <c r="K352" s="21">
        <f t="shared" si="63"/>
        <v>1</v>
      </c>
      <c r="L352" s="666"/>
      <c r="M352" s="21">
        <f t="shared" si="64"/>
        <v>1</v>
      </c>
      <c r="N352" s="666"/>
      <c r="O352" s="21">
        <f t="shared" si="65"/>
        <v>1</v>
      </c>
      <c r="P352" s="666"/>
      <c r="Q352" s="21">
        <f t="shared" si="66"/>
        <v>1</v>
      </c>
      <c r="R352" s="662">
        <f t="shared" si="67"/>
        <v>0</v>
      </c>
      <c r="S352" s="315">
        <f t="shared" si="58"/>
        <v>0</v>
      </c>
    </row>
    <row r="353" spans="1:19">
      <c r="A353" s="149"/>
      <c r="B353" s="54"/>
      <c r="C353" s="21">
        <f t="shared" si="59"/>
        <v>1</v>
      </c>
      <c r="D353" s="666"/>
      <c r="E353" s="21">
        <f t="shared" si="60"/>
        <v>1</v>
      </c>
      <c r="F353" s="666"/>
      <c r="G353" s="21">
        <f t="shared" si="61"/>
        <v>1</v>
      </c>
      <c r="H353" s="666"/>
      <c r="I353" s="21">
        <f t="shared" si="62"/>
        <v>1</v>
      </c>
      <c r="J353" s="666"/>
      <c r="K353" s="21">
        <f t="shared" si="63"/>
        <v>1</v>
      </c>
      <c r="L353" s="666"/>
      <c r="M353" s="21">
        <f t="shared" si="64"/>
        <v>1</v>
      </c>
      <c r="N353" s="666"/>
      <c r="O353" s="21">
        <f t="shared" si="65"/>
        <v>1</v>
      </c>
      <c r="P353" s="666"/>
      <c r="Q353" s="21">
        <f t="shared" si="66"/>
        <v>1</v>
      </c>
      <c r="R353" s="662">
        <f t="shared" si="67"/>
        <v>0</v>
      </c>
      <c r="S353" s="315">
        <f t="shared" si="58"/>
        <v>0</v>
      </c>
    </row>
    <row r="354" spans="1:19">
      <c r="A354" s="149"/>
      <c r="B354" s="54"/>
      <c r="C354" s="21">
        <f t="shared" si="59"/>
        <v>1</v>
      </c>
      <c r="D354" s="666"/>
      <c r="E354" s="21">
        <f t="shared" si="60"/>
        <v>1</v>
      </c>
      <c r="F354" s="666"/>
      <c r="G354" s="21">
        <f t="shared" si="61"/>
        <v>1</v>
      </c>
      <c r="H354" s="666"/>
      <c r="I354" s="21">
        <f t="shared" si="62"/>
        <v>1</v>
      </c>
      <c r="J354" s="666"/>
      <c r="K354" s="21">
        <f t="shared" si="63"/>
        <v>1</v>
      </c>
      <c r="L354" s="666"/>
      <c r="M354" s="21">
        <f t="shared" si="64"/>
        <v>1</v>
      </c>
      <c r="N354" s="666"/>
      <c r="O354" s="21">
        <f t="shared" si="65"/>
        <v>1</v>
      </c>
      <c r="P354" s="666"/>
      <c r="Q354" s="21">
        <f t="shared" si="66"/>
        <v>1</v>
      </c>
      <c r="R354" s="662">
        <f t="shared" si="67"/>
        <v>0</v>
      </c>
      <c r="S354" s="315">
        <f t="shared" si="58"/>
        <v>0</v>
      </c>
    </row>
    <row r="355" spans="1:19">
      <c r="A355" s="149"/>
      <c r="B355" s="54"/>
      <c r="C355" s="21">
        <f t="shared" si="59"/>
        <v>1</v>
      </c>
      <c r="D355" s="666"/>
      <c r="E355" s="21">
        <f t="shared" si="60"/>
        <v>1</v>
      </c>
      <c r="F355" s="666"/>
      <c r="G355" s="21">
        <f t="shared" si="61"/>
        <v>1</v>
      </c>
      <c r="H355" s="666"/>
      <c r="I355" s="21">
        <f t="shared" si="62"/>
        <v>1</v>
      </c>
      <c r="J355" s="666"/>
      <c r="K355" s="21">
        <f t="shared" si="63"/>
        <v>1</v>
      </c>
      <c r="L355" s="666"/>
      <c r="M355" s="21">
        <f t="shared" si="64"/>
        <v>1</v>
      </c>
      <c r="N355" s="666"/>
      <c r="O355" s="21">
        <f t="shared" si="65"/>
        <v>1</v>
      </c>
      <c r="P355" s="666"/>
      <c r="Q355" s="21">
        <f t="shared" si="66"/>
        <v>1</v>
      </c>
      <c r="R355" s="662">
        <f t="shared" si="67"/>
        <v>0</v>
      </c>
      <c r="S355" s="315">
        <f t="shared" si="58"/>
        <v>0</v>
      </c>
    </row>
    <row r="356" spans="1:19">
      <c r="A356" s="149"/>
      <c r="B356" s="54"/>
      <c r="C356" s="21">
        <f t="shared" si="59"/>
        <v>1</v>
      </c>
      <c r="D356" s="666"/>
      <c r="E356" s="21">
        <f t="shared" si="60"/>
        <v>1</v>
      </c>
      <c r="F356" s="666"/>
      <c r="G356" s="21">
        <f t="shared" si="61"/>
        <v>1</v>
      </c>
      <c r="H356" s="666"/>
      <c r="I356" s="21">
        <f t="shared" si="62"/>
        <v>1</v>
      </c>
      <c r="J356" s="666"/>
      <c r="K356" s="21">
        <f t="shared" si="63"/>
        <v>1</v>
      </c>
      <c r="L356" s="666"/>
      <c r="M356" s="21">
        <f t="shared" si="64"/>
        <v>1</v>
      </c>
      <c r="N356" s="666"/>
      <c r="O356" s="21">
        <f t="shared" si="65"/>
        <v>1</v>
      </c>
      <c r="P356" s="666"/>
      <c r="Q356" s="21">
        <f t="shared" si="66"/>
        <v>1</v>
      </c>
      <c r="R356" s="662">
        <f t="shared" si="67"/>
        <v>0</v>
      </c>
      <c r="S356" s="315">
        <f t="shared" si="58"/>
        <v>0</v>
      </c>
    </row>
    <row r="357" spans="1:19">
      <c r="A357" s="149"/>
      <c r="B357" s="54"/>
      <c r="C357" s="21">
        <f t="shared" si="59"/>
        <v>1</v>
      </c>
      <c r="D357" s="666"/>
      <c r="E357" s="21">
        <f t="shared" si="60"/>
        <v>1</v>
      </c>
      <c r="F357" s="666"/>
      <c r="G357" s="21">
        <f t="shared" si="61"/>
        <v>1</v>
      </c>
      <c r="H357" s="666"/>
      <c r="I357" s="21">
        <f t="shared" si="62"/>
        <v>1</v>
      </c>
      <c r="J357" s="666"/>
      <c r="K357" s="21">
        <f t="shared" si="63"/>
        <v>1</v>
      </c>
      <c r="L357" s="666"/>
      <c r="M357" s="21">
        <f t="shared" si="64"/>
        <v>1</v>
      </c>
      <c r="N357" s="666"/>
      <c r="O357" s="21">
        <f t="shared" si="65"/>
        <v>1</v>
      </c>
      <c r="P357" s="666"/>
      <c r="Q357" s="21">
        <f t="shared" si="66"/>
        <v>1</v>
      </c>
      <c r="R357" s="662">
        <f t="shared" si="67"/>
        <v>0</v>
      </c>
      <c r="S357" s="315">
        <f t="shared" si="58"/>
        <v>0</v>
      </c>
    </row>
    <row r="358" spans="1:19">
      <c r="A358" s="149"/>
      <c r="B358" s="54"/>
      <c r="C358" s="21">
        <f t="shared" si="59"/>
        <v>1</v>
      </c>
      <c r="D358" s="666"/>
      <c r="E358" s="21">
        <f t="shared" si="60"/>
        <v>1</v>
      </c>
      <c r="F358" s="666"/>
      <c r="G358" s="21">
        <f t="shared" si="61"/>
        <v>1</v>
      </c>
      <c r="H358" s="666"/>
      <c r="I358" s="21">
        <f t="shared" si="62"/>
        <v>1</v>
      </c>
      <c r="J358" s="666"/>
      <c r="K358" s="21">
        <f t="shared" si="63"/>
        <v>1</v>
      </c>
      <c r="L358" s="666"/>
      <c r="M358" s="21">
        <f t="shared" si="64"/>
        <v>1</v>
      </c>
      <c r="N358" s="666"/>
      <c r="O358" s="21">
        <f t="shared" si="65"/>
        <v>1</v>
      </c>
      <c r="P358" s="666"/>
      <c r="Q358" s="21">
        <f t="shared" si="66"/>
        <v>1</v>
      </c>
      <c r="R358" s="662">
        <f t="shared" si="67"/>
        <v>0</v>
      </c>
      <c r="S358" s="315">
        <f t="shared" si="58"/>
        <v>0</v>
      </c>
    </row>
    <row r="359" spans="1:19">
      <c r="A359" s="149"/>
      <c r="B359" s="54"/>
      <c r="C359" s="21">
        <f t="shared" si="59"/>
        <v>1</v>
      </c>
      <c r="D359" s="666"/>
      <c r="E359" s="21">
        <f t="shared" si="60"/>
        <v>1</v>
      </c>
      <c r="F359" s="666"/>
      <c r="G359" s="21">
        <f t="shared" si="61"/>
        <v>1</v>
      </c>
      <c r="H359" s="666"/>
      <c r="I359" s="21">
        <f t="shared" si="62"/>
        <v>1</v>
      </c>
      <c r="J359" s="666"/>
      <c r="K359" s="21">
        <f t="shared" si="63"/>
        <v>1</v>
      </c>
      <c r="L359" s="666"/>
      <c r="M359" s="21">
        <f t="shared" si="64"/>
        <v>1</v>
      </c>
      <c r="N359" s="666"/>
      <c r="O359" s="21">
        <f t="shared" si="65"/>
        <v>1</v>
      </c>
      <c r="P359" s="666"/>
      <c r="Q359" s="21">
        <f t="shared" si="66"/>
        <v>1</v>
      </c>
      <c r="R359" s="662">
        <f t="shared" si="67"/>
        <v>0</v>
      </c>
      <c r="S359" s="315">
        <f t="shared" si="58"/>
        <v>0</v>
      </c>
    </row>
    <row r="360" spans="1:19">
      <c r="A360" s="149"/>
      <c r="B360" s="54"/>
      <c r="C360" s="21">
        <f t="shared" si="59"/>
        <v>1</v>
      </c>
      <c r="D360" s="666"/>
      <c r="E360" s="21">
        <f t="shared" si="60"/>
        <v>1</v>
      </c>
      <c r="F360" s="666"/>
      <c r="G360" s="21">
        <f t="shared" si="61"/>
        <v>1</v>
      </c>
      <c r="H360" s="666"/>
      <c r="I360" s="21">
        <f t="shared" si="62"/>
        <v>1</v>
      </c>
      <c r="J360" s="666"/>
      <c r="K360" s="21">
        <f t="shared" si="63"/>
        <v>1</v>
      </c>
      <c r="L360" s="666"/>
      <c r="M360" s="21">
        <f t="shared" si="64"/>
        <v>1</v>
      </c>
      <c r="N360" s="666"/>
      <c r="O360" s="21">
        <f t="shared" si="65"/>
        <v>1</v>
      </c>
      <c r="P360" s="666"/>
      <c r="Q360" s="21">
        <f t="shared" si="66"/>
        <v>1</v>
      </c>
      <c r="R360" s="662">
        <f t="shared" si="67"/>
        <v>0</v>
      </c>
      <c r="S360" s="315">
        <f t="shared" si="58"/>
        <v>0</v>
      </c>
    </row>
    <row r="361" spans="1:19">
      <c r="A361" s="149"/>
      <c r="B361" s="54"/>
      <c r="C361" s="21">
        <f t="shared" si="59"/>
        <v>1</v>
      </c>
      <c r="D361" s="666"/>
      <c r="E361" s="21">
        <f t="shared" si="60"/>
        <v>1</v>
      </c>
      <c r="F361" s="666"/>
      <c r="G361" s="21">
        <f t="shared" si="61"/>
        <v>1</v>
      </c>
      <c r="H361" s="666"/>
      <c r="I361" s="21">
        <f t="shared" si="62"/>
        <v>1</v>
      </c>
      <c r="J361" s="666"/>
      <c r="K361" s="21">
        <f t="shared" si="63"/>
        <v>1</v>
      </c>
      <c r="L361" s="666"/>
      <c r="M361" s="21">
        <f t="shared" si="64"/>
        <v>1</v>
      </c>
      <c r="N361" s="666"/>
      <c r="O361" s="21">
        <f t="shared" si="65"/>
        <v>1</v>
      </c>
      <c r="P361" s="666"/>
      <c r="Q361" s="21">
        <f t="shared" si="66"/>
        <v>1</v>
      </c>
      <c r="R361" s="662">
        <f t="shared" si="67"/>
        <v>0</v>
      </c>
      <c r="S361" s="315">
        <f t="shared" si="58"/>
        <v>0</v>
      </c>
    </row>
    <row r="362" spans="1:19">
      <c r="A362" s="149"/>
      <c r="B362" s="54"/>
      <c r="C362" s="21">
        <f t="shared" si="59"/>
        <v>1</v>
      </c>
      <c r="D362" s="666"/>
      <c r="E362" s="21">
        <f t="shared" si="60"/>
        <v>1</v>
      </c>
      <c r="F362" s="666"/>
      <c r="G362" s="21">
        <f t="shared" si="61"/>
        <v>1</v>
      </c>
      <c r="H362" s="666"/>
      <c r="I362" s="21">
        <f t="shared" si="62"/>
        <v>1</v>
      </c>
      <c r="J362" s="666"/>
      <c r="K362" s="21">
        <f t="shared" si="63"/>
        <v>1</v>
      </c>
      <c r="L362" s="666"/>
      <c r="M362" s="21">
        <f t="shared" si="64"/>
        <v>1</v>
      </c>
      <c r="N362" s="666"/>
      <c r="O362" s="21">
        <f t="shared" si="65"/>
        <v>1</v>
      </c>
      <c r="P362" s="666"/>
      <c r="Q362" s="21">
        <f t="shared" si="66"/>
        <v>1</v>
      </c>
      <c r="R362" s="662">
        <f t="shared" si="67"/>
        <v>0</v>
      </c>
      <c r="S362" s="315">
        <f t="shared" si="58"/>
        <v>0</v>
      </c>
    </row>
    <row r="363" spans="1:19">
      <c r="A363" s="149"/>
      <c r="B363" s="54"/>
      <c r="C363" s="21">
        <f t="shared" si="59"/>
        <v>1</v>
      </c>
      <c r="D363" s="666"/>
      <c r="E363" s="21">
        <f t="shared" si="60"/>
        <v>1</v>
      </c>
      <c r="F363" s="666"/>
      <c r="G363" s="21">
        <f t="shared" si="61"/>
        <v>1</v>
      </c>
      <c r="H363" s="666"/>
      <c r="I363" s="21">
        <f t="shared" si="62"/>
        <v>1</v>
      </c>
      <c r="J363" s="666"/>
      <c r="K363" s="21">
        <f t="shared" si="63"/>
        <v>1</v>
      </c>
      <c r="L363" s="666"/>
      <c r="M363" s="21">
        <f t="shared" si="64"/>
        <v>1</v>
      </c>
      <c r="N363" s="666"/>
      <c r="O363" s="21">
        <f t="shared" si="65"/>
        <v>1</v>
      </c>
      <c r="P363" s="666"/>
      <c r="Q363" s="21">
        <f t="shared" si="66"/>
        <v>1</v>
      </c>
      <c r="R363" s="662">
        <f t="shared" si="67"/>
        <v>0</v>
      </c>
      <c r="S363" s="315">
        <f t="shared" si="58"/>
        <v>0</v>
      </c>
    </row>
    <row r="364" spans="1:19">
      <c r="A364" s="149"/>
      <c r="B364" s="54"/>
      <c r="C364" s="21">
        <f t="shared" si="59"/>
        <v>1</v>
      </c>
      <c r="D364" s="666"/>
      <c r="E364" s="21">
        <f t="shared" si="60"/>
        <v>1</v>
      </c>
      <c r="F364" s="666"/>
      <c r="G364" s="21">
        <f t="shared" si="61"/>
        <v>1</v>
      </c>
      <c r="H364" s="666"/>
      <c r="I364" s="21">
        <f t="shared" si="62"/>
        <v>1</v>
      </c>
      <c r="J364" s="666"/>
      <c r="K364" s="21">
        <f t="shared" si="63"/>
        <v>1</v>
      </c>
      <c r="L364" s="666"/>
      <c r="M364" s="21">
        <f t="shared" si="64"/>
        <v>1</v>
      </c>
      <c r="N364" s="666"/>
      <c r="O364" s="21">
        <f t="shared" si="65"/>
        <v>1</v>
      </c>
      <c r="P364" s="666"/>
      <c r="Q364" s="21">
        <f t="shared" si="66"/>
        <v>1</v>
      </c>
      <c r="R364" s="662">
        <f t="shared" si="67"/>
        <v>0</v>
      </c>
      <c r="S364" s="315">
        <f t="shared" si="58"/>
        <v>0</v>
      </c>
    </row>
    <row r="365" spans="1:19">
      <c r="A365" s="149"/>
      <c r="B365" s="54"/>
      <c r="C365" s="21">
        <f t="shared" si="59"/>
        <v>1</v>
      </c>
      <c r="D365" s="666"/>
      <c r="E365" s="21">
        <f t="shared" si="60"/>
        <v>1</v>
      </c>
      <c r="F365" s="666"/>
      <c r="G365" s="21">
        <f t="shared" si="61"/>
        <v>1</v>
      </c>
      <c r="H365" s="666"/>
      <c r="I365" s="21">
        <f t="shared" si="62"/>
        <v>1</v>
      </c>
      <c r="J365" s="666"/>
      <c r="K365" s="21">
        <f t="shared" si="63"/>
        <v>1</v>
      </c>
      <c r="L365" s="666"/>
      <c r="M365" s="21">
        <f t="shared" si="64"/>
        <v>1</v>
      </c>
      <c r="N365" s="666"/>
      <c r="O365" s="21">
        <f t="shared" si="65"/>
        <v>1</v>
      </c>
      <c r="P365" s="666"/>
      <c r="Q365" s="21">
        <f t="shared" si="66"/>
        <v>1</v>
      </c>
      <c r="R365" s="662">
        <f t="shared" si="67"/>
        <v>0</v>
      </c>
      <c r="S365" s="315">
        <f t="shared" si="58"/>
        <v>0</v>
      </c>
    </row>
    <row r="366" spans="1:19">
      <c r="A366" s="149"/>
      <c r="B366" s="54"/>
      <c r="C366" s="21">
        <f t="shared" si="59"/>
        <v>1</v>
      </c>
      <c r="D366" s="666"/>
      <c r="E366" s="21">
        <f t="shared" si="60"/>
        <v>1</v>
      </c>
      <c r="F366" s="666"/>
      <c r="G366" s="21">
        <f t="shared" si="61"/>
        <v>1</v>
      </c>
      <c r="H366" s="666"/>
      <c r="I366" s="21">
        <f t="shared" si="62"/>
        <v>1</v>
      </c>
      <c r="J366" s="666"/>
      <c r="K366" s="21">
        <f t="shared" si="63"/>
        <v>1</v>
      </c>
      <c r="L366" s="666"/>
      <c r="M366" s="21">
        <f t="shared" si="64"/>
        <v>1</v>
      </c>
      <c r="N366" s="666"/>
      <c r="O366" s="21">
        <f t="shared" si="65"/>
        <v>1</v>
      </c>
      <c r="P366" s="666"/>
      <c r="Q366" s="21">
        <f t="shared" si="66"/>
        <v>1</v>
      </c>
      <c r="R366" s="662">
        <f t="shared" si="67"/>
        <v>0</v>
      </c>
      <c r="S366" s="315">
        <f t="shared" si="58"/>
        <v>0</v>
      </c>
    </row>
    <row r="367" spans="1:19">
      <c r="A367" s="149"/>
      <c r="B367" s="54"/>
      <c r="C367" s="21">
        <f t="shared" si="59"/>
        <v>1</v>
      </c>
      <c r="D367" s="666"/>
      <c r="E367" s="21">
        <f t="shared" si="60"/>
        <v>1</v>
      </c>
      <c r="F367" s="666"/>
      <c r="G367" s="21">
        <f t="shared" si="61"/>
        <v>1</v>
      </c>
      <c r="H367" s="666"/>
      <c r="I367" s="21">
        <f t="shared" si="62"/>
        <v>1</v>
      </c>
      <c r="J367" s="666"/>
      <c r="K367" s="21">
        <f t="shared" si="63"/>
        <v>1</v>
      </c>
      <c r="L367" s="666"/>
      <c r="M367" s="21">
        <f t="shared" si="64"/>
        <v>1</v>
      </c>
      <c r="N367" s="666"/>
      <c r="O367" s="21">
        <f t="shared" si="65"/>
        <v>1</v>
      </c>
      <c r="P367" s="666"/>
      <c r="Q367" s="21">
        <f t="shared" si="66"/>
        <v>1</v>
      </c>
      <c r="R367" s="662">
        <f t="shared" si="67"/>
        <v>0</v>
      </c>
      <c r="S367" s="315">
        <f t="shared" si="58"/>
        <v>0</v>
      </c>
    </row>
    <row r="368" spans="1:19">
      <c r="A368" s="149"/>
      <c r="B368" s="54"/>
      <c r="C368" s="21">
        <f t="shared" si="59"/>
        <v>1</v>
      </c>
      <c r="D368" s="666"/>
      <c r="E368" s="21">
        <f t="shared" si="60"/>
        <v>1</v>
      </c>
      <c r="F368" s="666"/>
      <c r="G368" s="21">
        <f t="shared" si="61"/>
        <v>1</v>
      </c>
      <c r="H368" s="666"/>
      <c r="I368" s="21">
        <f t="shared" si="62"/>
        <v>1</v>
      </c>
      <c r="J368" s="666"/>
      <c r="K368" s="21">
        <f t="shared" si="63"/>
        <v>1</v>
      </c>
      <c r="L368" s="666"/>
      <c r="M368" s="21">
        <f t="shared" si="64"/>
        <v>1</v>
      </c>
      <c r="N368" s="666"/>
      <c r="O368" s="21">
        <f t="shared" si="65"/>
        <v>1</v>
      </c>
      <c r="P368" s="666"/>
      <c r="Q368" s="21">
        <f t="shared" si="66"/>
        <v>1</v>
      </c>
      <c r="R368" s="662">
        <f t="shared" si="67"/>
        <v>0</v>
      </c>
      <c r="S368" s="315">
        <f t="shared" si="58"/>
        <v>0</v>
      </c>
    </row>
    <row r="369" spans="1:19">
      <c r="A369" s="149"/>
      <c r="B369" s="54"/>
      <c r="C369" s="21">
        <f t="shared" si="59"/>
        <v>1</v>
      </c>
      <c r="D369" s="666"/>
      <c r="E369" s="21">
        <f t="shared" si="60"/>
        <v>1</v>
      </c>
      <c r="F369" s="666"/>
      <c r="G369" s="21">
        <f t="shared" si="61"/>
        <v>1</v>
      </c>
      <c r="H369" s="666"/>
      <c r="I369" s="21">
        <f t="shared" si="62"/>
        <v>1</v>
      </c>
      <c r="J369" s="666"/>
      <c r="K369" s="21">
        <f t="shared" si="63"/>
        <v>1</v>
      </c>
      <c r="L369" s="666"/>
      <c r="M369" s="21">
        <f t="shared" si="64"/>
        <v>1</v>
      </c>
      <c r="N369" s="666"/>
      <c r="O369" s="21">
        <f t="shared" si="65"/>
        <v>1</v>
      </c>
      <c r="P369" s="666"/>
      <c r="Q369" s="21">
        <f t="shared" si="66"/>
        <v>1</v>
      </c>
      <c r="R369" s="662">
        <f t="shared" si="67"/>
        <v>0</v>
      </c>
      <c r="S369" s="315">
        <f t="shared" si="58"/>
        <v>0</v>
      </c>
    </row>
    <row r="370" spans="1:19">
      <c r="A370" s="149"/>
      <c r="B370" s="54"/>
      <c r="C370" s="21">
        <f t="shared" si="59"/>
        <v>1</v>
      </c>
      <c r="D370" s="666"/>
      <c r="E370" s="21">
        <f t="shared" si="60"/>
        <v>1</v>
      </c>
      <c r="F370" s="666"/>
      <c r="G370" s="21">
        <f t="shared" si="61"/>
        <v>1</v>
      </c>
      <c r="H370" s="666"/>
      <c r="I370" s="21">
        <f t="shared" si="62"/>
        <v>1</v>
      </c>
      <c r="J370" s="666"/>
      <c r="K370" s="21">
        <f t="shared" si="63"/>
        <v>1</v>
      </c>
      <c r="L370" s="666"/>
      <c r="M370" s="21">
        <f t="shared" si="64"/>
        <v>1</v>
      </c>
      <c r="N370" s="666"/>
      <c r="O370" s="21">
        <f t="shared" si="65"/>
        <v>1</v>
      </c>
      <c r="P370" s="666"/>
      <c r="Q370" s="21">
        <f t="shared" si="66"/>
        <v>1</v>
      </c>
      <c r="R370" s="662">
        <f t="shared" si="67"/>
        <v>0</v>
      </c>
      <c r="S370" s="315">
        <f t="shared" si="58"/>
        <v>0</v>
      </c>
    </row>
    <row r="371" spans="1:19">
      <c r="A371" s="149"/>
      <c r="B371" s="54"/>
      <c r="C371" s="21">
        <f t="shared" si="59"/>
        <v>1</v>
      </c>
      <c r="D371" s="666"/>
      <c r="E371" s="21">
        <f t="shared" si="60"/>
        <v>1</v>
      </c>
      <c r="F371" s="666"/>
      <c r="G371" s="21">
        <f t="shared" si="61"/>
        <v>1</v>
      </c>
      <c r="H371" s="666"/>
      <c r="I371" s="21">
        <f t="shared" si="62"/>
        <v>1</v>
      </c>
      <c r="J371" s="666"/>
      <c r="K371" s="21">
        <f t="shared" si="63"/>
        <v>1</v>
      </c>
      <c r="L371" s="666"/>
      <c r="M371" s="21">
        <f t="shared" si="64"/>
        <v>1</v>
      </c>
      <c r="N371" s="666"/>
      <c r="O371" s="21">
        <f t="shared" si="65"/>
        <v>1</v>
      </c>
      <c r="P371" s="666"/>
      <c r="Q371" s="21">
        <f t="shared" si="66"/>
        <v>1</v>
      </c>
      <c r="R371" s="662">
        <f t="shared" si="67"/>
        <v>0</v>
      </c>
      <c r="S371" s="315">
        <f t="shared" si="58"/>
        <v>0</v>
      </c>
    </row>
    <row r="372" spans="1:19">
      <c r="A372" s="149"/>
      <c r="B372" s="54"/>
      <c r="C372" s="21">
        <f t="shared" si="59"/>
        <v>1</v>
      </c>
      <c r="D372" s="666"/>
      <c r="E372" s="21">
        <f t="shared" si="60"/>
        <v>1</v>
      </c>
      <c r="F372" s="666"/>
      <c r="G372" s="21">
        <f t="shared" si="61"/>
        <v>1</v>
      </c>
      <c r="H372" s="666"/>
      <c r="I372" s="21">
        <f t="shared" si="62"/>
        <v>1</v>
      </c>
      <c r="J372" s="666"/>
      <c r="K372" s="21">
        <f t="shared" si="63"/>
        <v>1</v>
      </c>
      <c r="L372" s="666"/>
      <c r="M372" s="21">
        <f t="shared" si="64"/>
        <v>1</v>
      </c>
      <c r="N372" s="666"/>
      <c r="O372" s="21">
        <f t="shared" si="65"/>
        <v>1</v>
      </c>
      <c r="P372" s="666"/>
      <c r="Q372" s="21">
        <f t="shared" si="66"/>
        <v>1</v>
      </c>
      <c r="R372" s="662">
        <f t="shared" si="67"/>
        <v>0</v>
      </c>
      <c r="S372" s="315">
        <f t="shared" si="58"/>
        <v>0</v>
      </c>
    </row>
    <row r="373" spans="1:19">
      <c r="A373" s="149"/>
      <c r="B373" s="54"/>
      <c r="C373" s="21">
        <f t="shared" si="59"/>
        <v>1</v>
      </c>
      <c r="D373" s="666"/>
      <c r="E373" s="21">
        <f t="shared" si="60"/>
        <v>1</v>
      </c>
      <c r="F373" s="666"/>
      <c r="G373" s="21">
        <f t="shared" si="61"/>
        <v>1</v>
      </c>
      <c r="H373" s="666"/>
      <c r="I373" s="21">
        <f t="shared" si="62"/>
        <v>1</v>
      </c>
      <c r="J373" s="666"/>
      <c r="K373" s="21">
        <f t="shared" si="63"/>
        <v>1</v>
      </c>
      <c r="L373" s="666"/>
      <c r="M373" s="21">
        <f t="shared" si="64"/>
        <v>1</v>
      </c>
      <c r="N373" s="666"/>
      <c r="O373" s="21">
        <f t="shared" si="65"/>
        <v>1</v>
      </c>
      <c r="P373" s="666"/>
      <c r="Q373" s="21">
        <f t="shared" si="66"/>
        <v>1</v>
      </c>
      <c r="R373" s="662">
        <f t="shared" si="67"/>
        <v>0</v>
      </c>
      <c r="S373" s="315">
        <f t="shared" si="58"/>
        <v>0</v>
      </c>
    </row>
    <row r="374" spans="1:19">
      <c r="A374" s="149"/>
      <c r="B374" s="54"/>
      <c r="C374" s="21">
        <f t="shared" si="59"/>
        <v>1</v>
      </c>
      <c r="D374" s="666"/>
      <c r="E374" s="21">
        <f t="shared" si="60"/>
        <v>1</v>
      </c>
      <c r="F374" s="666"/>
      <c r="G374" s="21">
        <f t="shared" si="61"/>
        <v>1</v>
      </c>
      <c r="H374" s="666"/>
      <c r="I374" s="21">
        <f t="shared" si="62"/>
        <v>1</v>
      </c>
      <c r="J374" s="666"/>
      <c r="K374" s="21">
        <f t="shared" si="63"/>
        <v>1</v>
      </c>
      <c r="L374" s="666"/>
      <c r="M374" s="21">
        <f t="shared" si="64"/>
        <v>1</v>
      </c>
      <c r="N374" s="666"/>
      <c r="O374" s="21">
        <f t="shared" si="65"/>
        <v>1</v>
      </c>
      <c r="P374" s="666"/>
      <c r="Q374" s="21">
        <f t="shared" si="66"/>
        <v>1</v>
      </c>
      <c r="R374" s="662">
        <f t="shared" si="67"/>
        <v>0</v>
      </c>
      <c r="S374" s="315">
        <f t="shared" si="58"/>
        <v>0</v>
      </c>
    </row>
    <row r="375" spans="1:19">
      <c r="A375" s="149"/>
      <c r="B375" s="54"/>
      <c r="C375" s="21">
        <f t="shared" si="59"/>
        <v>1</v>
      </c>
      <c r="D375" s="666"/>
      <c r="E375" s="21">
        <f t="shared" si="60"/>
        <v>1</v>
      </c>
      <c r="F375" s="666"/>
      <c r="G375" s="21">
        <f t="shared" si="61"/>
        <v>1</v>
      </c>
      <c r="H375" s="666"/>
      <c r="I375" s="21">
        <f t="shared" si="62"/>
        <v>1</v>
      </c>
      <c r="J375" s="666"/>
      <c r="K375" s="21">
        <f t="shared" si="63"/>
        <v>1</v>
      </c>
      <c r="L375" s="666"/>
      <c r="M375" s="21">
        <f t="shared" si="64"/>
        <v>1</v>
      </c>
      <c r="N375" s="666"/>
      <c r="O375" s="21">
        <f t="shared" si="65"/>
        <v>1</v>
      </c>
      <c r="P375" s="666"/>
      <c r="Q375" s="21">
        <f t="shared" si="66"/>
        <v>1</v>
      </c>
      <c r="R375" s="662">
        <f t="shared" si="67"/>
        <v>0</v>
      </c>
      <c r="S375" s="315">
        <f t="shared" si="58"/>
        <v>0</v>
      </c>
    </row>
    <row r="376" spans="1:19">
      <c r="A376" s="149"/>
      <c r="B376" s="54"/>
      <c r="C376" s="21">
        <f t="shared" si="59"/>
        <v>1</v>
      </c>
      <c r="D376" s="666"/>
      <c r="E376" s="21">
        <f t="shared" si="60"/>
        <v>1</v>
      </c>
      <c r="F376" s="666"/>
      <c r="G376" s="21">
        <f t="shared" si="61"/>
        <v>1</v>
      </c>
      <c r="H376" s="666"/>
      <c r="I376" s="21">
        <f t="shared" si="62"/>
        <v>1</v>
      </c>
      <c r="J376" s="666"/>
      <c r="K376" s="21">
        <f t="shared" si="63"/>
        <v>1</v>
      </c>
      <c r="L376" s="666"/>
      <c r="M376" s="21">
        <f t="shared" si="64"/>
        <v>1</v>
      </c>
      <c r="N376" s="666"/>
      <c r="O376" s="21">
        <f t="shared" si="65"/>
        <v>1</v>
      </c>
      <c r="P376" s="666"/>
      <c r="Q376" s="21">
        <f t="shared" si="66"/>
        <v>1</v>
      </c>
      <c r="R376" s="662">
        <f t="shared" si="67"/>
        <v>0</v>
      </c>
      <c r="S376" s="315">
        <f t="shared" si="58"/>
        <v>0</v>
      </c>
    </row>
    <row r="377" spans="1:19">
      <c r="A377" s="149"/>
      <c r="B377" s="54"/>
      <c r="C377" s="21">
        <f t="shared" si="59"/>
        <v>1</v>
      </c>
      <c r="D377" s="666"/>
      <c r="E377" s="21">
        <f t="shared" si="60"/>
        <v>1</v>
      </c>
      <c r="F377" s="666"/>
      <c r="G377" s="21">
        <f t="shared" si="61"/>
        <v>1</v>
      </c>
      <c r="H377" s="666"/>
      <c r="I377" s="21">
        <f t="shared" si="62"/>
        <v>1</v>
      </c>
      <c r="J377" s="666"/>
      <c r="K377" s="21">
        <f t="shared" si="63"/>
        <v>1</v>
      </c>
      <c r="L377" s="666"/>
      <c r="M377" s="21">
        <f t="shared" si="64"/>
        <v>1</v>
      </c>
      <c r="N377" s="666"/>
      <c r="O377" s="21">
        <f t="shared" si="65"/>
        <v>1</v>
      </c>
      <c r="P377" s="666"/>
      <c r="Q377" s="21">
        <f t="shared" si="66"/>
        <v>1</v>
      </c>
      <c r="R377" s="662">
        <f t="shared" si="67"/>
        <v>0</v>
      </c>
      <c r="S377" s="315">
        <f t="shared" si="58"/>
        <v>0</v>
      </c>
    </row>
    <row r="378" spans="1:19">
      <c r="A378" s="149"/>
      <c r="B378" s="54"/>
      <c r="C378" s="21">
        <f t="shared" si="59"/>
        <v>1</v>
      </c>
      <c r="D378" s="666"/>
      <c r="E378" s="21">
        <f t="shared" si="60"/>
        <v>1</v>
      </c>
      <c r="F378" s="666"/>
      <c r="G378" s="21">
        <f t="shared" si="61"/>
        <v>1</v>
      </c>
      <c r="H378" s="666"/>
      <c r="I378" s="21">
        <f t="shared" si="62"/>
        <v>1</v>
      </c>
      <c r="J378" s="666"/>
      <c r="K378" s="21">
        <f t="shared" si="63"/>
        <v>1</v>
      </c>
      <c r="L378" s="666"/>
      <c r="M378" s="21">
        <f t="shared" si="64"/>
        <v>1</v>
      </c>
      <c r="N378" s="666"/>
      <c r="O378" s="21">
        <f t="shared" si="65"/>
        <v>1</v>
      </c>
      <c r="P378" s="666"/>
      <c r="Q378" s="21">
        <f t="shared" si="66"/>
        <v>1</v>
      </c>
      <c r="R378" s="662">
        <f t="shared" si="67"/>
        <v>0</v>
      </c>
      <c r="S378" s="315">
        <f t="shared" si="58"/>
        <v>0</v>
      </c>
    </row>
    <row r="379" spans="1:19">
      <c r="A379" s="149"/>
      <c r="B379" s="54"/>
      <c r="C379" s="21">
        <f t="shared" si="59"/>
        <v>1</v>
      </c>
      <c r="D379" s="666"/>
      <c r="E379" s="21">
        <f t="shared" si="60"/>
        <v>1</v>
      </c>
      <c r="F379" s="666"/>
      <c r="G379" s="21">
        <f t="shared" si="61"/>
        <v>1</v>
      </c>
      <c r="H379" s="666"/>
      <c r="I379" s="21">
        <f t="shared" si="62"/>
        <v>1</v>
      </c>
      <c r="J379" s="666"/>
      <c r="K379" s="21">
        <f t="shared" si="63"/>
        <v>1</v>
      </c>
      <c r="L379" s="666"/>
      <c r="M379" s="21">
        <f t="shared" si="64"/>
        <v>1</v>
      </c>
      <c r="N379" s="666"/>
      <c r="O379" s="21">
        <f t="shared" si="65"/>
        <v>1</v>
      </c>
      <c r="P379" s="666"/>
      <c r="Q379" s="21">
        <f t="shared" si="66"/>
        <v>1</v>
      </c>
      <c r="R379" s="662">
        <f t="shared" si="67"/>
        <v>0</v>
      </c>
      <c r="S379" s="315">
        <f t="shared" si="58"/>
        <v>0</v>
      </c>
    </row>
    <row r="380" spans="1:19">
      <c r="A380" s="149"/>
      <c r="B380" s="54"/>
      <c r="C380" s="21">
        <f t="shared" si="59"/>
        <v>1</v>
      </c>
      <c r="D380" s="666"/>
      <c r="E380" s="21">
        <f t="shared" si="60"/>
        <v>1</v>
      </c>
      <c r="F380" s="666"/>
      <c r="G380" s="21">
        <f t="shared" si="61"/>
        <v>1</v>
      </c>
      <c r="H380" s="666"/>
      <c r="I380" s="21">
        <f t="shared" si="62"/>
        <v>1</v>
      </c>
      <c r="J380" s="666"/>
      <c r="K380" s="21">
        <f t="shared" si="63"/>
        <v>1</v>
      </c>
      <c r="L380" s="666"/>
      <c r="M380" s="21">
        <f t="shared" si="64"/>
        <v>1</v>
      </c>
      <c r="N380" s="666"/>
      <c r="O380" s="21">
        <f t="shared" si="65"/>
        <v>1</v>
      </c>
      <c r="P380" s="666"/>
      <c r="Q380" s="21">
        <f t="shared" si="66"/>
        <v>1</v>
      </c>
      <c r="R380" s="662">
        <f t="shared" si="67"/>
        <v>0</v>
      </c>
      <c r="S380" s="315">
        <f t="shared" si="58"/>
        <v>0</v>
      </c>
    </row>
    <row r="381" spans="1:19">
      <c r="A381" s="149"/>
      <c r="B381" s="54"/>
      <c r="C381" s="21">
        <f t="shared" si="59"/>
        <v>1</v>
      </c>
      <c r="D381" s="666"/>
      <c r="E381" s="21">
        <f t="shared" si="60"/>
        <v>1</v>
      </c>
      <c r="F381" s="666"/>
      <c r="G381" s="21">
        <f t="shared" si="61"/>
        <v>1</v>
      </c>
      <c r="H381" s="666"/>
      <c r="I381" s="21">
        <f t="shared" si="62"/>
        <v>1</v>
      </c>
      <c r="J381" s="666"/>
      <c r="K381" s="21">
        <f t="shared" si="63"/>
        <v>1</v>
      </c>
      <c r="L381" s="666"/>
      <c r="M381" s="21">
        <f t="shared" si="64"/>
        <v>1</v>
      </c>
      <c r="N381" s="666"/>
      <c r="O381" s="21">
        <f t="shared" si="65"/>
        <v>1</v>
      </c>
      <c r="P381" s="666"/>
      <c r="Q381" s="21">
        <f t="shared" si="66"/>
        <v>1</v>
      </c>
      <c r="R381" s="662">
        <f t="shared" si="67"/>
        <v>0</v>
      </c>
      <c r="S381" s="315">
        <f t="shared" si="58"/>
        <v>0</v>
      </c>
    </row>
    <row r="382" spans="1:19">
      <c r="A382" s="149"/>
      <c r="B382" s="54"/>
      <c r="C382" s="21">
        <f t="shared" si="59"/>
        <v>1</v>
      </c>
      <c r="D382" s="666"/>
      <c r="E382" s="21">
        <f t="shared" si="60"/>
        <v>1</v>
      </c>
      <c r="F382" s="666"/>
      <c r="G382" s="21">
        <f t="shared" si="61"/>
        <v>1</v>
      </c>
      <c r="H382" s="666"/>
      <c r="I382" s="21">
        <f t="shared" si="62"/>
        <v>1</v>
      </c>
      <c r="J382" s="666"/>
      <c r="K382" s="21">
        <f t="shared" si="63"/>
        <v>1</v>
      </c>
      <c r="L382" s="666"/>
      <c r="M382" s="21">
        <f t="shared" si="64"/>
        <v>1</v>
      </c>
      <c r="N382" s="666"/>
      <c r="O382" s="21">
        <f t="shared" si="65"/>
        <v>1</v>
      </c>
      <c r="P382" s="666"/>
      <c r="Q382" s="21">
        <f t="shared" si="66"/>
        <v>1</v>
      </c>
      <c r="R382" s="662">
        <f t="shared" si="67"/>
        <v>0</v>
      </c>
      <c r="S382" s="315">
        <f t="shared" si="58"/>
        <v>0</v>
      </c>
    </row>
    <row r="383" spans="1:19">
      <c r="A383" s="149"/>
      <c r="B383" s="54"/>
      <c r="C383" s="21">
        <f t="shared" si="59"/>
        <v>1</v>
      </c>
      <c r="D383" s="666"/>
      <c r="E383" s="21">
        <f t="shared" si="60"/>
        <v>1</v>
      </c>
      <c r="F383" s="666"/>
      <c r="G383" s="21">
        <f t="shared" si="61"/>
        <v>1</v>
      </c>
      <c r="H383" s="666"/>
      <c r="I383" s="21">
        <f t="shared" si="62"/>
        <v>1</v>
      </c>
      <c r="J383" s="666"/>
      <c r="K383" s="21">
        <f t="shared" si="63"/>
        <v>1</v>
      </c>
      <c r="L383" s="666"/>
      <c r="M383" s="21">
        <f t="shared" si="64"/>
        <v>1</v>
      </c>
      <c r="N383" s="666"/>
      <c r="O383" s="21">
        <f t="shared" si="65"/>
        <v>1</v>
      </c>
      <c r="P383" s="666"/>
      <c r="Q383" s="21">
        <f t="shared" si="66"/>
        <v>1</v>
      </c>
      <c r="R383" s="662">
        <f t="shared" si="67"/>
        <v>0</v>
      </c>
      <c r="S383" s="315">
        <f t="shared" si="58"/>
        <v>0</v>
      </c>
    </row>
    <row r="384" spans="1:19">
      <c r="A384" s="149"/>
      <c r="B384" s="54"/>
      <c r="C384" s="21">
        <f t="shared" si="59"/>
        <v>1</v>
      </c>
      <c r="D384" s="666"/>
      <c r="E384" s="21">
        <f t="shared" si="60"/>
        <v>1</v>
      </c>
      <c r="F384" s="666"/>
      <c r="G384" s="21">
        <f t="shared" si="61"/>
        <v>1</v>
      </c>
      <c r="H384" s="666"/>
      <c r="I384" s="21">
        <f t="shared" si="62"/>
        <v>1</v>
      </c>
      <c r="J384" s="666"/>
      <c r="K384" s="21">
        <f t="shared" si="63"/>
        <v>1</v>
      </c>
      <c r="L384" s="666"/>
      <c r="M384" s="21">
        <f t="shared" si="64"/>
        <v>1</v>
      </c>
      <c r="N384" s="666"/>
      <c r="O384" s="21">
        <f t="shared" si="65"/>
        <v>1</v>
      </c>
      <c r="P384" s="666"/>
      <c r="Q384" s="21">
        <f t="shared" si="66"/>
        <v>1</v>
      </c>
      <c r="R384" s="662">
        <f t="shared" si="67"/>
        <v>0</v>
      </c>
      <c r="S384" s="315">
        <f t="shared" si="58"/>
        <v>0</v>
      </c>
    </row>
    <row r="385" spans="1:19">
      <c r="A385" s="149"/>
      <c r="B385" s="54"/>
      <c r="C385" s="21">
        <f t="shared" si="59"/>
        <v>1</v>
      </c>
      <c r="D385" s="666"/>
      <c r="E385" s="21">
        <f t="shared" si="60"/>
        <v>1</v>
      </c>
      <c r="F385" s="666"/>
      <c r="G385" s="21">
        <f t="shared" si="61"/>
        <v>1</v>
      </c>
      <c r="H385" s="666"/>
      <c r="I385" s="21">
        <f t="shared" si="62"/>
        <v>1</v>
      </c>
      <c r="J385" s="666"/>
      <c r="K385" s="21">
        <f t="shared" si="63"/>
        <v>1</v>
      </c>
      <c r="L385" s="666"/>
      <c r="M385" s="21">
        <f t="shared" si="64"/>
        <v>1</v>
      </c>
      <c r="N385" s="666"/>
      <c r="O385" s="21">
        <f t="shared" si="65"/>
        <v>1</v>
      </c>
      <c r="P385" s="666"/>
      <c r="Q385" s="21">
        <f t="shared" si="66"/>
        <v>1</v>
      </c>
      <c r="R385" s="662">
        <f t="shared" si="67"/>
        <v>0</v>
      </c>
      <c r="S385" s="315">
        <f t="shared" ref="S385:S422" si="68">ROUND(R385*B385/10000,0)</f>
        <v>0</v>
      </c>
    </row>
    <row r="386" spans="1:19">
      <c r="A386" s="149"/>
      <c r="B386" s="54"/>
      <c r="C386" s="21">
        <f t="shared" si="59"/>
        <v>1</v>
      </c>
      <c r="D386" s="666"/>
      <c r="E386" s="21">
        <f t="shared" si="60"/>
        <v>1</v>
      </c>
      <c r="F386" s="666"/>
      <c r="G386" s="21">
        <f t="shared" si="61"/>
        <v>1</v>
      </c>
      <c r="H386" s="666"/>
      <c r="I386" s="21">
        <f t="shared" si="62"/>
        <v>1</v>
      </c>
      <c r="J386" s="666"/>
      <c r="K386" s="21">
        <f t="shared" si="63"/>
        <v>1</v>
      </c>
      <c r="L386" s="666"/>
      <c r="M386" s="21">
        <f t="shared" si="64"/>
        <v>1</v>
      </c>
      <c r="N386" s="666"/>
      <c r="O386" s="21">
        <f t="shared" si="65"/>
        <v>1</v>
      </c>
      <c r="P386" s="666"/>
      <c r="Q386" s="21">
        <f t="shared" si="66"/>
        <v>1</v>
      </c>
      <c r="R386" s="662">
        <f t="shared" si="67"/>
        <v>0</v>
      </c>
      <c r="S386" s="315">
        <f t="shared" si="68"/>
        <v>0</v>
      </c>
    </row>
    <row r="387" spans="1:19">
      <c r="A387" s="149"/>
      <c r="B387" s="54"/>
      <c r="C387" s="21">
        <f t="shared" si="59"/>
        <v>1</v>
      </c>
      <c r="D387" s="666"/>
      <c r="E387" s="21">
        <f t="shared" si="60"/>
        <v>1</v>
      </c>
      <c r="F387" s="666"/>
      <c r="G387" s="21">
        <f t="shared" si="61"/>
        <v>1</v>
      </c>
      <c r="H387" s="666"/>
      <c r="I387" s="21">
        <f t="shared" si="62"/>
        <v>1</v>
      </c>
      <c r="J387" s="666"/>
      <c r="K387" s="21">
        <f t="shared" si="63"/>
        <v>1</v>
      </c>
      <c r="L387" s="666"/>
      <c r="M387" s="21">
        <f t="shared" si="64"/>
        <v>1</v>
      </c>
      <c r="N387" s="666"/>
      <c r="O387" s="21">
        <f t="shared" si="65"/>
        <v>1</v>
      </c>
      <c r="P387" s="666"/>
      <c r="Q387" s="21">
        <f t="shared" si="66"/>
        <v>1</v>
      </c>
      <c r="R387" s="662">
        <f t="shared" si="67"/>
        <v>0</v>
      </c>
      <c r="S387" s="315">
        <f t="shared" si="68"/>
        <v>0</v>
      </c>
    </row>
    <row r="388" spans="1:19">
      <c r="A388" s="149"/>
      <c r="B388" s="54"/>
      <c r="C388" s="21">
        <f t="shared" si="59"/>
        <v>1</v>
      </c>
      <c r="D388" s="666"/>
      <c r="E388" s="21">
        <f t="shared" si="60"/>
        <v>1</v>
      </c>
      <c r="F388" s="666"/>
      <c r="G388" s="21">
        <f t="shared" si="61"/>
        <v>1</v>
      </c>
      <c r="H388" s="666"/>
      <c r="I388" s="21">
        <f t="shared" si="62"/>
        <v>1</v>
      </c>
      <c r="J388" s="666"/>
      <c r="K388" s="21">
        <f t="shared" si="63"/>
        <v>1</v>
      </c>
      <c r="L388" s="666"/>
      <c r="M388" s="21">
        <f t="shared" si="64"/>
        <v>1</v>
      </c>
      <c r="N388" s="666"/>
      <c r="O388" s="21">
        <f t="shared" si="65"/>
        <v>1</v>
      </c>
      <c r="P388" s="666"/>
      <c r="Q388" s="21">
        <f t="shared" si="66"/>
        <v>1</v>
      </c>
      <c r="R388" s="662">
        <f t="shared" si="67"/>
        <v>0</v>
      </c>
      <c r="S388" s="315">
        <f t="shared" si="68"/>
        <v>0</v>
      </c>
    </row>
    <row r="389" spans="1:19">
      <c r="A389" s="149"/>
      <c r="B389" s="54"/>
      <c r="C389" s="21">
        <f t="shared" si="59"/>
        <v>1</v>
      </c>
      <c r="D389" s="666"/>
      <c r="E389" s="21">
        <f t="shared" si="60"/>
        <v>1</v>
      </c>
      <c r="F389" s="666"/>
      <c r="G389" s="21">
        <f t="shared" si="61"/>
        <v>1</v>
      </c>
      <c r="H389" s="666"/>
      <c r="I389" s="21">
        <f t="shared" si="62"/>
        <v>1</v>
      </c>
      <c r="J389" s="666"/>
      <c r="K389" s="21">
        <f t="shared" si="63"/>
        <v>1</v>
      </c>
      <c r="L389" s="666"/>
      <c r="M389" s="21">
        <f t="shared" si="64"/>
        <v>1</v>
      </c>
      <c r="N389" s="666"/>
      <c r="O389" s="21">
        <f t="shared" si="65"/>
        <v>1</v>
      </c>
      <c r="P389" s="666"/>
      <c r="Q389" s="21">
        <f t="shared" si="66"/>
        <v>1</v>
      </c>
      <c r="R389" s="662">
        <f t="shared" si="67"/>
        <v>0</v>
      </c>
      <c r="S389" s="315">
        <f t="shared" si="68"/>
        <v>0</v>
      </c>
    </row>
    <row r="390" spans="1:19">
      <c r="A390" s="149"/>
      <c r="B390" s="54"/>
      <c r="C390" s="21">
        <f t="shared" si="59"/>
        <v>1</v>
      </c>
      <c r="D390" s="666"/>
      <c r="E390" s="21">
        <f t="shared" si="60"/>
        <v>1</v>
      </c>
      <c r="F390" s="666"/>
      <c r="G390" s="21">
        <f t="shared" si="61"/>
        <v>1</v>
      </c>
      <c r="H390" s="666"/>
      <c r="I390" s="21">
        <f t="shared" si="62"/>
        <v>1</v>
      </c>
      <c r="J390" s="666"/>
      <c r="K390" s="21">
        <f t="shared" si="63"/>
        <v>1</v>
      </c>
      <c r="L390" s="666"/>
      <c r="M390" s="21">
        <f t="shared" si="64"/>
        <v>1</v>
      </c>
      <c r="N390" s="666"/>
      <c r="O390" s="21">
        <f t="shared" si="65"/>
        <v>1</v>
      </c>
      <c r="P390" s="666"/>
      <c r="Q390" s="21">
        <f t="shared" si="66"/>
        <v>1</v>
      </c>
      <c r="R390" s="662">
        <f t="shared" si="67"/>
        <v>0</v>
      </c>
      <c r="S390" s="315">
        <f t="shared" si="68"/>
        <v>0</v>
      </c>
    </row>
    <row r="391" spans="1:19">
      <c r="A391" s="149"/>
      <c r="B391" s="54"/>
      <c r="C391" s="21">
        <f t="shared" si="59"/>
        <v>1</v>
      </c>
      <c r="D391" s="666"/>
      <c r="E391" s="21">
        <f t="shared" si="60"/>
        <v>1</v>
      </c>
      <c r="F391" s="666"/>
      <c r="G391" s="21">
        <f t="shared" si="61"/>
        <v>1</v>
      </c>
      <c r="H391" s="666"/>
      <c r="I391" s="21">
        <f t="shared" si="62"/>
        <v>1</v>
      </c>
      <c r="J391" s="666"/>
      <c r="K391" s="21">
        <f t="shared" si="63"/>
        <v>1</v>
      </c>
      <c r="L391" s="666"/>
      <c r="M391" s="21">
        <f t="shared" si="64"/>
        <v>1</v>
      </c>
      <c r="N391" s="666"/>
      <c r="O391" s="21">
        <f t="shared" si="65"/>
        <v>1</v>
      </c>
      <c r="P391" s="666"/>
      <c r="Q391" s="21">
        <f t="shared" si="66"/>
        <v>1</v>
      </c>
      <c r="R391" s="662">
        <f t="shared" si="67"/>
        <v>0</v>
      </c>
      <c r="S391" s="315">
        <f t="shared" si="68"/>
        <v>0</v>
      </c>
    </row>
    <row r="392" spans="1:19">
      <c r="A392" s="149"/>
      <c r="B392" s="54"/>
      <c r="C392" s="21">
        <f t="shared" si="59"/>
        <v>1</v>
      </c>
      <c r="D392" s="666"/>
      <c r="E392" s="21">
        <f t="shared" si="60"/>
        <v>1</v>
      </c>
      <c r="F392" s="666"/>
      <c r="G392" s="21">
        <f t="shared" si="61"/>
        <v>1</v>
      </c>
      <c r="H392" s="666"/>
      <c r="I392" s="21">
        <f t="shared" si="62"/>
        <v>1</v>
      </c>
      <c r="J392" s="666"/>
      <c r="K392" s="21">
        <f t="shared" si="63"/>
        <v>1</v>
      </c>
      <c r="L392" s="666"/>
      <c r="M392" s="21">
        <f t="shared" si="64"/>
        <v>1</v>
      </c>
      <c r="N392" s="666"/>
      <c r="O392" s="21">
        <f t="shared" si="65"/>
        <v>1</v>
      </c>
      <c r="P392" s="666"/>
      <c r="Q392" s="21">
        <f t="shared" si="66"/>
        <v>1</v>
      </c>
      <c r="R392" s="662">
        <f t="shared" si="67"/>
        <v>0</v>
      </c>
      <c r="S392" s="315">
        <f t="shared" si="68"/>
        <v>0</v>
      </c>
    </row>
    <row r="393" spans="1:19">
      <c r="A393" s="149"/>
      <c r="B393" s="54"/>
      <c r="C393" s="21">
        <f t="shared" si="59"/>
        <v>1</v>
      </c>
      <c r="D393" s="666"/>
      <c r="E393" s="21">
        <f t="shared" si="60"/>
        <v>1</v>
      </c>
      <c r="F393" s="666"/>
      <c r="G393" s="21">
        <f t="shared" si="61"/>
        <v>1</v>
      </c>
      <c r="H393" s="666"/>
      <c r="I393" s="21">
        <f t="shared" si="62"/>
        <v>1</v>
      </c>
      <c r="J393" s="666"/>
      <c r="K393" s="21">
        <f t="shared" si="63"/>
        <v>1</v>
      </c>
      <c r="L393" s="666"/>
      <c r="M393" s="21">
        <f t="shared" si="64"/>
        <v>1</v>
      </c>
      <c r="N393" s="666"/>
      <c r="O393" s="21">
        <f t="shared" si="65"/>
        <v>1</v>
      </c>
      <c r="P393" s="666"/>
      <c r="Q393" s="21">
        <f t="shared" si="66"/>
        <v>1</v>
      </c>
      <c r="R393" s="662">
        <f t="shared" si="67"/>
        <v>0</v>
      </c>
      <c r="S393" s="315">
        <f t="shared" si="68"/>
        <v>0</v>
      </c>
    </row>
    <row r="394" spans="1:19">
      <c r="A394" s="149"/>
      <c r="B394" s="54"/>
      <c r="C394" s="21">
        <f t="shared" si="59"/>
        <v>1</v>
      </c>
      <c r="D394" s="666"/>
      <c r="E394" s="21">
        <f t="shared" si="60"/>
        <v>1</v>
      </c>
      <c r="F394" s="666"/>
      <c r="G394" s="21">
        <f t="shared" si="61"/>
        <v>1</v>
      </c>
      <c r="H394" s="666"/>
      <c r="I394" s="21">
        <f t="shared" si="62"/>
        <v>1</v>
      </c>
      <c r="J394" s="666"/>
      <c r="K394" s="21">
        <f t="shared" si="63"/>
        <v>1</v>
      </c>
      <c r="L394" s="666"/>
      <c r="M394" s="21">
        <f t="shared" si="64"/>
        <v>1</v>
      </c>
      <c r="N394" s="666"/>
      <c r="O394" s="21">
        <f t="shared" si="65"/>
        <v>1</v>
      </c>
      <c r="P394" s="666"/>
      <c r="Q394" s="21">
        <f t="shared" si="66"/>
        <v>1</v>
      </c>
      <c r="R394" s="662">
        <f t="shared" si="67"/>
        <v>0</v>
      </c>
      <c r="S394" s="315">
        <f t="shared" si="68"/>
        <v>0</v>
      </c>
    </row>
    <row r="395" spans="1:19">
      <c r="A395" s="149"/>
      <c r="B395" s="54"/>
      <c r="C395" s="21">
        <f t="shared" si="59"/>
        <v>1</v>
      </c>
      <c r="D395" s="666"/>
      <c r="E395" s="21">
        <f t="shared" si="60"/>
        <v>1</v>
      </c>
      <c r="F395" s="666"/>
      <c r="G395" s="21">
        <f t="shared" si="61"/>
        <v>1</v>
      </c>
      <c r="H395" s="666"/>
      <c r="I395" s="21">
        <f t="shared" si="62"/>
        <v>1</v>
      </c>
      <c r="J395" s="666"/>
      <c r="K395" s="21">
        <f t="shared" si="63"/>
        <v>1</v>
      </c>
      <c r="L395" s="666"/>
      <c r="M395" s="21">
        <f t="shared" si="64"/>
        <v>1</v>
      </c>
      <c r="N395" s="666"/>
      <c r="O395" s="21">
        <f t="shared" si="65"/>
        <v>1</v>
      </c>
      <c r="P395" s="666"/>
      <c r="Q395" s="21">
        <f t="shared" si="66"/>
        <v>1</v>
      </c>
      <c r="R395" s="662">
        <f t="shared" si="67"/>
        <v>0</v>
      </c>
      <c r="S395" s="315">
        <f t="shared" si="68"/>
        <v>0</v>
      </c>
    </row>
    <row r="396" spans="1:19">
      <c r="A396" s="149"/>
      <c r="B396" s="54"/>
      <c r="C396" s="21">
        <f t="shared" si="59"/>
        <v>1</v>
      </c>
      <c r="D396" s="666"/>
      <c r="E396" s="21">
        <f t="shared" si="60"/>
        <v>1</v>
      </c>
      <c r="F396" s="666"/>
      <c r="G396" s="21">
        <f t="shared" si="61"/>
        <v>1</v>
      </c>
      <c r="H396" s="666"/>
      <c r="I396" s="21">
        <f t="shared" si="62"/>
        <v>1</v>
      </c>
      <c r="J396" s="666"/>
      <c r="K396" s="21">
        <f t="shared" si="63"/>
        <v>1</v>
      </c>
      <c r="L396" s="666"/>
      <c r="M396" s="21">
        <f t="shared" si="64"/>
        <v>1</v>
      </c>
      <c r="N396" s="666"/>
      <c r="O396" s="21">
        <f t="shared" si="65"/>
        <v>1</v>
      </c>
      <c r="P396" s="666"/>
      <c r="Q396" s="21">
        <f t="shared" si="66"/>
        <v>1</v>
      </c>
      <c r="R396" s="662">
        <f t="shared" si="67"/>
        <v>0</v>
      </c>
      <c r="S396" s="315">
        <f t="shared" si="68"/>
        <v>0</v>
      </c>
    </row>
    <row r="397" spans="1:19">
      <c r="A397" s="149"/>
      <c r="B397" s="54"/>
      <c r="C397" s="21">
        <f t="shared" si="59"/>
        <v>1</v>
      </c>
      <c r="D397" s="666"/>
      <c r="E397" s="21">
        <f t="shared" si="60"/>
        <v>1</v>
      </c>
      <c r="F397" s="666"/>
      <c r="G397" s="21">
        <f t="shared" si="61"/>
        <v>1</v>
      </c>
      <c r="H397" s="666"/>
      <c r="I397" s="21">
        <f t="shared" si="62"/>
        <v>1</v>
      </c>
      <c r="J397" s="666"/>
      <c r="K397" s="21">
        <f t="shared" si="63"/>
        <v>1</v>
      </c>
      <c r="L397" s="666"/>
      <c r="M397" s="21">
        <f t="shared" si="64"/>
        <v>1</v>
      </c>
      <c r="N397" s="666"/>
      <c r="O397" s="21">
        <f t="shared" si="65"/>
        <v>1</v>
      </c>
      <c r="P397" s="666"/>
      <c r="Q397" s="21">
        <f t="shared" si="66"/>
        <v>1</v>
      </c>
      <c r="R397" s="662">
        <f t="shared" si="67"/>
        <v>0</v>
      </c>
      <c r="S397" s="315">
        <f t="shared" si="68"/>
        <v>0</v>
      </c>
    </row>
    <row r="398" spans="1:19">
      <c r="A398" s="149"/>
      <c r="B398" s="54"/>
      <c r="C398" s="21">
        <f t="shared" si="59"/>
        <v>1</v>
      </c>
      <c r="D398" s="666"/>
      <c r="E398" s="21">
        <f t="shared" si="60"/>
        <v>1</v>
      </c>
      <c r="F398" s="666"/>
      <c r="G398" s="21">
        <f t="shared" si="61"/>
        <v>1</v>
      </c>
      <c r="H398" s="666"/>
      <c r="I398" s="21">
        <f t="shared" si="62"/>
        <v>1</v>
      </c>
      <c r="J398" s="666"/>
      <c r="K398" s="21">
        <f t="shared" si="63"/>
        <v>1</v>
      </c>
      <c r="L398" s="666"/>
      <c r="M398" s="21">
        <f t="shared" si="64"/>
        <v>1</v>
      </c>
      <c r="N398" s="666"/>
      <c r="O398" s="21">
        <f t="shared" si="65"/>
        <v>1</v>
      </c>
      <c r="P398" s="666"/>
      <c r="Q398" s="21">
        <f t="shared" si="66"/>
        <v>1</v>
      </c>
      <c r="R398" s="662">
        <f t="shared" si="67"/>
        <v>0</v>
      </c>
      <c r="S398" s="315">
        <f t="shared" si="68"/>
        <v>0</v>
      </c>
    </row>
    <row r="399" spans="1:19">
      <c r="A399" s="149"/>
      <c r="B399" s="54"/>
      <c r="C399" s="21">
        <f t="shared" si="59"/>
        <v>1</v>
      </c>
      <c r="D399" s="666"/>
      <c r="E399" s="21">
        <f t="shared" si="60"/>
        <v>1</v>
      </c>
      <c r="F399" s="666"/>
      <c r="G399" s="21">
        <f t="shared" si="61"/>
        <v>1</v>
      </c>
      <c r="H399" s="666"/>
      <c r="I399" s="21">
        <f t="shared" si="62"/>
        <v>1</v>
      </c>
      <c r="J399" s="666"/>
      <c r="K399" s="21">
        <f t="shared" si="63"/>
        <v>1</v>
      </c>
      <c r="L399" s="666"/>
      <c r="M399" s="21">
        <f t="shared" si="64"/>
        <v>1</v>
      </c>
      <c r="N399" s="666"/>
      <c r="O399" s="21">
        <f t="shared" si="65"/>
        <v>1</v>
      </c>
      <c r="P399" s="666"/>
      <c r="Q399" s="21">
        <f t="shared" si="66"/>
        <v>1</v>
      </c>
      <c r="R399" s="662">
        <f t="shared" si="67"/>
        <v>0</v>
      </c>
      <c r="S399" s="315">
        <f t="shared" si="68"/>
        <v>0</v>
      </c>
    </row>
    <row r="400" spans="1:19">
      <c r="A400" s="149"/>
      <c r="B400" s="54"/>
      <c r="C400" s="21">
        <f t="shared" si="59"/>
        <v>1</v>
      </c>
      <c r="D400" s="666"/>
      <c r="E400" s="21">
        <f t="shared" si="60"/>
        <v>1</v>
      </c>
      <c r="F400" s="666"/>
      <c r="G400" s="21">
        <f t="shared" si="61"/>
        <v>1</v>
      </c>
      <c r="H400" s="666"/>
      <c r="I400" s="21">
        <f t="shared" si="62"/>
        <v>1</v>
      </c>
      <c r="J400" s="666"/>
      <c r="K400" s="21">
        <f t="shared" si="63"/>
        <v>1</v>
      </c>
      <c r="L400" s="666"/>
      <c r="M400" s="21">
        <f t="shared" si="64"/>
        <v>1</v>
      </c>
      <c r="N400" s="666"/>
      <c r="O400" s="21">
        <f t="shared" si="65"/>
        <v>1</v>
      </c>
      <c r="P400" s="666"/>
      <c r="Q400" s="21">
        <f t="shared" si="66"/>
        <v>1</v>
      </c>
      <c r="R400" s="662">
        <f t="shared" si="67"/>
        <v>0</v>
      </c>
      <c r="S400" s="315">
        <f t="shared" si="68"/>
        <v>0</v>
      </c>
    </row>
    <row r="401" spans="1:19">
      <c r="A401" s="149"/>
      <c r="B401" s="54"/>
      <c r="C401" s="21">
        <f t="shared" si="59"/>
        <v>1</v>
      </c>
      <c r="D401" s="666"/>
      <c r="E401" s="21">
        <f t="shared" si="60"/>
        <v>1</v>
      </c>
      <c r="F401" s="666"/>
      <c r="G401" s="21">
        <f t="shared" si="61"/>
        <v>1</v>
      </c>
      <c r="H401" s="666"/>
      <c r="I401" s="21">
        <f t="shared" si="62"/>
        <v>1</v>
      </c>
      <c r="J401" s="666"/>
      <c r="K401" s="21">
        <f t="shared" si="63"/>
        <v>1</v>
      </c>
      <c r="L401" s="666"/>
      <c r="M401" s="21">
        <f t="shared" si="64"/>
        <v>1</v>
      </c>
      <c r="N401" s="666"/>
      <c r="O401" s="21">
        <f t="shared" si="65"/>
        <v>1</v>
      </c>
      <c r="P401" s="666"/>
      <c r="Q401" s="21">
        <f t="shared" si="66"/>
        <v>1</v>
      </c>
      <c r="R401" s="662">
        <f t="shared" si="67"/>
        <v>0</v>
      </c>
      <c r="S401" s="315">
        <f t="shared" si="68"/>
        <v>0</v>
      </c>
    </row>
    <row r="402" spans="1:19">
      <c r="A402" s="149"/>
      <c r="B402" s="54"/>
      <c r="C402" s="21">
        <f t="shared" si="59"/>
        <v>1</v>
      </c>
      <c r="D402" s="666"/>
      <c r="E402" s="21">
        <f t="shared" si="60"/>
        <v>1</v>
      </c>
      <c r="F402" s="666"/>
      <c r="G402" s="21">
        <f t="shared" si="61"/>
        <v>1</v>
      </c>
      <c r="H402" s="666"/>
      <c r="I402" s="21">
        <f t="shared" si="62"/>
        <v>1</v>
      </c>
      <c r="J402" s="666"/>
      <c r="K402" s="21">
        <f t="shared" si="63"/>
        <v>1</v>
      </c>
      <c r="L402" s="666"/>
      <c r="M402" s="21">
        <f t="shared" si="64"/>
        <v>1</v>
      </c>
      <c r="N402" s="666"/>
      <c r="O402" s="21">
        <f t="shared" si="65"/>
        <v>1</v>
      </c>
      <c r="P402" s="666"/>
      <c r="Q402" s="21">
        <f t="shared" si="66"/>
        <v>1</v>
      </c>
      <c r="R402" s="662">
        <f t="shared" si="67"/>
        <v>0</v>
      </c>
      <c r="S402" s="315">
        <f t="shared" si="68"/>
        <v>0</v>
      </c>
    </row>
    <row r="403" spans="1:19">
      <c r="A403" s="149"/>
      <c r="B403" s="54"/>
      <c r="C403" s="21">
        <f t="shared" si="59"/>
        <v>1</v>
      </c>
      <c r="D403" s="666"/>
      <c r="E403" s="21">
        <f t="shared" si="60"/>
        <v>1</v>
      </c>
      <c r="F403" s="666"/>
      <c r="G403" s="21">
        <f t="shared" si="61"/>
        <v>1</v>
      </c>
      <c r="H403" s="666"/>
      <c r="I403" s="21">
        <f t="shared" si="62"/>
        <v>1</v>
      </c>
      <c r="J403" s="666"/>
      <c r="K403" s="21">
        <f t="shared" si="63"/>
        <v>1</v>
      </c>
      <c r="L403" s="666"/>
      <c r="M403" s="21">
        <f t="shared" si="64"/>
        <v>1</v>
      </c>
      <c r="N403" s="666"/>
      <c r="O403" s="21">
        <f t="shared" si="65"/>
        <v>1</v>
      </c>
      <c r="P403" s="666"/>
      <c r="Q403" s="21">
        <f t="shared" si="66"/>
        <v>1</v>
      </c>
      <c r="R403" s="662">
        <f t="shared" si="67"/>
        <v>0</v>
      </c>
      <c r="S403" s="315">
        <f t="shared" si="68"/>
        <v>0</v>
      </c>
    </row>
    <row r="404" spans="1:19">
      <c r="A404" s="149"/>
      <c r="B404" s="54"/>
      <c r="C404" s="21">
        <f t="shared" si="59"/>
        <v>1</v>
      </c>
      <c r="D404" s="666"/>
      <c r="E404" s="21">
        <f t="shared" si="60"/>
        <v>1</v>
      </c>
      <c r="F404" s="666"/>
      <c r="G404" s="21">
        <f t="shared" si="61"/>
        <v>1</v>
      </c>
      <c r="H404" s="666"/>
      <c r="I404" s="21">
        <f t="shared" si="62"/>
        <v>1</v>
      </c>
      <c r="J404" s="666"/>
      <c r="K404" s="21">
        <f t="shared" si="63"/>
        <v>1</v>
      </c>
      <c r="L404" s="666"/>
      <c r="M404" s="21">
        <f t="shared" si="64"/>
        <v>1</v>
      </c>
      <c r="N404" s="666"/>
      <c r="O404" s="21">
        <f t="shared" si="65"/>
        <v>1</v>
      </c>
      <c r="P404" s="666"/>
      <c r="Q404" s="21">
        <f t="shared" si="66"/>
        <v>1</v>
      </c>
      <c r="R404" s="662">
        <f t="shared" si="67"/>
        <v>0</v>
      </c>
      <c r="S404" s="315">
        <f t="shared" si="68"/>
        <v>0</v>
      </c>
    </row>
    <row r="405" spans="1:19">
      <c r="A405" s="149"/>
      <c r="B405" s="54"/>
      <c r="C405" s="21">
        <f t="shared" si="59"/>
        <v>1</v>
      </c>
      <c r="D405" s="666"/>
      <c r="E405" s="21">
        <f t="shared" si="60"/>
        <v>1</v>
      </c>
      <c r="F405" s="666"/>
      <c r="G405" s="21">
        <f t="shared" si="61"/>
        <v>1</v>
      </c>
      <c r="H405" s="666"/>
      <c r="I405" s="21">
        <f t="shared" si="62"/>
        <v>1</v>
      </c>
      <c r="J405" s="666"/>
      <c r="K405" s="21">
        <f t="shared" si="63"/>
        <v>1</v>
      </c>
      <c r="L405" s="666"/>
      <c r="M405" s="21">
        <f t="shared" si="64"/>
        <v>1</v>
      </c>
      <c r="N405" s="666"/>
      <c r="O405" s="21">
        <f t="shared" si="65"/>
        <v>1</v>
      </c>
      <c r="P405" s="666"/>
      <c r="Q405" s="21">
        <f t="shared" si="66"/>
        <v>1</v>
      </c>
      <c r="R405" s="662">
        <f t="shared" si="67"/>
        <v>0</v>
      </c>
      <c r="S405" s="315">
        <f t="shared" si="68"/>
        <v>0</v>
      </c>
    </row>
    <row r="406" spans="1:19">
      <c r="A406" s="149"/>
      <c r="B406" s="54"/>
      <c r="C406" s="21">
        <f t="shared" si="59"/>
        <v>1</v>
      </c>
      <c r="D406" s="666"/>
      <c r="E406" s="21">
        <f t="shared" si="60"/>
        <v>1</v>
      </c>
      <c r="F406" s="666"/>
      <c r="G406" s="21">
        <f t="shared" si="61"/>
        <v>1</v>
      </c>
      <c r="H406" s="666"/>
      <c r="I406" s="21">
        <f t="shared" si="62"/>
        <v>1</v>
      </c>
      <c r="J406" s="666"/>
      <c r="K406" s="21">
        <f t="shared" si="63"/>
        <v>1</v>
      </c>
      <c r="L406" s="666"/>
      <c r="M406" s="21">
        <f t="shared" si="64"/>
        <v>1</v>
      </c>
      <c r="N406" s="666"/>
      <c r="O406" s="21">
        <f t="shared" si="65"/>
        <v>1</v>
      </c>
      <c r="P406" s="666"/>
      <c r="Q406" s="21">
        <f t="shared" si="66"/>
        <v>1</v>
      </c>
      <c r="R406" s="662">
        <f t="shared" si="67"/>
        <v>0</v>
      </c>
      <c r="S406" s="315">
        <f t="shared" si="68"/>
        <v>0</v>
      </c>
    </row>
    <row r="407" spans="1:19">
      <c r="A407" s="149"/>
      <c r="B407" s="54"/>
      <c r="C407" s="21">
        <f t="shared" si="59"/>
        <v>1</v>
      </c>
      <c r="D407" s="666"/>
      <c r="E407" s="21">
        <f t="shared" si="60"/>
        <v>1</v>
      </c>
      <c r="F407" s="666"/>
      <c r="G407" s="21">
        <f t="shared" si="61"/>
        <v>1</v>
      </c>
      <c r="H407" s="666"/>
      <c r="I407" s="21">
        <f t="shared" si="62"/>
        <v>1</v>
      </c>
      <c r="J407" s="666"/>
      <c r="K407" s="21">
        <f t="shared" si="63"/>
        <v>1</v>
      </c>
      <c r="L407" s="666"/>
      <c r="M407" s="21">
        <f t="shared" si="64"/>
        <v>1</v>
      </c>
      <c r="N407" s="666"/>
      <c r="O407" s="21">
        <f t="shared" si="65"/>
        <v>1</v>
      </c>
      <c r="P407" s="666"/>
      <c r="Q407" s="21">
        <f t="shared" si="66"/>
        <v>1</v>
      </c>
      <c r="R407" s="662">
        <f t="shared" si="67"/>
        <v>0</v>
      </c>
      <c r="S407" s="315">
        <f t="shared" si="68"/>
        <v>0</v>
      </c>
    </row>
    <row r="408" spans="1:19">
      <c r="A408" s="149"/>
      <c r="B408" s="54"/>
      <c r="C408" s="21">
        <f t="shared" si="59"/>
        <v>1</v>
      </c>
      <c r="D408" s="666"/>
      <c r="E408" s="21">
        <f t="shared" si="60"/>
        <v>1</v>
      </c>
      <c r="F408" s="666"/>
      <c r="G408" s="21">
        <f t="shared" si="61"/>
        <v>1</v>
      </c>
      <c r="H408" s="666"/>
      <c r="I408" s="21">
        <f t="shared" si="62"/>
        <v>1</v>
      </c>
      <c r="J408" s="666"/>
      <c r="K408" s="21">
        <f t="shared" si="63"/>
        <v>1</v>
      </c>
      <c r="L408" s="666"/>
      <c r="M408" s="21">
        <f t="shared" si="64"/>
        <v>1</v>
      </c>
      <c r="N408" s="666"/>
      <c r="O408" s="21">
        <f t="shared" si="65"/>
        <v>1</v>
      </c>
      <c r="P408" s="666"/>
      <c r="Q408" s="21">
        <f t="shared" si="66"/>
        <v>1</v>
      </c>
      <c r="R408" s="662">
        <f t="shared" si="67"/>
        <v>0</v>
      </c>
      <c r="S408" s="315">
        <f t="shared" si="68"/>
        <v>0</v>
      </c>
    </row>
    <row r="409" spans="1:19">
      <c r="A409" s="149"/>
      <c r="B409" s="54"/>
      <c r="C409" s="21">
        <f t="shared" si="59"/>
        <v>1</v>
      </c>
      <c r="D409" s="666"/>
      <c r="E409" s="21">
        <f t="shared" si="60"/>
        <v>1</v>
      </c>
      <c r="F409" s="666"/>
      <c r="G409" s="21">
        <f t="shared" si="61"/>
        <v>1</v>
      </c>
      <c r="H409" s="666"/>
      <c r="I409" s="21">
        <f t="shared" si="62"/>
        <v>1</v>
      </c>
      <c r="J409" s="666"/>
      <c r="K409" s="21">
        <f t="shared" si="63"/>
        <v>1</v>
      </c>
      <c r="L409" s="666"/>
      <c r="M409" s="21">
        <f t="shared" si="64"/>
        <v>1</v>
      </c>
      <c r="N409" s="666"/>
      <c r="O409" s="21">
        <f t="shared" si="65"/>
        <v>1</v>
      </c>
      <c r="P409" s="666"/>
      <c r="Q409" s="21">
        <f t="shared" si="66"/>
        <v>1</v>
      </c>
      <c r="R409" s="662">
        <f t="shared" si="67"/>
        <v>0</v>
      </c>
      <c r="S409" s="315">
        <f t="shared" si="68"/>
        <v>0</v>
      </c>
    </row>
    <row r="410" spans="1:19">
      <c r="A410" s="149"/>
      <c r="B410" s="54"/>
      <c r="C410" s="21">
        <f t="shared" ref="C410:C473" si="69">IF(B410="",1,(LOOKUP(B410,$3:$3,$4:$4)-LOOKUP($B$24,$3:$3,$4:$4)+100)/100)</f>
        <v>1</v>
      </c>
      <c r="D410" s="666"/>
      <c r="E410" s="21">
        <f t="shared" ref="E410:E473" si="70">(SUMIF($5:$5,D410,$6:$6)-SUMIF($5:$5,$D$24,$6:$6)+100)/100</f>
        <v>1</v>
      </c>
      <c r="F410" s="666"/>
      <c r="G410" s="21">
        <f t="shared" ref="G410:G473" si="71">(SUMIF($7:$7,F410,$8:$8)-SUMIF($7:$7,$F$24,$8:$8)+100)/100</f>
        <v>1</v>
      </c>
      <c r="H410" s="666"/>
      <c r="I410" s="21">
        <f t="shared" ref="I410:I473" si="72">(SUMIF($9:$9,H410,$10:$10)-SUMIF($9:$9,$H$24,$10:$10)+100)/100</f>
        <v>1</v>
      </c>
      <c r="J410" s="666"/>
      <c r="K410" s="21">
        <f t="shared" ref="K410:K473" si="73">(SUMIF($11:$11,J410,$12:$12)-SUMIF($11:$11,$J$24,$12:$12)+100)/100</f>
        <v>1</v>
      </c>
      <c r="L410" s="666"/>
      <c r="M410" s="21">
        <f t="shared" ref="M410:M473" si="74">(SUMIF($13:$13,L410,$14:$14)-SUMIF($13:$13,$L$24,$14:$14)+100)/100</f>
        <v>1</v>
      </c>
      <c r="N410" s="666"/>
      <c r="O410" s="21">
        <f t="shared" ref="O410:O473" si="75">(SUMIF($15:$15,N410,$16:$16)-SUMIF($15:$15,$N$24,$16:$16)+100)/100</f>
        <v>1</v>
      </c>
      <c r="P410" s="666"/>
      <c r="Q410" s="21">
        <f t="shared" ref="Q410:Q473" si="76">(SUMIF($17:$17,P410,$18:$18)-SUMIF($17:$17,$P$24,$18:$18)+100)/100</f>
        <v>1</v>
      </c>
      <c r="R410" s="662">
        <f t="shared" ref="R410:R473" si="77">IF(B410="",0,ROUND($R$24*C410*E410*G410*I410*K410*M410*O410*Q410,0))</f>
        <v>0</v>
      </c>
      <c r="S410" s="315">
        <f t="shared" si="68"/>
        <v>0</v>
      </c>
    </row>
    <row r="411" spans="1:19">
      <c r="A411" s="149"/>
      <c r="B411" s="54"/>
      <c r="C411" s="21">
        <f t="shared" si="69"/>
        <v>1</v>
      </c>
      <c r="D411" s="666"/>
      <c r="E411" s="21">
        <f t="shared" si="70"/>
        <v>1</v>
      </c>
      <c r="F411" s="666"/>
      <c r="G411" s="21">
        <f t="shared" si="71"/>
        <v>1</v>
      </c>
      <c r="H411" s="666"/>
      <c r="I411" s="21">
        <f t="shared" si="72"/>
        <v>1</v>
      </c>
      <c r="J411" s="666"/>
      <c r="K411" s="21">
        <f t="shared" si="73"/>
        <v>1</v>
      </c>
      <c r="L411" s="666"/>
      <c r="M411" s="21">
        <f t="shared" si="74"/>
        <v>1</v>
      </c>
      <c r="N411" s="666"/>
      <c r="O411" s="21">
        <f t="shared" si="75"/>
        <v>1</v>
      </c>
      <c r="P411" s="666"/>
      <c r="Q411" s="21">
        <f t="shared" si="76"/>
        <v>1</v>
      </c>
      <c r="R411" s="662">
        <f t="shared" si="77"/>
        <v>0</v>
      </c>
      <c r="S411" s="315">
        <f t="shared" si="68"/>
        <v>0</v>
      </c>
    </row>
    <row r="412" spans="1:19">
      <c r="A412" s="149"/>
      <c r="B412" s="54"/>
      <c r="C412" s="21">
        <f t="shared" si="69"/>
        <v>1</v>
      </c>
      <c r="D412" s="666"/>
      <c r="E412" s="21">
        <f t="shared" si="70"/>
        <v>1</v>
      </c>
      <c r="F412" s="666"/>
      <c r="G412" s="21">
        <f t="shared" si="71"/>
        <v>1</v>
      </c>
      <c r="H412" s="666"/>
      <c r="I412" s="21">
        <f t="shared" si="72"/>
        <v>1</v>
      </c>
      <c r="J412" s="666"/>
      <c r="K412" s="21">
        <f t="shared" si="73"/>
        <v>1</v>
      </c>
      <c r="L412" s="666"/>
      <c r="M412" s="21">
        <f t="shared" si="74"/>
        <v>1</v>
      </c>
      <c r="N412" s="666"/>
      <c r="O412" s="21">
        <f t="shared" si="75"/>
        <v>1</v>
      </c>
      <c r="P412" s="666"/>
      <c r="Q412" s="21">
        <f t="shared" si="76"/>
        <v>1</v>
      </c>
      <c r="R412" s="662">
        <f t="shared" si="77"/>
        <v>0</v>
      </c>
      <c r="S412" s="315">
        <f t="shared" si="68"/>
        <v>0</v>
      </c>
    </row>
    <row r="413" spans="1:19">
      <c r="A413" s="149"/>
      <c r="B413" s="54"/>
      <c r="C413" s="21">
        <f t="shared" si="69"/>
        <v>1</v>
      </c>
      <c r="D413" s="666"/>
      <c r="E413" s="21">
        <f t="shared" si="70"/>
        <v>1</v>
      </c>
      <c r="F413" s="666"/>
      <c r="G413" s="21">
        <f t="shared" si="71"/>
        <v>1</v>
      </c>
      <c r="H413" s="666"/>
      <c r="I413" s="21">
        <f t="shared" si="72"/>
        <v>1</v>
      </c>
      <c r="J413" s="666"/>
      <c r="K413" s="21">
        <f t="shared" si="73"/>
        <v>1</v>
      </c>
      <c r="L413" s="666"/>
      <c r="M413" s="21">
        <f t="shared" si="74"/>
        <v>1</v>
      </c>
      <c r="N413" s="666"/>
      <c r="O413" s="21">
        <f t="shared" si="75"/>
        <v>1</v>
      </c>
      <c r="P413" s="666"/>
      <c r="Q413" s="21">
        <f t="shared" si="76"/>
        <v>1</v>
      </c>
      <c r="R413" s="662">
        <f t="shared" si="77"/>
        <v>0</v>
      </c>
      <c r="S413" s="315">
        <f t="shared" si="68"/>
        <v>0</v>
      </c>
    </row>
    <row r="414" spans="1:19">
      <c r="A414" s="149"/>
      <c r="B414" s="54"/>
      <c r="C414" s="21">
        <f t="shared" si="69"/>
        <v>1</v>
      </c>
      <c r="D414" s="666"/>
      <c r="E414" s="21">
        <f t="shared" si="70"/>
        <v>1</v>
      </c>
      <c r="F414" s="666"/>
      <c r="G414" s="21">
        <f t="shared" si="71"/>
        <v>1</v>
      </c>
      <c r="H414" s="666"/>
      <c r="I414" s="21">
        <f t="shared" si="72"/>
        <v>1</v>
      </c>
      <c r="J414" s="666"/>
      <c r="K414" s="21">
        <f t="shared" si="73"/>
        <v>1</v>
      </c>
      <c r="L414" s="666"/>
      <c r="M414" s="21">
        <f t="shared" si="74"/>
        <v>1</v>
      </c>
      <c r="N414" s="666"/>
      <c r="O414" s="21">
        <f t="shared" si="75"/>
        <v>1</v>
      </c>
      <c r="P414" s="666"/>
      <c r="Q414" s="21">
        <f t="shared" si="76"/>
        <v>1</v>
      </c>
      <c r="R414" s="662">
        <f t="shared" si="77"/>
        <v>0</v>
      </c>
      <c r="S414" s="315">
        <f t="shared" si="68"/>
        <v>0</v>
      </c>
    </row>
    <row r="415" spans="1:19">
      <c r="A415" s="149"/>
      <c r="B415" s="54"/>
      <c r="C415" s="21">
        <f t="shared" si="69"/>
        <v>1</v>
      </c>
      <c r="D415" s="666"/>
      <c r="E415" s="21">
        <f t="shared" si="70"/>
        <v>1</v>
      </c>
      <c r="F415" s="666"/>
      <c r="G415" s="21">
        <f t="shared" si="71"/>
        <v>1</v>
      </c>
      <c r="H415" s="666"/>
      <c r="I415" s="21">
        <f t="shared" si="72"/>
        <v>1</v>
      </c>
      <c r="J415" s="666"/>
      <c r="K415" s="21">
        <f t="shared" si="73"/>
        <v>1</v>
      </c>
      <c r="L415" s="666"/>
      <c r="M415" s="21">
        <f t="shared" si="74"/>
        <v>1</v>
      </c>
      <c r="N415" s="666"/>
      <c r="O415" s="21">
        <f t="shared" si="75"/>
        <v>1</v>
      </c>
      <c r="P415" s="666"/>
      <c r="Q415" s="21">
        <f t="shared" si="76"/>
        <v>1</v>
      </c>
      <c r="R415" s="662">
        <f t="shared" si="77"/>
        <v>0</v>
      </c>
      <c r="S415" s="315">
        <f t="shared" si="68"/>
        <v>0</v>
      </c>
    </row>
    <row r="416" spans="1:19">
      <c r="A416" s="149"/>
      <c r="B416" s="54"/>
      <c r="C416" s="21">
        <f t="shared" si="69"/>
        <v>1</v>
      </c>
      <c r="D416" s="666"/>
      <c r="E416" s="21">
        <f t="shared" si="70"/>
        <v>1</v>
      </c>
      <c r="F416" s="666"/>
      <c r="G416" s="21">
        <f t="shared" si="71"/>
        <v>1</v>
      </c>
      <c r="H416" s="666"/>
      <c r="I416" s="21">
        <f t="shared" si="72"/>
        <v>1</v>
      </c>
      <c r="J416" s="666"/>
      <c r="K416" s="21">
        <f t="shared" si="73"/>
        <v>1</v>
      </c>
      <c r="L416" s="666"/>
      <c r="M416" s="21">
        <f t="shared" si="74"/>
        <v>1</v>
      </c>
      <c r="N416" s="666"/>
      <c r="O416" s="21">
        <f t="shared" si="75"/>
        <v>1</v>
      </c>
      <c r="P416" s="666"/>
      <c r="Q416" s="21">
        <f t="shared" si="76"/>
        <v>1</v>
      </c>
      <c r="R416" s="662">
        <f t="shared" si="77"/>
        <v>0</v>
      </c>
      <c r="S416" s="315">
        <f t="shared" si="68"/>
        <v>0</v>
      </c>
    </row>
    <row r="417" spans="1:19">
      <c r="A417" s="149"/>
      <c r="B417" s="54"/>
      <c r="C417" s="21">
        <f t="shared" si="69"/>
        <v>1</v>
      </c>
      <c r="D417" s="666"/>
      <c r="E417" s="21">
        <f t="shared" si="70"/>
        <v>1</v>
      </c>
      <c r="F417" s="666"/>
      <c r="G417" s="21">
        <f t="shared" si="71"/>
        <v>1</v>
      </c>
      <c r="H417" s="666"/>
      <c r="I417" s="21">
        <f t="shared" si="72"/>
        <v>1</v>
      </c>
      <c r="J417" s="666"/>
      <c r="K417" s="21">
        <f t="shared" si="73"/>
        <v>1</v>
      </c>
      <c r="L417" s="666"/>
      <c r="M417" s="21">
        <f t="shared" si="74"/>
        <v>1</v>
      </c>
      <c r="N417" s="666"/>
      <c r="O417" s="21">
        <f t="shared" si="75"/>
        <v>1</v>
      </c>
      <c r="P417" s="666"/>
      <c r="Q417" s="21">
        <f t="shared" si="76"/>
        <v>1</v>
      </c>
      <c r="R417" s="662">
        <f t="shared" si="77"/>
        <v>0</v>
      </c>
      <c r="S417" s="315">
        <f t="shared" si="68"/>
        <v>0</v>
      </c>
    </row>
    <row r="418" spans="1:19">
      <c r="A418" s="149"/>
      <c r="B418" s="54"/>
      <c r="C418" s="21">
        <f t="shared" si="69"/>
        <v>1</v>
      </c>
      <c r="D418" s="666"/>
      <c r="E418" s="21">
        <f t="shared" si="70"/>
        <v>1</v>
      </c>
      <c r="F418" s="666"/>
      <c r="G418" s="21">
        <f t="shared" si="71"/>
        <v>1</v>
      </c>
      <c r="H418" s="666"/>
      <c r="I418" s="21">
        <f t="shared" si="72"/>
        <v>1</v>
      </c>
      <c r="J418" s="666"/>
      <c r="K418" s="21">
        <f t="shared" si="73"/>
        <v>1</v>
      </c>
      <c r="L418" s="666"/>
      <c r="M418" s="21">
        <f t="shared" si="74"/>
        <v>1</v>
      </c>
      <c r="N418" s="666"/>
      <c r="O418" s="21">
        <f t="shared" si="75"/>
        <v>1</v>
      </c>
      <c r="P418" s="666"/>
      <c r="Q418" s="21">
        <f t="shared" si="76"/>
        <v>1</v>
      </c>
      <c r="R418" s="662">
        <f t="shared" si="77"/>
        <v>0</v>
      </c>
      <c r="S418" s="315">
        <f t="shared" si="68"/>
        <v>0</v>
      </c>
    </row>
    <row r="419" spans="1:19">
      <c r="A419" s="149"/>
      <c r="B419" s="54"/>
      <c r="C419" s="21">
        <f t="shared" si="69"/>
        <v>1</v>
      </c>
      <c r="D419" s="666"/>
      <c r="E419" s="21">
        <f t="shared" si="70"/>
        <v>1</v>
      </c>
      <c r="F419" s="666"/>
      <c r="G419" s="21">
        <f t="shared" si="71"/>
        <v>1</v>
      </c>
      <c r="H419" s="666"/>
      <c r="I419" s="21">
        <f t="shared" si="72"/>
        <v>1</v>
      </c>
      <c r="J419" s="666"/>
      <c r="K419" s="21">
        <f t="shared" si="73"/>
        <v>1</v>
      </c>
      <c r="L419" s="666"/>
      <c r="M419" s="21">
        <f t="shared" si="74"/>
        <v>1</v>
      </c>
      <c r="N419" s="666"/>
      <c r="O419" s="21">
        <f t="shared" si="75"/>
        <v>1</v>
      </c>
      <c r="P419" s="666"/>
      <c r="Q419" s="21">
        <f t="shared" si="76"/>
        <v>1</v>
      </c>
      <c r="R419" s="662">
        <f t="shared" si="77"/>
        <v>0</v>
      </c>
      <c r="S419" s="315">
        <f t="shared" si="68"/>
        <v>0</v>
      </c>
    </row>
    <row r="420" spans="1:19">
      <c r="A420" s="149"/>
      <c r="B420" s="54"/>
      <c r="C420" s="21">
        <f t="shared" si="69"/>
        <v>1</v>
      </c>
      <c r="D420" s="666"/>
      <c r="E420" s="21">
        <f t="shared" si="70"/>
        <v>1</v>
      </c>
      <c r="F420" s="666"/>
      <c r="G420" s="21">
        <f t="shared" si="71"/>
        <v>1</v>
      </c>
      <c r="H420" s="666"/>
      <c r="I420" s="21">
        <f t="shared" si="72"/>
        <v>1</v>
      </c>
      <c r="J420" s="666"/>
      <c r="K420" s="21">
        <f t="shared" si="73"/>
        <v>1</v>
      </c>
      <c r="L420" s="666"/>
      <c r="M420" s="21">
        <f t="shared" si="74"/>
        <v>1</v>
      </c>
      <c r="N420" s="666"/>
      <c r="O420" s="21">
        <f t="shared" si="75"/>
        <v>1</v>
      </c>
      <c r="P420" s="666"/>
      <c r="Q420" s="21">
        <f t="shared" si="76"/>
        <v>1</v>
      </c>
      <c r="R420" s="662">
        <f t="shared" si="77"/>
        <v>0</v>
      </c>
      <c r="S420" s="315">
        <f t="shared" si="68"/>
        <v>0</v>
      </c>
    </row>
    <row r="421" spans="1:19">
      <c r="A421" s="149"/>
      <c r="B421" s="54"/>
      <c r="C421" s="21">
        <f t="shared" si="69"/>
        <v>1</v>
      </c>
      <c r="D421" s="666"/>
      <c r="E421" s="21">
        <f t="shared" si="70"/>
        <v>1</v>
      </c>
      <c r="F421" s="666"/>
      <c r="G421" s="21">
        <f t="shared" si="71"/>
        <v>1</v>
      </c>
      <c r="H421" s="666"/>
      <c r="I421" s="21">
        <f t="shared" si="72"/>
        <v>1</v>
      </c>
      <c r="J421" s="666"/>
      <c r="K421" s="21">
        <f t="shared" si="73"/>
        <v>1</v>
      </c>
      <c r="L421" s="666"/>
      <c r="M421" s="21">
        <f t="shared" si="74"/>
        <v>1</v>
      </c>
      <c r="N421" s="666"/>
      <c r="O421" s="21">
        <f t="shared" si="75"/>
        <v>1</v>
      </c>
      <c r="P421" s="666"/>
      <c r="Q421" s="21">
        <f t="shared" si="76"/>
        <v>1</v>
      </c>
      <c r="R421" s="662">
        <f t="shared" si="77"/>
        <v>0</v>
      </c>
      <c r="S421" s="315">
        <f t="shared" si="68"/>
        <v>0</v>
      </c>
    </row>
    <row r="422" spans="1:19">
      <c r="A422" s="149"/>
      <c r="B422" s="54"/>
      <c r="C422" s="21">
        <f t="shared" si="69"/>
        <v>1</v>
      </c>
      <c r="D422" s="666"/>
      <c r="E422" s="21">
        <f t="shared" si="70"/>
        <v>1</v>
      </c>
      <c r="F422" s="666"/>
      <c r="G422" s="21">
        <f t="shared" si="71"/>
        <v>1</v>
      </c>
      <c r="H422" s="666"/>
      <c r="I422" s="21">
        <f t="shared" si="72"/>
        <v>1</v>
      </c>
      <c r="J422" s="666"/>
      <c r="K422" s="21">
        <f t="shared" si="73"/>
        <v>1</v>
      </c>
      <c r="L422" s="666"/>
      <c r="M422" s="21">
        <f t="shared" si="74"/>
        <v>1</v>
      </c>
      <c r="N422" s="666"/>
      <c r="O422" s="21">
        <f t="shared" si="75"/>
        <v>1</v>
      </c>
      <c r="P422" s="666"/>
      <c r="Q422" s="21">
        <f t="shared" si="76"/>
        <v>1</v>
      </c>
      <c r="R422" s="662">
        <f t="shared" si="77"/>
        <v>0</v>
      </c>
      <c r="S422" s="315">
        <f t="shared" si="68"/>
        <v>0</v>
      </c>
    </row>
    <row r="423" spans="1:19">
      <c r="A423" s="149"/>
      <c r="B423" s="54"/>
      <c r="C423" s="21">
        <f t="shared" si="69"/>
        <v>1</v>
      </c>
      <c r="D423" s="666"/>
      <c r="E423" s="21">
        <f t="shared" si="70"/>
        <v>1</v>
      </c>
      <c r="F423" s="666"/>
      <c r="G423" s="21">
        <f t="shared" si="71"/>
        <v>1</v>
      </c>
      <c r="H423" s="666"/>
      <c r="I423" s="21">
        <f t="shared" si="72"/>
        <v>1</v>
      </c>
      <c r="J423" s="666"/>
      <c r="K423" s="21">
        <f t="shared" si="73"/>
        <v>1</v>
      </c>
      <c r="L423" s="666"/>
      <c r="M423" s="21">
        <f t="shared" si="74"/>
        <v>1</v>
      </c>
      <c r="N423" s="666"/>
      <c r="O423" s="21">
        <f t="shared" si="75"/>
        <v>1</v>
      </c>
      <c r="P423" s="666"/>
      <c r="Q423" s="21">
        <f t="shared" si="76"/>
        <v>1</v>
      </c>
      <c r="R423" s="662">
        <f t="shared" si="77"/>
        <v>0</v>
      </c>
      <c r="S423" s="315">
        <f t="shared" ref="S423:S467" si="78">ROUND(R423*B423/10000,0)</f>
        <v>0</v>
      </c>
    </row>
    <row r="424" spans="1:19">
      <c r="A424" s="149"/>
      <c r="B424" s="54"/>
      <c r="C424" s="21">
        <f t="shared" si="69"/>
        <v>1</v>
      </c>
      <c r="D424" s="666"/>
      <c r="E424" s="21">
        <f t="shared" si="70"/>
        <v>1</v>
      </c>
      <c r="F424" s="666"/>
      <c r="G424" s="21">
        <f t="shared" si="71"/>
        <v>1</v>
      </c>
      <c r="H424" s="666"/>
      <c r="I424" s="21">
        <f t="shared" si="72"/>
        <v>1</v>
      </c>
      <c r="J424" s="666"/>
      <c r="K424" s="21">
        <f t="shared" si="73"/>
        <v>1</v>
      </c>
      <c r="L424" s="666"/>
      <c r="M424" s="21">
        <f t="shared" si="74"/>
        <v>1</v>
      </c>
      <c r="N424" s="666"/>
      <c r="O424" s="21">
        <f t="shared" si="75"/>
        <v>1</v>
      </c>
      <c r="P424" s="666"/>
      <c r="Q424" s="21">
        <f t="shared" si="76"/>
        <v>1</v>
      </c>
      <c r="R424" s="662">
        <f t="shared" si="77"/>
        <v>0</v>
      </c>
      <c r="S424" s="315">
        <f t="shared" si="78"/>
        <v>0</v>
      </c>
    </row>
    <row r="425" spans="1:19">
      <c r="A425" s="149"/>
      <c r="B425" s="54"/>
      <c r="C425" s="21">
        <f t="shared" si="69"/>
        <v>1</v>
      </c>
      <c r="D425" s="666"/>
      <c r="E425" s="21">
        <f t="shared" si="70"/>
        <v>1</v>
      </c>
      <c r="F425" s="666"/>
      <c r="G425" s="21">
        <f t="shared" si="71"/>
        <v>1</v>
      </c>
      <c r="H425" s="666"/>
      <c r="I425" s="21">
        <f t="shared" si="72"/>
        <v>1</v>
      </c>
      <c r="J425" s="666"/>
      <c r="K425" s="21">
        <f t="shared" si="73"/>
        <v>1</v>
      </c>
      <c r="L425" s="666"/>
      <c r="M425" s="21">
        <f t="shared" si="74"/>
        <v>1</v>
      </c>
      <c r="N425" s="666"/>
      <c r="O425" s="21">
        <f t="shared" si="75"/>
        <v>1</v>
      </c>
      <c r="P425" s="666"/>
      <c r="Q425" s="21">
        <f t="shared" si="76"/>
        <v>1</v>
      </c>
      <c r="R425" s="662">
        <f t="shared" si="77"/>
        <v>0</v>
      </c>
      <c r="S425" s="315">
        <f t="shared" si="78"/>
        <v>0</v>
      </c>
    </row>
    <row r="426" spans="1:19">
      <c r="A426" s="149"/>
      <c r="B426" s="54"/>
      <c r="C426" s="21">
        <f t="shared" si="69"/>
        <v>1</v>
      </c>
      <c r="D426" s="666"/>
      <c r="E426" s="21">
        <f t="shared" si="70"/>
        <v>1</v>
      </c>
      <c r="F426" s="666"/>
      <c r="G426" s="21">
        <f t="shared" si="71"/>
        <v>1</v>
      </c>
      <c r="H426" s="666"/>
      <c r="I426" s="21">
        <f t="shared" si="72"/>
        <v>1</v>
      </c>
      <c r="J426" s="666"/>
      <c r="K426" s="21">
        <f t="shared" si="73"/>
        <v>1</v>
      </c>
      <c r="L426" s="666"/>
      <c r="M426" s="21">
        <f t="shared" si="74"/>
        <v>1</v>
      </c>
      <c r="N426" s="666"/>
      <c r="O426" s="21">
        <f t="shared" si="75"/>
        <v>1</v>
      </c>
      <c r="P426" s="666"/>
      <c r="Q426" s="21">
        <f t="shared" si="76"/>
        <v>1</v>
      </c>
      <c r="R426" s="662">
        <f t="shared" si="77"/>
        <v>0</v>
      </c>
      <c r="S426" s="315">
        <f t="shared" si="78"/>
        <v>0</v>
      </c>
    </row>
    <row r="427" spans="1:19">
      <c r="A427" s="149"/>
      <c r="B427" s="54"/>
      <c r="C427" s="21">
        <f t="shared" si="69"/>
        <v>1</v>
      </c>
      <c r="D427" s="666"/>
      <c r="E427" s="21">
        <f t="shared" si="70"/>
        <v>1</v>
      </c>
      <c r="F427" s="666"/>
      <c r="G427" s="21">
        <f t="shared" si="71"/>
        <v>1</v>
      </c>
      <c r="H427" s="666"/>
      <c r="I427" s="21">
        <f t="shared" si="72"/>
        <v>1</v>
      </c>
      <c r="J427" s="666"/>
      <c r="K427" s="21">
        <f t="shared" si="73"/>
        <v>1</v>
      </c>
      <c r="L427" s="666"/>
      <c r="M427" s="21">
        <f t="shared" si="74"/>
        <v>1</v>
      </c>
      <c r="N427" s="666"/>
      <c r="O427" s="21">
        <f t="shared" si="75"/>
        <v>1</v>
      </c>
      <c r="P427" s="666"/>
      <c r="Q427" s="21">
        <f t="shared" si="76"/>
        <v>1</v>
      </c>
      <c r="R427" s="662">
        <f t="shared" si="77"/>
        <v>0</v>
      </c>
      <c r="S427" s="315">
        <f t="shared" si="78"/>
        <v>0</v>
      </c>
    </row>
    <row r="428" spans="1:19">
      <c r="A428" s="149"/>
      <c r="B428" s="54"/>
      <c r="C428" s="21">
        <f t="shared" si="69"/>
        <v>1</v>
      </c>
      <c r="D428" s="666"/>
      <c r="E428" s="21">
        <f t="shared" si="70"/>
        <v>1</v>
      </c>
      <c r="F428" s="666"/>
      <c r="G428" s="21">
        <f t="shared" si="71"/>
        <v>1</v>
      </c>
      <c r="H428" s="666"/>
      <c r="I428" s="21">
        <f t="shared" si="72"/>
        <v>1</v>
      </c>
      <c r="J428" s="666"/>
      <c r="K428" s="21">
        <f t="shared" si="73"/>
        <v>1</v>
      </c>
      <c r="L428" s="666"/>
      <c r="M428" s="21">
        <f t="shared" si="74"/>
        <v>1</v>
      </c>
      <c r="N428" s="666"/>
      <c r="O428" s="21">
        <f t="shared" si="75"/>
        <v>1</v>
      </c>
      <c r="P428" s="666"/>
      <c r="Q428" s="21">
        <f t="shared" si="76"/>
        <v>1</v>
      </c>
      <c r="R428" s="662">
        <f t="shared" si="77"/>
        <v>0</v>
      </c>
      <c r="S428" s="315">
        <f t="shared" si="78"/>
        <v>0</v>
      </c>
    </row>
    <row r="429" spans="1:19">
      <c r="A429" s="149"/>
      <c r="B429" s="54"/>
      <c r="C429" s="21">
        <f t="shared" si="69"/>
        <v>1</v>
      </c>
      <c r="D429" s="666"/>
      <c r="E429" s="21">
        <f t="shared" si="70"/>
        <v>1</v>
      </c>
      <c r="F429" s="666"/>
      <c r="G429" s="21">
        <f t="shared" si="71"/>
        <v>1</v>
      </c>
      <c r="H429" s="666"/>
      <c r="I429" s="21">
        <f t="shared" si="72"/>
        <v>1</v>
      </c>
      <c r="J429" s="666"/>
      <c r="K429" s="21">
        <f t="shared" si="73"/>
        <v>1</v>
      </c>
      <c r="L429" s="666"/>
      <c r="M429" s="21">
        <f t="shared" si="74"/>
        <v>1</v>
      </c>
      <c r="N429" s="666"/>
      <c r="O429" s="21">
        <f t="shared" si="75"/>
        <v>1</v>
      </c>
      <c r="P429" s="666"/>
      <c r="Q429" s="21">
        <f t="shared" si="76"/>
        <v>1</v>
      </c>
      <c r="R429" s="662">
        <f t="shared" si="77"/>
        <v>0</v>
      </c>
      <c r="S429" s="315">
        <f t="shared" si="78"/>
        <v>0</v>
      </c>
    </row>
    <row r="430" spans="1:19">
      <c r="A430" s="149"/>
      <c r="B430" s="54"/>
      <c r="C430" s="21">
        <f t="shared" si="69"/>
        <v>1</v>
      </c>
      <c r="D430" s="666"/>
      <c r="E430" s="21">
        <f t="shared" si="70"/>
        <v>1</v>
      </c>
      <c r="F430" s="666"/>
      <c r="G430" s="21">
        <f t="shared" si="71"/>
        <v>1</v>
      </c>
      <c r="H430" s="666"/>
      <c r="I430" s="21">
        <f t="shared" si="72"/>
        <v>1</v>
      </c>
      <c r="J430" s="666"/>
      <c r="K430" s="21">
        <f t="shared" si="73"/>
        <v>1</v>
      </c>
      <c r="L430" s="666"/>
      <c r="M430" s="21">
        <f t="shared" si="74"/>
        <v>1</v>
      </c>
      <c r="N430" s="666"/>
      <c r="O430" s="21">
        <f t="shared" si="75"/>
        <v>1</v>
      </c>
      <c r="P430" s="666"/>
      <c r="Q430" s="21">
        <f t="shared" si="76"/>
        <v>1</v>
      </c>
      <c r="R430" s="662">
        <f t="shared" si="77"/>
        <v>0</v>
      </c>
      <c r="S430" s="315">
        <f t="shared" si="78"/>
        <v>0</v>
      </c>
    </row>
    <row r="431" spans="1:19">
      <c r="A431" s="149"/>
      <c r="B431" s="54"/>
      <c r="C431" s="21">
        <f t="shared" si="69"/>
        <v>1</v>
      </c>
      <c r="D431" s="666"/>
      <c r="E431" s="21">
        <f t="shared" si="70"/>
        <v>1</v>
      </c>
      <c r="F431" s="666"/>
      <c r="G431" s="21">
        <f t="shared" si="71"/>
        <v>1</v>
      </c>
      <c r="H431" s="666"/>
      <c r="I431" s="21">
        <f t="shared" si="72"/>
        <v>1</v>
      </c>
      <c r="J431" s="666"/>
      <c r="K431" s="21">
        <f t="shared" si="73"/>
        <v>1</v>
      </c>
      <c r="L431" s="666"/>
      <c r="M431" s="21">
        <f t="shared" si="74"/>
        <v>1</v>
      </c>
      <c r="N431" s="666"/>
      <c r="O431" s="21">
        <f t="shared" si="75"/>
        <v>1</v>
      </c>
      <c r="P431" s="666"/>
      <c r="Q431" s="21">
        <f t="shared" si="76"/>
        <v>1</v>
      </c>
      <c r="R431" s="662">
        <f t="shared" si="77"/>
        <v>0</v>
      </c>
      <c r="S431" s="315">
        <f t="shared" si="78"/>
        <v>0</v>
      </c>
    </row>
    <row r="432" spans="1:19">
      <c r="A432" s="149"/>
      <c r="B432" s="54"/>
      <c r="C432" s="21">
        <f t="shared" si="69"/>
        <v>1</v>
      </c>
      <c r="D432" s="666"/>
      <c r="E432" s="21">
        <f t="shared" si="70"/>
        <v>1</v>
      </c>
      <c r="F432" s="666"/>
      <c r="G432" s="21">
        <f t="shared" si="71"/>
        <v>1</v>
      </c>
      <c r="H432" s="666"/>
      <c r="I432" s="21">
        <f t="shared" si="72"/>
        <v>1</v>
      </c>
      <c r="J432" s="666"/>
      <c r="K432" s="21">
        <f t="shared" si="73"/>
        <v>1</v>
      </c>
      <c r="L432" s="666"/>
      <c r="M432" s="21">
        <f t="shared" si="74"/>
        <v>1</v>
      </c>
      <c r="N432" s="666"/>
      <c r="O432" s="21">
        <f t="shared" si="75"/>
        <v>1</v>
      </c>
      <c r="P432" s="666"/>
      <c r="Q432" s="21">
        <f t="shared" si="76"/>
        <v>1</v>
      </c>
      <c r="R432" s="662">
        <f t="shared" si="77"/>
        <v>0</v>
      </c>
      <c r="S432" s="315">
        <f t="shared" si="78"/>
        <v>0</v>
      </c>
    </row>
    <row r="433" spans="1:19">
      <c r="A433" s="149"/>
      <c r="B433" s="54"/>
      <c r="C433" s="21">
        <f t="shared" si="69"/>
        <v>1</v>
      </c>
      <c r="D433" s="666"/>
      <c r="E433" s="21">
        <f t="shared" si="70"/>
        <v>1</v>
      </c>
      <c r="F433" s="666"/>
      <c r="G433" s="21">
        <f t="shared" si="71"/>
        <v>1</v>
      </c>
      <c r="H433" s="666"/>
      <c r="I433" s="21">
        <f t="shared" si="72"/>
        <v>1</v>
      </c>
      <c r="J433" s="666"/>
      <c r="K433" s="21">
        <f t="shared" si="73"/>
        <v>1</v>
      </c>
      <c r="L433" s="666"/>
      <c r="M433" s="21">
        <f t="shared" si="74"/>
        <v>1</v>
      </c>
      <c r="N433" s="666"/>
      <c r="O433" s="21">
        <f t="shared" si="75"/>
        <v>1</v>
      </c>
      <c r="P433" s="666"/>
      <c r="Q433" s="21">
        <f t="shared" si="76"/>
        <v>1</v>
      </c>
      <c r="R433" s="662">
        <f t="shared" si="77"/>
        <v>0</v>
      </c>
      <c r="S433" s="315">
        <f t="shared" si="78"/>
        <v>0</v>
      </c>
    </row>
    <row r="434" spans="1:19">
      <c r="A434" s="149"/>
      <c r="B434" s="54"/>
      <c r="C434" s="21">
        <f t="shared" si="69"/>
        <v>1</v>
      </c>
      <c r="D434" s="666"/>
      <c r="E434" s="21">
        <f t="shared" si="70"/>
        <v>1</v>
      </c>
      <c r="F434" s="666"/>
      <c r="G434" s="21">
        <f t="shared" si="71"/>
        <v>1</v>
      </c>
      <c r="H434" s="666"/>
      <c r="I434" s="21">
        <f t="shared" si="72"/>
        <v>1</v>
      </c>
      <c r="J434" s="666"/>
      <c r="K434" s="21">
        <f t="shared" si="73"/>
        <v>1</v>
      </c>
      <c r="L434" s="666"/>
      <c r="M434" s="21">
        <f t="shared" si="74"/>
        <v>1</v>
      </c>
      <c r="N434" s="666"/>
      <c r="O434" s="21">
        <f t="shared" si="75"/>
        <v>1</v>
      </c>
      <c r="P434" s="666"/>
      <c r="Q434" s="21">
        <f t="shared" si="76"/>
        <v>1</v>
      </c>
      <c r="R434" s="662">
        <f t="shared" si="77"/>
        <v>0</v>
      </c>
      <c r="S434" s="315">
        <f t="shared" si="78"/>
        <v>0</v>
      </c>
    </row>
    <row r="435" spans="1:19">
      <c r="A435" s="149"/>
      <c r="B435" s="54"/>
      <c r="C435" s="21">
        <f t="shared" si="69"/>
        <v>1</v>
      </c>
      <c r="D435" s="666"/>
      <c r="E435" s="21">
        <f t="shared" si="70"/>
        <v>1</v>
      </c>
      <c r="F435" s="666"/>
      <c r="G435" s="21">
        <f t="shared" si="71"/>
        <v>1</v>
      </c>
      <c r="H435" s="666"/>
      <c r="I435" s="21">
        <f t="shared" si="72"/>
        <v>1</v>
      </c>
      <c r="J435" s="666"/>
      <c r="K435" s="21">
        <f t="shared" si="73"/>
        <v>1</v>
      </c>
      <c r="L435" s="666"/>
      <c r="M435" s="21">
        <f t="shared" si="74"/>
        <v>1</v>
      </c>
      <c r="N435" s="666"/>
      <c r="O435" s="21">
        <f t="shared" si="75"/>
        <v>1</v>
      </c>
      <c r="P435" s="666"/>
      <c r="Q435" s="21">
        <f t="shared" si="76"/>
        <v>1</v>
      </c>
      <c r="R435" s="662">
        <f t="shared" si="77"/>
        <v>0</v>
      </c>
      <c r="S435" s="315">
        <f t="shared" si="78"/>
        <v>0</v>
      </c>
    </row>
    <row r="436" spans="1:19">
      <c r="A436" s="149"/>
      <c r="B436" s="54"/>
      <c r="C436" s="21">
        <f t="shared" si="69"/>
        <v>1</v>
      </c>
      <c r="D436" s="666"/>
      <c r="E436" s="21">
        <f t="shared" si="70"/>
        <v>1</v>
      </c>
      <c r="F436" s="666"/>
      <c r="G436" s="21">
        <f t="shared" si="71"/>
        <v>1</v>
      </c>
      <c r="H436" s="666"/>
      <c r="I436" s="21">
        <f t="shared" si="72"/>
        <v>1</v>
      </c>
      <c r="J436" s="666"/>
      <c r="K436" s="21">
        <f t="shared" si="73"/>
        <v>1</v>
      </c>
      <c r="L436" s="666"/>
      <c r="M436" s="21">
        <f t="shared" si="74"/>
        <v>1</v>
      </c>
      <c r="N436" s="666"/>
      <c r="O436" s="21">
        <f t="shared" si="75"/>
        <v>1</v>
      </c>
      <c r="P436" s="666"/>
      <c r="Q436" s="21">
        <f t="shared" si="76"/>
        <v>1</v>
      </c>
      <c r="R436" s="662">
        <f t="shared" si="77"/>
        <v>0</v>
      </c>
      <c r="S436" s="315">
        <f t="shared" si="78"/>
        <v>0</v>
      </c>
    </row>
    <row r="437" spans="1:19">
      <c r="A437" s="149"/>
      <c r="B437" s="54"/>
      <c r="C437" s="21">
        <f t="shared" si="69"/>
        <v>1</v>
      </c>
      <c r="D437" s="666"/>
      <c r="E437" s="21">
        <f t="shared" si="70"/>
        <v>1</v>
      </c>
      <c r="F437" s="666"/>
      <c r="G437" s="21">
        <f t="shared" si="71"/>
        <v>1</v>
      </c>
      <c r="H437" s="666"/>
      <c r="I437" s="21">
        <f t="shared" si="72"/>
        <v>1</v>
      </c>
      <c r="J437" s="666"/>
      <c r="K437" s="21">
        <f t="shared" si="73"/>
        <v>1</v>
      </c>
      <c r="L437" s="666"/>
      <c r="M437" s="21">
        <f t="shared" si="74"/>
        <v>1</v>
      </c>
      <c r="N437" s="666"/>
      <c r="O437" s="21">
        <f t="shared" si="75"/>
        <v>1</v>
      </c>
      <c r="P437" s="666"/>
      <c r="Q437" s="21">
        <f t="shared" si="76"/>
        <v>1</v>
      </c>
      <c r="R437" s="662">
        <f t="shared" si="77"/>
        <v>0</v>
      </c>
      <c r="S437" s="315">
        <f t="shared" si="78"/>
        <v>0</v>
      </c>
    </row>
    <row r="438" spans="1:19">
      <c r="A438" s="149"/>
      <c r="B438" s="54"/>
      <c r="C438" s="21">
        <f t="shared" si="69"/>
        <v>1</v>
      </c>
      <c r="D438" s="666"/>
      <c r="E438" s="21">
        <f t="shared" si="70"/>
        <v>1</v>
      </c>
      <c r="F438" s="666"/>
      <c r="G438" s="21">
        <f t="shared" si="71"/>
        <v>1</v>
      </c>
      <c r="H438" s="666"/>
      <c r="I438" s="21">
        <f t="shared" si="72"/>
        <v>1</v>
      </c>
      <c r="J438" s="666"/>
      <c r="K438" s="21">
        <f t="shared" si="73"/>
        <v>1</v>
      </c>
      <c r="L438" s="666"/>
      <c r="M438" s="21">
        <f t="shared" si="74"/>
        <v>1</v>
      </c>
      <c r="N438" s="666"/>
      <c r="O438" s="21">
        <f t="shared" si="75"/>
        <v>1</v>
      </c>
      <c r="P438" s="666"/>
      <c r="Q438" s="21">
        <f t="shared" si="76"/>
        <v>1</v>
      </c>
      <c r="R438" s="662">
        <f t="shared" si="77"/>
        <v>0</v>
      </c>
      <c r="S438" s="315">
        <f t="shared" si="78"/>
        <v>0</v>
      </c>
    </row>
    <row r="439" spans="1:19">
      <c r="A439" s="149"/>
      <c r="B439" s="54"/>
      <c r="C439" s="21">
        <f t="shared" si="69"/>
        <v>1</v>
      </c>
      <c r="D439" s="666"/>
      <c r="E439" s="21">
        <f t="shared" si="70"/>
        <v>1</v>
      </c>
      <c r="F439" s="666"/>
      <c r="G439" s="21">
        <f t="shared" si="71"/>
        <v>1</v>
      </c>
      <c r="H439" s="666"/>
      <c r="I439" s="21">
        <f t="shared" si="72"/>
        <v>1</v>
      </c>
      <c r="J439" s="666"/>
      <c r="K439" s="21">
        <f t="shared" si="73"/>
        <v>1</v>
      </c>
      <c r="L439" s="666"/>
      <c r="M439" s="21">
        <f t="shared" si="74"/>
        <v>1</v>
      </c>
      <c r="N439" s="666"/>
      <c r="O439" s="21">
        <f t="shared" si="75"/>
        <v>1</v>
      </c>
      <c r="P439" s="666"/>
      <c r="Q439" s="21">
        <f t="shared" si="76"/>
        <v>1</v>
      </c>
      <c r="R439" s="662">
        <f t="shared" si="77"/>
        <v>0</v>
      </c>
      <c r="S439" s="315">
        <f t="shared" si="78"/>
        <v>0</v>
      </c>
    </row>
    <row r="440" spans="1:19">
      <c r="A440" s="149"/>
      <c r="B440" s="54"/>
      <c r="C440" s="21">
        <f t="shared" si="69"/>
        <v>1</v>
      </c>
      <c r="D440" s="666"/>
      <c r="E440" s="21">
        <f t="shared" si="70"/>
        <v>1</v>
      </c>
      <c r="F440" s="666"/>
      <c r="G440" s="21">
        <f t="shared" si="71"/>
        <v>1</v>
      </c>
      <c r="H440" s="666"/>
      <c r="I440" s="21">
        <f t="shared" si="72"/>
        <v>1</v>
      </c>
      <c r="J440" s="666"/>
      <c r="K440" s="21">
        <f t="shared" si="73"/>
        <v>1</v>
      </c>
      <c r="L440" s="666"/>
      <c r="M440" s="21">
        <f t="shared" si="74"/>
        <v>1</v>
      </c>
      <c r="N440" s="666"/>
      <c r="O440" s="21">
        <f t="shared" si="75"/>
        <v>1</v>
      </c>
      <c r="P440" s="666"/>
      <c r="Q440" s="21">
        <f t="shared" si="76"/>
        <v>1</v>
      </c>
      <c r="R440" s="662">
        <f t="shared" si="77"/>
        <v>0</v>
      </c>
      <c r="S440" s="315">
        <f t="shared" si="78"/>
        <v>0</v>
      </c>
    </row>
    <row r="441" spans="1:19">
      <c r="A441" s="149"/>
      <c r="B441" s="54"/>
      <c r="C441" s="21">
        <f t="shared" si="69"/>
        <v>1</v>
      </c>
      <c r="D441" s="666"/>
      <c r="E441" s="21">
        <f t="shared" si="70"/>
        <v>1</v>
      </c>
      <c r="F441" s="666"/>
      <c r="G441" s="21">
        <f t="shared" si="71"/>
        <v>1</v>
      </c>
      <c r="H441" s="666"/>
      <c r="I441" s="21">
        <f t="shared" si="72"/>
        <v>1</v>
      </c>
      <c r="J441" s="666"/>
      <c r="K441" s="21">
        <f t="shared" si="73"/>
        <v>1</v>
      </c>
      <c r="L441" s="666"/>
      <c r="M441" s="21">
        <f t="shared" si="74"/>
        <v>1</v>
      </c>
      <c r="N441" s="666"/>
      <c r="O441" s="21">
        <f t="shared" si="75"/>
        <v>1</v>
      </c>
      <c r="P441" s="666"/>
      <c r="Q441" s="21">
        <f t="shared" si="76"/>
        <v>1</v>
      </c>
      <c r="R441" s="662">
        <f t="shared" si="77"/>
        <v>0</v>
      </c>
      <c r="S441" s="315">
        <f t="shared" si="78"/>
        <v>0</v>
      </c>
    </row>
    <row r="442" spans="1:19">
      <c r="A442" s="149"/>
      <c r="B442" s="54"/>
      <c r="C442" s="21">
        <f t="shared" si="69"/>
        <v>1</v>
      </c>
      <c r="D442" s="666"/>
      <c r="E442" s="21">
        <f t="shared" si="70"/>
        <v>1</v>
      </c>
      <c r="F442" s="666"/>
      <c r="G442" s="21">
        <f t="shared" si="71"/>
        <v>1</v>
      </c>
      <c r="H442" s="666"/>
      <c r="I442" s="21">
        <f t="shared" si="72"/>
        <v>1</v>
      </c>
      <c r="J442" s="666"/>
      <c r="K442" s="21">
        <f t="shared" si="73"/>
        <v>1</v>
      </c>
      <c r="L442" s="666"/>
      <c r="M442" s="21">
        <f t="shared" si="74"/>
        <v>1</v>
      </c>
      <c r="N442" s="666"/>
      <c r="O442" s="21">
        <f t="shared" si="75"/>
        <v>1</v>
      </c>
      <c r="P442" s="666"/>
      <c r="Q442" s="21">
        <f t="shared" si="76"/>
        <v>1</v>
      </c>
      <c r="R442" s="662">
        <f t="shared" si="77"/>
        <v>0</v>
      </c>
      <c r="S442" s="315">
        <f t="shared" si="78"/>
        <v>0</v>
      </c>
    </row>
    <row r="443" spans="1:19">
      <c r="A443" s="149"/>
      <c r="B443" s="54"/>
      <c r="C443" s="21">
        <f t="shared" si="69"/>
        <v>1</v>
      </c>
      <c r="D443" s="666"/>
      <c r="E443" s="21">
        <f t="shared" si="70"/>
        <v>1</v>
      </c>
      <c r="F443" s="666"/>
      <c r="G443" s="21">
        <f t="shared" si="71"/>
        <v>1</v>
      </c>
      <c r="H443" s="666"/>
      <c r="I443" s="21">
        <f t="shared" si="72"/>
        <v>1</v>
      </c>
      <c r="J443" s="666"/>
      <c r="K443" s="21">
        <f t="shared" si="73"/>
        <v>1</v>
      </c>
      <c r="L443" s="666"/>
      <c r="M443" s="21">
        <f t="shared" si="74"/>
        <v>1</v>
      </c>
      <c r="N443" s="666"/>
      <c r="O443" s="21">
        <f t="shared" si="75"/>
        <v>1</v>
      </c>
      <c r="P443" s="666"/>
      <c r="Q443" s="21">
        <f t="shared" si="76"/>
        <v>1</v>
      </c>
      <c r="R443" s="662">
        <f t="shared" si="77"/>
        <v>0</v>
      </c>
      <c r="S443" s="315">
        <f t="shared" si="78"/>
        <v>0</v>
      </c>
    </row>
    <row r="444" spans="1:19">
      <c r="A444" s="149"/>
      <c r="B444" s="54"/>
      <c r="C444" s="21">
        <f t="shared" si="69"/>
        <v>1</v>
      </c>
      <c r="D444" s="666"/>
      <c r="E444" s="21">
        <f t="shared" si="70"/>
        <v>1</v>
      </c>
      <c r="F444" s="666"/>
      <c r="G444" s="21">
        <f t="shared" si="71"/>
        <v>1</v>
      </c>
      <c r="H444" s="666"/>
      <c r="I444" s="21">
        <f t="shared" si="72"/>
        <v>1</v>
      </c>
      <c r="J444" s="666"/>
      <c r="K444" s="21">
        <f t="shared" si="73"/>
        <v>1</v>
      </c>
      <c r="L444" s="666"/>
      <c r="M444" s="21">
        <f t="shared" si="74"/>
        <v>1</v>
      </c>
      <c r="N444" s="666"/>
      <c r="O444" s="21">
        <f t="shared" si="75"/>
        <v>1</v>
      </c>
      <c r="P444" s="666"/>
      <c r="Q444" s="21">
        <f t="shared" si="76"/>
        <v>1</v>
      </c>
      <c r="R444" s="662">
        <f t="shared" si="77"/>
        <v>0</v>
      </c>
      <c r="S444" s="315">
        <f t="shared" si="78"/>
        <v>0</v>
      </c>
    </row>
    <row r="445" spans="1:19">
      <c r="A445" s="149"/>
      <c r="B445" s="54"/>
      <c r="C445" s="21">
        <f t="shared" si="69"/>
        <v>1</v>
      </c>
      <c r="D445" s="666"/>
      <c r="E445" s="21">
        <f t="shared" si="70"/>
        <v>1</v>
      </c>
      <c r="F445" s="666"/>
      <c r="G445" s="21">
        <f t="shared" si="71"/>
        <v>1</v>
      </c>
      <c r="H445" s="666"/>
      <c r="I445" s="21">
        <f t="shared" si="72"/>
        <v>1</v>
      </c>
      <c r="J445" s="666"/>
      <c r="K445" s="21">
        <f t="shared" si="73"/>
        <v>1</v>
      </c>
      <c r="L445" s="666"/>
      <c r="M445" s="21">
        <f t="shared" si="74"/>
        <v>1</v>
      </c>
      <c r="N445" s="666"/>
      <c r="O445" s="21">
        <f t="shared" si="75"/>
        <v>1</v>
      </c>
      <c r="P445" s="666"/>
      <c r="Q445" s="21">
        <f t="shared" si="76"/>
        <v>1</v>
      </c>
      <c r="R445" s="662">
        <f t="shared" si="77"/>
        <v>0</v>
      </c>
      <c r="S445" s="315">
        <f t="shared" si="78"/>
        <v>0</v>
      </c>
    </row>
    <row r="446" spans="1:19">
      <c r="A446" s="149"/>
      <c r="B446" s="54"/>
      <c r="C446" s="21">
        <f t="shared" si="69"/>
        <v>1</v>
      </c>
      <c r="D446" s="666"/>
      <c r="E446" s="21">
        <f t="shared" si="70"/>
        <v>1</v>
      </c>
      <c r="F446" s="666"/>
      <c r="G446" s="21">
        <f t="shared" si="71"/>
        <v>1</v>
      </c>
      <c r="H446" s="666"/>
      <c r="I446" s="21">
        <f t="shared" si="72"/>
        <v>1</v>
      </c>
      <c r="J446" s="666"/>
      <c r="K446" s="21">
        <f t="shared" si="73"/>
        <v>1</v>
      </c>
      <c r="L446" s="666"/>
      <c r="M446" s="21">
        <f t="shared" si="74"/>
        <v>1</v>
      </c>
      <c r="N446" s="666"/>
      <c r="O446" s="21">
        <f t="shared" si="75"/>
        <v>1</v>
      </c>
      <c r="P446" s="666"/>
      <c r="Q446" s="21">
        <f t="shared" si="76"/>
        <v>1</v>
      </c>
      <c r="R446" s="662">
        <f t="shared" si="77"/>
        <v>0</v>
      </c>
      <c r="S446" s="315">
        <f t="shared" si="78"/>
        <v>0</v>
      </c>
    </row>
    <row r="447" spans="1:19">
      <c r="A447" s="149"/>
      <c r="B447" s="54"/>
      <c r="C447" s="21">
        <f t="shared" si="69"/>
        <v>1</v>
      </c>
      <c r="D447" s="666"/>
      <c r="E447" s="21">
        <f t="shared" si="70"/>
        <v>1</v>
      </c>
      <c r="F447" s="666"/>
      <c r="G447" s="21">
        <f t="shared" si="71"/>
        <v>1</v>
      </c>
      <c r="H447" s="666"/>
      <c r="I447" s="21">
        <f t="shared" si="72"/>
        <v>1</v>
      </c>
      <c r="J447" s="666"/>
      <c r="K447" s="21">
        <f t="shared" si="73"/>
        <v>1</v>
      </c>
      <c r="L447" s="666"/>
      <c r="M447" s="21">
        <f t="shared" si="74"/>
        <v>1</v>
      </c>
      <c r="N447" s="666"/>
      <c r="O447" s="21">
        <f t="shared" si="75"/>
        <v>1</v>
      </c>
      <c r="P447" s="666"/>
      <c r="Q447" s="21">
        <f t="shared" si="76"/>
        <v>1</v>
      </c>
      <c r="R447" s="662">
        <f t="shared" si="77"/>
        <v>0</v>
      </c>
      <c r="S447" s="315">
        <f t="shared" si="78"/>
        <v>0</v>
      </c>
    </row>
    <row r="448" spans="1:19">
      <c r="A448" s="149"/>
      <c r="B448" s="54"/>
      <c r="C448" s="21">
        <f t="shared" si="69"/>
        <v>1</v>
      </c>
      <c r="D448" s="666"/>
      <c r="E448" s="21">
        <f t="shared" si="70"/>
        <v>1</v>
      </c>
      <c r="F448" s="666"/>
      <c r="G448" s="21">
        <f t="shared" si="71"/>
        <v>1</v>
      </c>
      <c r="H448" s="666"/>
      <c r="I448" s="21">
        <f t="shared" si="72"/>
        <v>1</v>
      </c>
      <c r="J448" s="666"/>
      <c r="K448" s="21">
        <f t="shared" si="73"/>
        <v>1</v>
      </c>
      <c r="L448" s="666"/>
      <c r="M448" s="21">
        <f t="shared" si="74"/>
        <v>1</v>
      </c>
      <c r="N448" s="666"/>
      <c r="O448" s="21">
        <f t="shared" si="75"/>
        <v>1</v>
      </c>
      <c r="P448" s="666"/>
      <c r="Q448" s="21">
        <f t="shared" si="76"/>
        <v>1</v>
      </c>
      <c r="R448" s="662">
        <f t="shared" si="77"/>
        <v>0</v>
      </c>
      <c r="S448" s="315">
        <f t="shared" si="78"/>
        <v>0</v>
      </c>
    </row>
    <row r="449" spans="1:19">
      <c r="A449" s="149"/>
      <c r="B449" s="54"/>
      <c r="C449" s="21">
        <f t="shared" si="69"/>
        <v>1</v>
      </c>
      <c r="D449" s="666"/>
      <c r="E449" s="21">
        <f t="shared" si="70"/>
        <v>1</v>
      </c>
      <c r="F449" s="666"/>
      <c r="G449" s="21">
        <f t="shared" si="71"/>
        <v>1</v>
      </c>
      <c r="H449" s="666"/>
      <c r="I449" s="21">
        <f t="shared" si="72"/>
        <v>1</v>
      </c>
      <c r="J449" s="666"/>
      <c r="K449" s="21">
        <f t="shared" si="73"/>
        <v>1</v>
      </c>
      <c r="L449" s="666"/>
      <c r="M449" s="21">
        <f t="shared" si="74"/>
        <v>1</v>
      </c>
      <c r="N449" s="666"/>
      <c r="O449" s="21">
        <f t="shared" si="75"/>
        <v>1</v>
      </c>
      <c r="P449" s="666"/>
      <c r="Q449" s="21">
        <f t="shared" si="76"/>
        <v>1</v>
      </c>
      <c r="R449" s="662">
        <f t="shared" si="77"/>
        <v>0</v>
      </c>
      <c r="S449" s="315">
        <f t="shared" si="78"/>
        <v>0</v>
      </c>
    </row>
    <row r="450" spans="1:19">
      <c r="A450" s="149"/>
      <c r="B450" s="54"/>
      <c r="C450" s="21">
        <f t="shared" si="69"/>
        <v>1</v>
      </c>
      <c r="D450" s="666"/>
      <c r="E450" s="21">
        <f t="shared" si="70"/>
        <v>1</v>
      </c>
      <c r="F450" s="666"/>
      <c r="G450" s="21">
        <f t="shared" si="71"/>
        <v>1</v>
      </c>
      <c r="H450" s="666"/>
      <c r="I450" s="21">
        <f t="shared" si="72"/>
        <v>1</v>
      </c>
      <c r="J450" s="666"/>
      <c r="K450" s="21">
        <f t="shared" si="73"/>
        <v>1</v>
      </c>
      <c r="L450" s="666"/>
      <c r="M450" s="21">
        <f t="shared" si="74"/>
        <v>1</v>
      </c>
      <c r="N450" s="666"/>
      <c r="O450" s="21">
        <f t="shared" si="75"/>
        <v>1</v>
      </c>
      <c r="P450" s="666"/>
      <c r="Q450" s="21">
        <f t="shared" si="76"/>
        <v>1</v>
      </c>
      <c r="R450" s="662">
        <f t="shared" si="77"/>
        <v>0</v>
      </c>
      <c r="S450" s="315">
        <f t="shared" si="78"/>
        <v>0</v>
      </c>
    </row>
    <row r="451" spans="1:19">
      <c r="A451" s="149"/>
      <c r="B451" s="54"/>
      <c r="C451" s="21">
        <f t="shared" si="69"/>
        <v>1</v>
      </c>
      <c r="D451" s="666"/>
      <c r="E451" s="21">
        <f t="shared" si="70"/>
        <v>1</v>
      </c>
      <c r="F451" s="666"/>
      <c r="G451" s="21">
        <f t="shared" si="71"/>
        <v>1</v>
      </c>
      <c r="H451" s="666"/>
      <c r="I451" s="21">
        <f t="shared" si="72"/>
        <v>1</v>
      </c>
      <c r="J451" s="666"/>
      <c r="K451" s="21">
        <f t="shared" si="73"/>
        <v>1</v>
      </c>
      <c r="L451" s="666"/>
      <c r="M451" s="21">
        <f t="shared" si="74"/>
        <v>1</v>
      </c>
      <c r="N451" s="666"/>
      <c r="O451" s="21">
        <f t="shared" si="75"/>
        <v>1</v>
      </c>
      <c r="P451" s="666"/>
      <c r="Q451" s="21">
        <f t="shared" si="76"/>
        <v>1</v>
      </c>
      <c r="R451" s="662">
        <f t="shared" si="77"/>
        <v>0</v>
      </c>
      <c r="S451" s="315">
        <f t="shared" si="78"/>
        <v>0</v>
      </c>
    </row>
    <row r="452" spans="1:19">
      <c r="A452" s="149"/>
      <c r="B452" s="54"/>
      <c r="C452" s="21">
        <f t="shared" si="69"/>
        <v>1</v>
      </c>
      <c r="D452" s="666"/>
      <c r="E452" s="21">
        <f t="shared" si="70"/>
        <v>1</v>
      </c>
      <c r="F452" s="666"/>
      <c r="G452" s="21">
        <f t="shared" si="71"/>
        <v>1</v>
      </c>
      <c r="H452" s="666"/>
      <c r="I452" s="21">
        <f t="shared" si="72"/>
        <v>1</v>
      </c>
      <c r="J452" s="666"/>
      <c r="K452" s="21">
        <f t="shared" si="73"/>
        <v>1</v>
      </c>
      <c r="L452" s="666"/>
      <c r="M452" s="21">
        <f t="shared" si="74"/>
        <v>1</v>
      </c>
      <c r="N452" s="666"/>
      <c r="O452" s="21">
        <f t="shared" si="75"/>
        <v>1</v>
      </c>
      <c r="P452" s="666"/>
      <c r="Q452" s="21">
        <f t="shared" si="76"/>
        <v>1</v>
      </c>
      <c r="R452" s="662">
        <f t="shared" si="77"/>
        <v>0</v>
      </c>
      <c r="S452" s="315">
        <f t="shared" si="78"/>
        <v>0</v>
      </c>
    </row>
    <row r="453" spans="1:19">
      <c r="A453" s="149"/>
      <c r="B453" s="54"/>
      <c r="C453" s="21">
        <f t="shared" si="69"/>
        <v>1</v>
      </c>
      <c r="D453" s="666"/>
      <c r="E453" s="21">
        <f t="shared" si="70"/>
        <v>1</v>
      </c>
      <c r="F453" s="666"/>
      <c r="G453" s="21">
        <f t="shared" si="71"/>
        <v>1</v>
      </c>
      <c r="H453" s="666"/>
      <c r="I453" s="21">
        <f t="shared" si="72"/>
        <v>1</v>
      </c>
      <c r="J453" s="666"/>
      <c r="K453" s="21">
        <f t="shared" si="73"/>
        <v>1</v>
      </c>
      <c r="L453" s="666"/>
      <c r="M453" s="21">
        <f t="shared" si="74"/>
        <v>1</v>
      </c>
      <c r="N453" s="666"/>
      <c r="O453" s="21">
        <f t="shared" si="75"/>
        <v>1</v>
      </c>
      <c r="P453" s="666"/>
      <c r="Q453" s="21">
        <f t="shared" si="76"/>
        <v>1</v>
      </c>
      <c r="R453" s="662">
        <f t="shared" si="77"/>
        <v>0</v>
      </c>
      <c r="S453" s="315">
        <f t="shared" si="78"/>
        <v>0</v>
      </c>
    </row>
    <row r="454" spans="1:19">
      <c r="A454" s="149"/>
      <c r="B454" s="54"/>
      <c r="C454" s="21">
        <f t="shared" si="69"/>
        <v>1</v>
      </c>
      <c r="D454" s="666"/>
      <c r="E454" s="21">
        <f t="shared" si="70"/>
        <v>1</v>
      </c>
      <c r="F454" s="666"/>
      <c r="G454" s="21">
        <f t="shared" si="71"/>
        <v>1</v>
      </c>
      <c r="H454" s="666"/>
      <c r="I454" s="21">
        <f t="shared" si="72"/>
        <v>1</v>
      </c>
      <c r="J454" s="666"/>
      <c r="K454" s="21">
        <f t="shared" si="73"/>
        <v>1</v>
      </c>
      <c r="L454" s="666"/>
      <c r="M454" s="21">
        <f t="shared" si="74"/>
        <v>1</v>
      </c>
      <c r="N454" s="666"/>
      <c r="O454" s="21">
        <f t="shared" si="75"/>
        <v>1</v>
      </c>
      <c r="P454" s="666"/>
      <c r="Q454" s="21">
        <f t="shared" si="76"/>
        <v>1</v>
      </c>
      <c r="R454" s="662">
        <f t="shared" si="77"/>
        <v>0</v>
      </c>
      <c r="S454" s="315">
        <f t="shared" si="78"/>
        <v>0</v>
      </c>
    </row>
    <row r="455" spans="1:19">
      <c r="A455" s="149"/>
      <c r="B455" s="54"/>
      <c r="C455" s="21">
        <f t="shared" si="69"/>
        <v>1</v>
      </c>
      <c r="D455" s="666"/>
      <c r="E455" s="21">
        <f t="shared" si="70"/>
        <v>1</v>
      </c>
      <c r="F455" s="666"/>
      <c r="G455" s="21">
        <f t="shared" si="71"/>
        <v>1</v>
      </c>
      <c r="H455" s="666"/>
      <c r="I455" s="21">
        <f t="shared" si="72"/>
        <v>1</v>
      </c>
      <c r="J455" s="666"/>
      <c r="K455" s="21">
        <f t="shared" si="73"/>
        <v>1</v>
      </c>
      <c r="L455" s="666"/>
      <c r="M455" s="21">
        <f t="shared" si="74"/>
        <v>1</v>
      </c>
      <c r="N455" s="666"/>
      <c r="O455" s="21">
        <f t="shared" si="75"/>
        <v>1</v>
      </c>
      <c r="P455" s="666"/>
      <c r="Q455" s="21">
        <f t="shared" si="76"/>
        <v>1</v>
      </c>
      <c r="R455" s="662">
        <f t="shared" si="77"/>
        <v>0</v>
      </c>
      <c r="S455" s="315">
        <f t="shared" si="78"/>
        <v>0</v>
      </c>
    </row>
    <row r="456" spans="1:19">
      <c r="A456" s="149"/>
      <c r="B456" s="54"/>
      <c r="C456" s="21">
        <f t="shared" si="69"/>
        <v>1</v>
      </c>
      <c r="D456" s="666"/>
      <c r="E456" s="21">
        <f t="shared" si="70"/>
        <v>1</v>
      </c>
      <c r="F456" s="666"/>
      <c r="G456" s="21">
        <f t="shared" si="71"/>
        <v>1</v>
      </c>
      <c r="H456" s="666"/>
      <c r="I456" s="21">
        <f t="shared" si="72"/>
        <v>1</v>
      </c>
      <c r="J456" s="666"/>
      <c r="K456" s="21">
        <f t="shared" si="73"/>
        <v>1</v>
      </c>
      <c r="L456" s="666"/>
      <c r="M456" s="21">
        <f t="shared" si="74"/>
        <v>1</v>
      </c>
      <c r="N456" s="666"/>
      <c r="O456" s="21">
        <f t="shared" si="75"/>
        <v>1</v>
      </c>
      <c r="P456" s="666"/>
      <c r="Q456" s="21">
        <f t="shared" si="76"/>
        <v>1</v>
      </c>
      <c r="R456" s="662">
        <f t="shared" si="77"/>
        <v>0</v>
      </c>
      <c r="S456" s="315">
        <f t="shared" si="78"/>
        <v>0</v>
      </c>
    </row>
    <row r="457" spans="1:19">
      <c r="A457" s="149"/>
      <c r="B457" s="54"/>
      <c r="C457" s="21">
        <f t="shared" si="69"/>
        <v>1</v>
      </c>
      <c r="D457" s="666"/>
      <c r="E457" s="21">
        <f t="shared" si="70"/>
        <v>1</v>
      </c>
      <c r="F457" s="666"/>
      <c r="G457" s="21">
        <f t="shared" si="71"/>
        <v>1</v>
      </c>
      <c r="H457" s="666"/>
      <c r="I457" s="21">
        <f t="shared" si="72"/>
        <v>1</v>
      </c>
      <c r="J457" s="666"/>
      <c r="K457" s="21">
        <f t="shared" si="73"/>
        <v>1</v>
      </c>
      <c r="L457" s="666"/>
      <c r="M457" s="21">
        <f t="shared" si="74"/>
        <v>1</v>
      </c>
      <c r="N457" s="666"/>
      <c r="O457" s="21">
        <f t="shared" si="75"/>
        <v>1</v>
      </c>
      <c r="P457" s="666"/>
      <c r="Q457" s="21">
        <f t="shared" si="76"/>
        <v>1</v>
      </c>
      <c r="R457" s="662">
        <f t="shared" si="77"/>
        <v>0</v>
      </c>
      <c r="S457" s="315">
        <f t="shared" si="78"/>
        <v>0</v>
      </c>
    </row>
    <row r="458" spans="1:19">
      <c r="A458" s="149"/>
      <c r="B458" s="54"/>
      <c r="C458" s="21">
        <f t="shared" si="69"/>
        <v>1</v>
      </c>
      <c r="D458" s="666"/>
      <c r="E458" s="21">
        <f t="shared" si="70"/>
        <v>1</v>
      </c>
      <c r="F458" s="666"/>
      <c r="G458" s="21">
        <f t="shared" si="71"/>
        <v>1</v>
      </c>
      <c r="H458" s="666"/>
      <c r="I458" s="21">
        <f t="shared" si="72"/>
        <v>1</v>
      </c>
      <c r="J458" s="666"/>
      <c r="K458" s="21">
        <f t="shared" si="73"/>
        <v>1</v>
      </c>
      <c r="L458" s="666"/>
      <c r="M458" s="21">
        <f t="shared" si="74"/>
        <v>1</v>
      </c>
      <c r="N458" s="666"/>
      <c r="O458" s="21">
        <f t="shared" si="75"/>
        <v>1</v>
      </c>
      <c r="P458" s="666"/>
      <c r="Q458" s="21">
        <f t="shared" si="76"/>
        <v>1</v>
      </c>
      <c r="R458" s="662">
        <f t="shared" si="77"/>
        <v>0</v>
      </c>
      <c r="S458" s="315">
        <f t="shared" si="78"/>
        <v>0</v>
      </c>
    </row>
    <row r="459" spans="1:19">
      <c r="A459" s="149"/>
      <c r="B459" s="54"/>
      <c r="C459" s="21">
        <f t="shared" si="69"/>
        <v>1</v>
      </c>
      <c r="D459" s="666"/>
      <c r="E459" s="21">
        <f t="shared" si="70"/>
        <v>1</v>
      </c>
      <c r="F459" s="666"/>
      <c r="G459" s="21">
        <f t="shared" si="71"/>
        <v>1</v>
      </c>
      <c r="H459" s="666"/>
      <c r="I459" s="21">
        <f t="shared" si="72"/>
        <v>1</v>
      </c>
      <c r="J459" s="666"/>
      <c r="K459" s="21">
        <f t="shared" si="73"/>
        <v>1</v>
      </c>
      <c r="L459" s="666"/>
      <c r="M459" s="21">
        <f t="shared" si="74"/>
        <v>1</v>
      </c>
      <c r="N459" s="666"/>
      <c r="O459" s="21">
        <f t="shared" si="75"/>
        <v>1</v>
      </c>
      <c r="P459" s="666"/>
      <c r="Q459" s="21">
        <f t="shared" si="76"/>
        <v>1</v>
      </c>
      <c r="R459" s="662">
        <f t="shared" si="77"/>
        <v>0</v>
      </c>
      <c r="S459" s="315">
        <f t="shared" si="78"/>
        <v>0</v>
      </c>
    </row>
    <row r="460" spans="1:19">
      <c r="A460" s="149"/>
      <c r="B460" s="54"/>
      <c r="C460" s="21">
        <f t="shared" si="69"/>
        <v>1</v>
      </c>
      <c r="D460" s="666"/>
      <c r="E460" s="21">
        <f t="shared" si="70"/>
        <v>1</v>
      </c>
      <c r="F460" s="666"/>
      <c r="G460" s="21">
        <f t="shared" si="71"/>
        <v>1</v>
      </c>
      <c r="H460" s="666"/>
      <c r="I460" s="21">
        <f t="shared" si="72"/>
        <v>1</v>
      </c>
      <c r="J460" s="666"/>
      <c r="K460" s="21">
        <f t="shared" si="73"/>
        <v>1</v>
      </c>
      <c r="L460" s="666"/>
      <c r="M460" s="21">
        <f t="shared" si="74"/>
        <v>1</v>
      </c>
      <c r="N460" s="666"/>
      <c r="O460" s="21">
        <f t="shared" si="75"/>
        <v>1</v>
      </c>
      <c r="P460" s="666"/>
      <c r="Q460" s="21">
        <f t="shared" si="76"/>
        <v>1</v>
      </c>
      <c r="R460" s="662">
        <f t="shared" si="77"/>
        <v>0</v>
      </c>
      <c r="S460" s="315">
        <f t="shared" si="78"/>
        <v>0</v>
      </c>
    </row>
    <row r="461" spans="1:19">
      <c r="A461" s="149"/>
      <c r="B461" s="54"/>
      <c r="C461" s="21">
        <f t="shared" si="69"/>
        <v>1</v>
      </c>
      <c r="D461" s="666"/>
      <c r="E461" s="21">
        <f t="shared" si="70"/>
        <v>1</v>
      </c>
      <c r="F461" s="666"/>
      <c r="G461" s="21">
        <f t="shared" si="71"/>
        <v>1</v>
      </c>
      <c r="H461" s="666"/>
      <c r="I461" s="21">
        <f t="shared" si="72"/>
        <v>1</v>
      </c>
      <c r="J461" s="666"/>
      <c r="K461" s="21">
        <f t="shared" si="73"/>
        <v>1</v>
      </c>
      <c r="L461" s="666"/>
      <c r="M461" s="21">
        <f t="shared" si="74"/>
        <v>1</v>
      </c>
      <c r="N461" s="666"/>
      <c r="O461" s="21">
        <f t="shared" si="75"/>
        <v>1</v>
      </c>
      <c r="P461" s="666"/>
      <c r="Q461" s="21">
        <f t="shared" si="76"/>
        <v>1</v>
      </c>
      <c r="R461" s="662">
        <f t="shared" si="77"/>
        <v>0</v>
      </c>
      <c r="S461" s="315">
        <f t="shared" si="78"/>
        <v>0</v>
      </c>
    </row>
    <row r="462" spans="1:19">
      <c r="A462" s="149"/>
      <c r="B462" s="54"/>
      <c r="C462" s="21">
        <f t="shared" si="69"/>
        <v>1</v>
      </c>
      <c r="D462" s="666"/>
      <c r="E462" s="21">
        <f t="shared" si="70"/>
        <v>1</v>
      </c>
      <c r="F462" s="666"/>
      <c r="G462" s="21">
        <f t="shared" si="71"/>
        <v>1</v>
      </c>
      <c r="H462" s="666"/>
      <c r="I462" s="21">
        <f t="shared" si="72"/>
        <v>1</v>
      </c>
      <c r="J462" s="666"/>
      <c r="K462" s="21">
        <f t="shared" si="73"/>
        <v>1</v>
      </c>
      <c r="L462" s="666"/>
      <c r="M462" s="21">
        <f t="shared" si="74"/>
        <v>1</v>
      </c>
      <c r="N462" s="666"/>
      <c r="O462" s="21">
        <f t="shared" si="75"/>
        <v>1</v>
      </c>
      <c r="P462" s="666"/>
      <c r="Q462" s="21">
        <f t="shared" si="76"/>
        <v>1</v>
      </c>
      <c r="R462" s="662">
        <f t="shared" si="77"/>
        <v>0</v>
      </c>
      <c r="S462" s="315">
        <f t="shared" si="78"/>
        <v>0</v>
      </c>
    </row>
    <row r="463" spans="1:19">
      <c r="A463" s="149"/>
      <c r="B463" s="54"/>
      <c r="C463" s="21">
        <f t="shared" si="69"/>
        <v>1</v>
      </c>
      <c r="D463" s="666"/>
      <c r="E463" s="21">
        <f t="shared" si="70"/>
        <v>1</v>
      </c>
      <c r="F463" s="666"/>
      <c r="G463" s="21">
        <f t="shared" si="71"/>
        <v>1</v>
      </c>
      <c r="H463" s="666"/>
      <c r="I463" s="21">
        <f t="shared" si="72"/>
        <v>1</v>
      </c>
      <c r="J463" s="666"/>
      <c r="K463" s="21">
        <f t="shared" si="73"/>
        <v>1</v>
      </c>
      <c r="L463" s="666"/>
      <c r="M463" s="21">
        <f t="shared" si="74"/>
        <v>1</v>
      </c>
      <c r="N463" s="666"/>
      <c r="O463" s="21">
        <f t="shared" si="75"/>
        <v>1</v>
      </c>
      <c r="P463" s="666"/>
      <c r="Q463" s="21">
        <f t="shared" si="76"/>
        <v>1</v>
      </c>
      <c r="R463" s="662">
        <f t="shared" si="77"/>
        <v>0</v>
      </c>
      <c r="S463" s="315">
        <f t="shared" si="78"/>
        <v>0</v>
      </c>
    </row>
    <row r="464" spans="1:19">
      <c r="A464" s="149"/>
      <c r="B464" s="54"/>
      <c r="C464" s="21">
        <f t="shared" si="69"/>
        <v>1</v>
      </c>
      <c r="D464" s="666"/>
      <c r="E464" s="21">
        <f t="shared" si="70"/>
        <v>1</v>
      </c>
      <c r="F464" s="666"/>
      <c r="G464" s="21">
        <f t="shared" si="71"/>
        <v>1</v>
      </c>
      <c r="H464" s="666"/>
      <c r="I464" s="21">
        <f t="shared" si="72"/>
        <v>1</v>
      </c>
      <c r="J464" s="666"/>
      <c r="K464" s="21">
        <f t="shared" si="73"/>
        <v>1</v>
      </c>
      <c r="L464" s="666"/>
      <c r="M464" s="21">
        <f t="shared" si="74"/>
        <v>1</v>
      </c>
      <c r="N464" s="666"/>
      <c r="O464" s="21">
        <f t="shared" si="75"/>
        <v>1</v>
      </c>
      <c r="P464" s="666"/>
      <c r="Q464" s="21">
        <f t="shared" si="76"/>
        <v>1</v>
      </c>
      <c r="R464" s="662">
        <f t="shared" si="77"/>
        <v>0</v>
      </c>
      <c r="S464" s="315">
        <f t="shared" si="78"/>
        <v>0</v>
      </c>
    </row>
    <row r="465" spans="1:19">
      <c r="A465" s="149"/>
      <c r="B465" s="54"/>
      <c r="C465" s="21">
        <f t="shared" si="69"/>
        <v>1</v>
      </c>
      <c r="D465" s="666"/>
      <c r="E465" s="21">
        <f t="shared" si="70"/>
        <v>1</v>
      </c>
      <c r="F465" s="666"/>
      <c r="G465" s="21">
        <f t="shared" si="71"/>
        <v>1</v>
      </c>
      <c r="H465" s="666"/>
      <c r="I465" s="21">
        <f t="shared" si="72"/>
        <v>1</v>
      </c>
      <c r="J465" s="666"/>
      <c r="K465" s="21">
        <f t="shared" si="73"/>
        <v>1</v>
      </c>
      <c r="L465" s="666"/>
      <c r="M465" s="21">
        <f t="shared" si="74"/>
        <v>1</v>
      </c>
      <c r="N465" s="666"/>
      <c r="O465" s="21">
        <f t="shared" si="75"/>
        <v>1</v>
      </c>
      <c r="P465" s="666"/>
      <c r="Q465" s="21">
        <f t="shared" si="76"/>
        <v>1</v>
      </c>
      <c r="R465" s="662">
        <f t="shared" si="77"/>
        <v>0</v>
      </c>
      <c r="S465" s="315">
        <f t="shared" si="78"/>
        <v>0</v>
      </c>
    </row>
    <row r="466" spans="1:19">
      <c r="A466" s="149"/>
      <c r="B466" s="54"/>
      <c r="C466" s="21">
        <f t="shared" si="69"/>
        <v>1</v>
      </c>
      <c r="D466" s="666"/>
      <c r="E466" s="21">
        <f t="shared" si="70"/>
        <v>1</v>
      </c>
      <c r="F466" s="666"/>
      <c r="G466" s="21">
        <f t="shared" si="71"/>
        <v>1</v>
      </c>
      <c r="H466" s="666"/>
      <c r="I466" s="21">
        <f t="shared" si="72"/>
        <v>1</v>
      </c>
      <c r="J466" s="666"/>
      <c r="K466" s="21">
        <f t="shared" si="73"/>
        <v>1</v>
      </c>
      <c r="L466" s="666"/>
      <c r="M466" s="21">
        <f t="shared" si="74"/>
        <v>1</v>
      </c>
      <c r="N466" s="666"/>
      <c r="O466" s="21">
        <f t="shared" si="75"/>
        <v>1</v>
      </c>
      <c r="P466" s="666"/>
      <c r="Q466" s="21">
        <f t="shared" si="76"/>
        <v>1</v>
      </c>
      <c r="R466" s="662">
        <f t="shared" si="77"/>
        <v>0</v>
      </c>
      <c r="S466" s="315">
        <f t="shared" si="78"/>
        <v>0</v>
      </c>
    </row>
    <row r="467" spans="1:19">
      <c r="A467" s="149"/>
      <c r="B467" s="54"/>
      <c r="C467" s="21">
        <f t="shared" si="69"/>
        <v>1</v>
      </c>
      <c r="D467" s="666"/>
      <c r="E467" s="21">
        <f t="shared" si="70"/>
        <v>1</v>
      </c>
      <c r="F467" s="666"/>
      <c r="G467" s="21">
        <f t="shared" si="71"/>
        <v>1</v>
      </c>
      <c r="H467" s="666"/>
      <c r="I467" s="21">
        <f t="shared" si="72"/>
        <v>1</v>
      </c>
      <c r="J467" s="666"/>
      <c r="K467" s="21">
        <f t="shared" si="73"/>
        <v>1</v>
      </c>
      <c r="L467" s="666"/>
      <c r="M467" s="21">
        <f t="shared" si="74"/>
        <v>1</v>
      </c>
      <c r="N467" s="666"/>
      <c r="O467" s="21">
        <f t="shared" si="75"/>
        <v>1</v>
      </c>
      <c r="P467" s="666"/>
      <c r="Q467" s="21">
        <f t="shared" si="76"/>
        <v>1</v>
      </c>
      <c r="R467" s="662">
        <f t="shared" si="77"/>
        <v>0</v>
      </c>
      <c r="S467" s="315">
        <f t="shared" si="78"/>
        <v>0</v>
      </c>
    </row>
    <row r="468" spans="1:19">
      <c r="A468" s="149"/>
      <c r="B468" s="54"/>
      <c r="C468" s="21">
        <f t="shared" si="69"/>
        <v>1</v>
      </c>
      <c r="D468" s="666"/>
      <c r="E468" s="21">
        <f t="shared" si="70"/>
        <v>1</v>
      </c>
      <c r="F468" s="666"/>
      <c r="G468" s="21">
        <f t="shared" si="71"/>
        <v>1</v>
      </c>
      <c r="H468" s="666"/>
      <c r="I468" s="21">
        <f t="shared" si="72"/>
        <v>1</v>
      </c>
      <c r="J468" s="666"/>
      <c r="K468" s="21">
        <f t="shared" si="73"/>
        <v>1</v>
      </c>
      <c r="L468" s="666"/>
      <c r="M468" s="21">
        <f t="shared" si="74"/>
        <v>1</v>
      </c>
      <c r="N468" s="666"/>
      <c r="O468" s="21">
        <f t="shared" si="75"/>
        <v>1</v>
      </c>
      <c r="P468" s="666"/>
      <c r="Q468" s="21">
        <f t="shared" si="76"/>
        <v>1</v>
      </c>
      <c r="R468" s="662">
        <f t="shared" si="77"/>
        <v>0</v>
      </c>
      <c r="S468" s="315">
        <f t="shared" ref="S468:S497" si="79">ROUND(R468*B468/10000,0)</f>
        <v>0</v>
      </c>
    </row>
    <row r="469" spans="1:19">
      <c r="A469" s="149"/>
      <c r="B469" s="54"/>
      <c r="C469" s="21">
        <f t="shared" si="69"/>
        <v>1</v>
      </c>
      <c r="D469" s="666"/>
      <c r="E469" s="21">
        <f t="shared" si="70"/>
        <v>1</v>
      </c>
      <c r="F469" s="666"/>
      <c r="G469" s="21">
        <f t="shared" si="71"/>
        <v>1</v>
      </c>
      <c r="H469" s="666"/>
      <c r="I469" s="21">
        <f t="shared" si="72"/>
        <v>1</v>
      </c>
      <c r="J469" s="666"/>
      <c r="K469" s="21">
        <f t="shared" si="73"/>
        <v>1</v>
      </c>
      <c r="L469" s="666"/>
      <c r="M469" s="21">
        <f t="shared" si="74"/>
        <v>1</v>
      </c>
      <c r="N469" s="666"/>
      <c r="O469" s="21">
        <f t="shared" si="75"/>
        <v>1</v>
      </c>
      <c r="P469" s="666"/>
      <c r="Q469" s="21">
        <f t="shared" si="76"/>
        <v>1</v>
      </c>
      <c r="R469" s="662">
        <f t="shared" si="77"/>
        <v>0</v>
      </c>
      <c r="S469" s="315">
        <f t="shared" si="79"/>
        <v>0</v>
      </c>
    </row>
    <row r="470" spans="1:19">
      <c r="A470" s="149"/>
      <c r="B470" s="54"/>
      <c r="C470" s="21">
        <f t="shared" si="69"/>
        <v>1</v>
      </c>
      <c r="D470" s="666"/>
      <c r="E470" s="21">
        <f t="shared" si="70"/>
        <v>1</v>
      </c>
      <c r="F470" s="666"/>
      <c r="G470" s="21">
        <f t="shared" si="71"/>
        <v>1</v>
      </c>
      <c r="H470" s="666"/>
      <c r="I470" s="21">
        <f t="shared" si="72"/>
        <v>1</v>
      </c>
      <c r="J470" s="666"/>
      <c r="K470" s="21">
        <f t="shared" si="73"/>
        <v>1</v>
      </c>
      <c r="L470" s="666"/>
      <c r="M470" s="21">
        <f t="shared" si="74"/>
        <v>1</v>
      </c>
      <c r="N470" s="666"/>
      <c r="O470" s="21">
        <f t="shared" si="75"/>
        <v>1</v>
      </c>
      <c r="P470" s="666"/>
      <c r="Q470" s="21">
        <f t="shared" si="76"/>
        <v>1</v>
      </c>
      <c r="R470" s="662">
        <f t="shared" si="77"/>
        <v>0</v>
      </c>
      <c r="S470" s="315">
        <f t="shared" si="79"/>
        <v>0</v>
      </c>
    </row>
    <row r="471" spans="1:19">
      <c r="A471" s="149"/>
      <c r="B471" s="54"/>
      <c r="C471" s="21">
        <f t="shared" si="69"/>
        <v>1</v>
      </c>
      <c r="D471" s="666"/>
      <c r="E471" s="21">
        <f t="shared" si="70"/>
        <v>1</v>
      </c>
      <c r="F471" s="666"/>
      <c r="G471" s="21">
        <f t="shared" si="71"/>
        <v>1</v>
      </c>
      <c r="H471" s="666"/>
      <c r="I471" s="21">
        <f t="shared" si="72"/>
        <v>1</v>
      </c>
      <c r="J471" s="666"/>
      <c r="K471" s="21">
        <f t="shared" si="73"/>
        <v>1</v>
      </c>
      <c r="L471" s="666"/>
      <c r="M471" s="21">
        <f t="shared" si="74"/>
        <v>1</v>
      </c>
      <c r="N471" s="666"/>
      <c r="O471" s="21">
        <f t="shared" si="75"/>
        <v>1</v>
      </c>
      <c r="P471" s="666"/>
      <c r="Q471" s="21">
        <f t="shared" si="76"/>
        <v>1</v>
      </c>
      <c r="R471" s="662">
        <f t="shared" si="77"/>
        <v>0</v>
      </c>
      <c r="S471" s="315">
        <f t="shared" si="79"/>
        <v>0</v>
      </c>
    </row>
    <row r="472" spans="1:19">
      <c r="A472" s="149"/>
      <c r="B472" s="54"/>
      <c r="C472" s="21">
        <f t="shared" si="69"/>
        <v>1</v>
      </c>
      <c r="D472" s="666"/>
      <c r="E472" s="21">
        <f t="shared" si="70"/>
        <v>1</v>
      </c>
      <c r="F472" s="666"/>
      <c r="G472" s="21">
        <f t="shared" si="71"/>
        <v>1</v>
      </c>
      <c r="H472" s="666"/>
      <c r="I472" s="21">
        <f t="shared" si="72"/>
        <v>1</v>
      </c>
      <c r="J472" s="666"/>
      <c r="K472" s="21">
        <f t="shared" si="73"/>
        <v>1</v>
      </c>
      <c r="L472" s="666"/>
      <c r="M472" s="21">
        <f t="shared" si="74"/>
        <v>1</v>
      </c>
      <c r="N472" s="666"/>
      <c r="O472" s="21">
        <f t="shared" si="75"/>
        <v>1</v>
      </c>
      <c r="P472" s="666"/>
      <c r="Q472" s="21">
        <f t="shared" si="76"/>
        <v>1</v>
      </c>
      <c r="R472" s="662">
        <f t="shared" si="77"/>
        <v>0</v>
      </c>
      <c r="S472" s="315">
        <f t="shared" si="79"/>
        <v>0</v>
      </c>
    </row>
    <row r="473" spans="1:19">
      <c r="A473" s="149"/>
      <c r="B473" s="54"/>
      <c r="C473" s="21">
        <f t="shared" si="69"/>
        <v>1</v>
      </c>
      <c r="D473" s="666"/>
      <c r="E473" s="21">
        <f t="shared" si="70"/>
        <v>1</v>
      </c>
      <c r="F473" s="666"/>
      <c r="G473" s="21">
        <f t="shared" si="71"/>
        <v>1</v>
      </c>
      <c r="H473" s="666"/>
      <c r="I473" s="21">
        <f t="shared" si="72"/>
        <v>1</v>
      </c>
      <c r="J473" s="666"/>
      <c r="K473" s="21">
        <f t="shared" si="73"/>
        <v>1</v>
      </c>
      <c r="L473" s="666"/>
      <c r="M473" s="21">
        <f t="shared" si="74"/>
        <v>1</v>
      </c>
      <c r="N473" s="666"/>
      <c r="O473" s="21">
        <f t="shared" si="75"/>
        <v>1</v>
      </c>
      <c r="P473" s="666"/>
      <c r="Q473" s="21">
        <f t="shared" si="76"/>
        <v>1</v>
      </c>
      <c r="R473" s="662">
        <f t="shared" si="77"/>
        <v>0</v>
      </c>
      <c r="S473" s="315">
        <f t="shared" si="79"/>
        <v>0</v>
      </c>
    </row>
    <row r="474" spans="1:19">
      <c r="A474" s="149"/>
      <c r="B474" s="54"/>
      <c r="C474" s="21">
        <f t="shared" ref="C474:C524" si="80">IF(B474="",1,(LOOKUP(B474,$3:$3,$4:$4)-LOOKUP($B$24,$3:$3,$4:$4)+100)/100)</f>
        <v>1</v>
      </c>
      <c r="D474" s="666"/>
      <c r="E474" s="21">
        <f t="shared" ref="E474:E524" si="81">(SUMIF($5:$5,D474,$6:$6)-SUMIF($5:$5,$D$24,$6:$6)+100)/100</f>
        <v>1</v>
      </c>
      <c r="F474" s="666"/>
      <c r="G474" s="21">
        <f t="shared" ref="G474:G524" si="82">(SUMIF($7:$7,F474,$8:$8)-SUMIF($7:$7,$F$24,$8:$8)+100)/100</f>
        <v>1</v>
      </c>
      <c r="H474" s="666"/>
      <c r="I474" s="21">
        <f t="shared" ref="I474:I524" si="83">(SUMIF($9:$9,H474,$10:$10)-SUMIF($9:$9,$H$24,$10:$10)+100)/100</f>
        <v>1</v>
      </c>
      <c r="J474" s="666"/>
      <c r="K474" s="21">
        <f t="shared" ref="K474:K524" si="84">(SUMIF($11:$11,J474,$12:$12)-SUMIF($11:$11,$J$24,$12:$12)+100)/100</f>
        <v>1</v>
      </c>
      <c r="L474" s="666"/>
      <c r="M474" s="21">
        <f t="shared" ref="M474:M524" si="85">(SUMIF($13:$13,L474,$14:$14)-SUMIF($13:$13,$L$24,$14:$14)+100)/100</f>
        <v>1</v>
      </c>
      <c r="N474" s="666"/>
      <c r="O474" s="21">
        <f t="shared" ref="O474:O524" si="86">(SUMIF($15:$15,N474,$16:$16)-SUMIF($15:$15,$N$24,$16:$16)+100)/100</f>
        <v>1</v>
      </c>
      <c r="P474" s="666"/>
      <c r="Q474" s="21">
        <f t="shared" ref="Q474:Q524" si="87">(SUMIF($17:$17,P474,$18:$18)-SUMIF($17:$17,$P$24,$18:$18)+100)/100</f>
        <v>1</v>
      </c>
      <c r="R474" s="662">
        <f t="shared" ref="R474:R524" si="88">IF(B474="",0,ROUND($R$24*C474*E474*G474*I474*K474*M474*O474*Q474,0))</f>
        <v>0</v>
      </c>
      <c r="S474" s="315">
        <f t="shared" si="79"/>
        <v>0</v>
      </c>
    </row>
    <row r="475" spans="1:19">
      <c r="A475" s="149"/>
      <c r="B475" s="54"/>
      <c r="C475" s="21">
        <f t="shared" si="80"/>
        <v>1</v>
      </c>
      <c r="D475" s="666"/>
      <c r="E475" s="21">
        <f t="shared" si="81"/>
        <v>1</v>
      </c>
      <c r="F475" s="666"/>
      <c r="G475" s="21">
        <f t="shared" si="82"/>
        <v>1</v>
      </c>
      <c r="H475" s="666"/>
      <c r="I475" s="21">
        <f t="shared" si="83"/>
        <v>1</v>
      </c>
      <c r="J475" s="666"/>
      <c r="K475" s="21">
        <f t="shared" si="84"/>
        <v>1</v>
      </c>
      <c r="L475" s="666"/>
      <c r="M475" s="21">
        <f t="shared" si="85"/>
        <v>1</v>
      </c>
      <c r="N475" s="666"/>
      <c r="O475" s="21">
        <f t="shared" si="86"/>
        <v>1</v>
      </c>
      <c r="P475" s="666"/>
      <c r="Q475" s="21">
        <f t="shared" si="87"/>
        <v>1</v>
      </c>
      <c r="R475" s="662">
        <f t="shared" si="88"/>
        <v>0</v>
      </c>
      <c r="S475" s="315">
        <f t="shared" si="79"/>
        <v>0</v>
      </c>
    </row>
    <row r="476" spans="1:19">
      <c r="A476" s="149"/>
      <c r="B476" s="54"/>
      <c r="C476" s="21">
        <f t="shared" si="80"/>
        <v>1</v>
      </c>
      <c r="D476" s="666"/>
      <c r="E476" s="21">
        <f t="shared" si="81"/>
        <v>1</v>
      </c>
      <c r="F476" s="666"/>
      <c r="G476" s="21">
        <f t="shared" si="82"/>
        <v>1</v>
      </c>
      <c r="H476" s="666"/>
      <c r="I476" s="21">
        <f t="shared" si="83"/>
        <v>1</v>
      </c>
      <c r="J476" s="666"/>
      <c r="K476" s="21">
        <f t="shared" si="84"/>
        <v>1</v>
      </c>
      <c r="L476" s="666"/>
      <c r="M476" s="21">
        <f t="shared" si="85"/>
        <v>1</v>
      </c>
      <c r="N476" s="666"/>
      <c r="O476" s="21">
        <f t="shared" si="86"/>
        <v>1</v>
      </c>
      <c r="P476" s="666"/>
      <c r="Q476" s="21">
        <f t="shared" si="87"/>
        <v>1</v>
      </c>
      <c r="R476" s="662">
        <f t="shared" si="88"/>
        <v>0</v>
      </c>
      <c r="S476" s="315">
        <f t="shared" si="79"/>
        <v>0</v>
      </c>
    </row>
    <row r="477" spans="1:19">
      <c r="A477" s="149"/>
      <c r="B477" s="54"/>
      <c r="C477" s="21">
        <f t="shared" si="80"/>
        <v>1</v>
      </c>
      <c r="D477" s="666"/>
      <c r="E477" s="21">
        <f t="shared" si="81"/>
        <v>1</v>
      </c>
      <c r="F477" s="666"/>
      <c r="G477" s="21">
        <f t="shared" si="82"/>
        <v>1</v>
      </c>
      <c r="H477" s="666"/>
      <c r="I477" s="21">
        <f t="shared" si="83"/>
        <v>1</v>
      </c>
      <c r="J477" s="666"/>
      <c r="K477" s="21">
        <f t="shared" si="84"/>
        <v>1</v>
      </c>
      <c r="L477" s="666"/>
      <c r="M477" s="21">
        <f t="shared" si="85"/>
        <v>1</v>
      </c>
      <c r="N477" s="666"/>
      <c r="O477" s="21">
        <f t="shared" si="86"/>
        <v>1</v>
      </c>
      <c r="P477" s="666"/>
      <c r="Q477" s="21">
        <f t="shared" si="87"/>
        <v>1</v>
      </c>
      <c r="R477" s="662">
        <f t="shared" si="88"/>
        <v>0</v>
      </c>
      <c r="S477" s="315">
        <f t="shared" si="79"/>
        <v>0</v>
      </c>
    </row>
    <row r="478" spans="1:19">
      <c r="A478" s="149"/>
      <c r="B478" s="54"/>
      <c r="C478" s="21">
        <f t="shared" si="80"/>
        <v>1</v>
      </c>
      <c r="D478" s="666"/>
      <c r="E478" s="21">
        <f t="shared" si="81"/>
        <v>1</v>
      </c>
      <c r="F478" s="666"/>
      <c r="G478" s="21">
        <f t="shared" si="82"/>
        <v>1</v>
      </c>
      <c r="H478" s="666"/>
      <c r="I478" s="21">
        <f t="shared" si="83"/>
        <v>1</v>
      </c>
      <c r="J478" s="666"/>
      <c r="K478" s="21">
        <f t="shared" si="84"/>
        <v>1</v>
      </c>
      <c r="L478" s="666"/>
      <c r="M478" s="21">
        <f t="shared" si="85"/>
        <v>1</v>
      </c>
      <c r="N478" s="666"/>
      <c r="O478" s="21">
        <f t="shared" si="86"/>
        <v>1</v>
      </c>
      <c r="P478" s="666"/>
      <c r="Q478" s="21">
        <f t="shared" si="87"/>
        <v>1</v>
      </c>
      <c r="R478" s="662">
        <f t="shared" si="88"/>
        <v>0</v>
      </c>
      <c r="S478" s="315">
        <f t="shared" si="79"/>
        <v>0</v>
      </c>
    </row>
    <row r="479" spans="1:19">
      <c r="A479" s="149"/>
      <c r="B479" s="54"/>
      <c r="C479" s="21">
        <f t="shared" si="80"/>
        <v>1</v>
      </c>
      <c r="D479" s="666"/>
      <c r="E479" s="21">
        <f t="shared" si="81"/>
        <v>1</v>
      </c>
      <c r="F479" s="666"/>
      <c r="G479" s="21">
        <f t="shared" si="82"/>
        <v>1</v>
      </c>
      <c r="H479" s="666"/>
      <c r="I479" s="21">
        <f t="shared" si="83"/>
        <v>1</v>
      </c>
      <c r="J479" s="666"/>
      <c r="K479" s="21">
        <f t="shared" si="84"/>
        <v>1</v>
      </c>
      <c r="L479" s="666"/>
      <c r="M479" s="21">
        <f t="shared" si="85"/>
        <v>1</v>
      </c>
      <c r="N479" s="666"/>
      <c r="O479" s="21">
        <f t="shared" si="86"/>
        <v>1</v>
      </c>
      <c r="P479" s="666"/>
      <c r="Q479" s="21">
        <f t="shared" si="87"/>
        <v>1</v>
      </c>
      <c r="R479" s="662">
        <f t="shared" si="88"/>
        <v>0</v>
      </c>
      <c r="S479" s="315">
        <f t="shared" si="79"/>
        <v>0</v>
      </c>
    </row>
    <row r="480" spans="1:19">
      <c r="A480" s="149"/>
      <c r="B480" s="54"/>
      <c r="C480" s="21">
        <f t="shared" si="80"/>
        <v>1</v>
      </c>
      <c r="D480" s="666"/>
      <c r="E480" s="21">
        <f t="shared" si="81"/>
        <v>1</v>
      </c>
      <c r="F480" s="666"/>
      <c r="G480" s="21">
        <f t="shared" si="82"/>
        <v>1</v>
      </c>
      <c r="H480" s="666"/>
      <c r="I480" s="21">
        <f t="shared" si="83"/>
        <v>1</v>
      </c>
      <c r="J480" s="666"/>
      <c r="K480" s="21">
        <f t="shared" si="84"/>
        <v>1</v>
      </c>
      <c r="L480" s="666"/>
      <c r="M480" s="21">
        <f t="shared" si="85"/>
        <v>1</v>
      </c>
      <c r="N480" s="666"/>
      <c r="O480" s="21">
        <f t="shared" si="86"/>
        <v>1</v>
      </c>
      <c r="P480" s="666"/>
      <c r="Q480" s="21">
        <f t="shared" si="87"/>
        <v>1</v>
      </c>
      <c r="R480" s="662">
        <f t="shared" si="88"/>
        <v>0</v>
      </c>
      <c r="S480" s="315">
        <f t="shared" si="79"/>
        <v>0</v>
      </c>
    </row>
    <row r="481" spans="1:19">
      <c r="A481" s="149"/>
      <c r="B481" s="54"/>
      <c r="C481" s="21">
        <f t="shared" si="80"/>
        <v>1</v>
      </c>
      <c r="D481" s="666"/>
      <c r="E481" s="21">
        <f t="shared" si="81"/>
        <v>1</v>
      </c>
      <c r="F481" s="666"/>
      <c r="G481" s="21">
        <f t="shared" si="82"/>
        <v>1</v>
      </c>
      <c r="H481" s="666"/>
      <c r="I481" s="21">
        <f t="shared" si="83"/>
        <v>1</v>
      </c>
      <c r="J481" s="666"/>
      <c r="K481" s="21">
        <f t="shared" si="84"/>
        <v>1</v>
      </c>
      <c r="L481" s="666"/>
      <c r="M481" s="21">
        <f t="shared" si="85"/>
        <v>1</v>
      </c>
      <c r="N481" s="666"/>
      <c r="O481" s="21">
        <f t="shared" si="86"/>
        <v>1</v>
      </c>
      <c r="P481" s="666"/>
      <c r="Q481" s="21">
        <f t="shared" si="87"/>
        <v>1</v>
      </c>
      <c r="R481" s="662">
        <f t="shared" si="88"/>
        <v>0</v>
      </c>
      <c r="S481" s="315">
        <f t="shared" si="79"/>
        <v>0</v>
      </c>
    </row>
    <row r="482" spans="1:19">
      <c r="A482" s="149"/>
      <c r="B482" s="54"/>
      <c r="C482" s="21">
        <f t="shared" si="80"/>
        <v>1</v>
      </c>
      <c r="D482" s="666"/>
      <c r="E482" s="21">
        <f t="shared" si="81"/>
        <v>1</v>
      </c>
      <c r="F482" s="666"/>
      <c r="G482" s="21">
        <f t="shared" si="82"/>
        <v>1</v>
      </c>
      <c r="H482" s="666"/>
      <c r="I482" s="21">
        <f t="shared" si="83"/>
        <v>1</v>
      </c>
      <c r="J482" s="666"/>
      <c r="K482" s="21">
        <f t="shared" si="84"/>
        <v>1</v>
      </c>
      <c r="L482" s="666"/>
      <c r="M482" s="21">
        <f t="shared" si="85"/>
        <v>1</v>
      </c>
      <c r="N482" s="666"/>
      <c r="O482" s="21">
        <f t="shared" si="86"/>
        <v>1</v>
      </c>
      <c r="P482" s="666"/>
      <c r="Q482" s="21">
        <f t="shared" si="87"/>
        <v>1</v>
      </c>
      <c r="R482" s="662">
        <f t="shared" si="88"/>
        <v>0</v>
      </c>
      <c r="S482" s="315">
        <f t="shared" si="79"/>
        <v>0</v>
      </c>
    </row>
    <row r="483" spans="1:19">
      <c r="A483" s="149"/>
      <c r="B483" s="54"/>
      <c r="C483" s="21">
        <f t="shared" si="80"/>
        <v>1</v>
      </c>
      <c r="D483" s="666"/>
      <c r="E483" s="21">
        <f t="shared" si="81"/>
        <v>1</v>
      </c>
      <c r="F483" s="666"/>
      <c r="G483" s="21">
        <f t="shared" si="82"/>
        <v>1</v>
      </c>
      <c r="H483" s="666"/>
      <c r="I483" s="21">
        <f t="shared" si="83"/>
        <v>1</v>
      </c>
      <c r="J483" s="666"/>
      <c r="K483" s="21">
        <f t="shared" si="84"/>
        <v>1</v>
      </c>
      <c r="L483" s="666"/>
      <c r="M483" s="21">
        <f t="shared" si="85"/>
        <v>1</v>
      </c>
      <c r="N483" s="666"/>
      <c r="O483" s="21">
        <f t="shared" si="86"/>
        <v>1</v>
      </c>
      <c r="P483" s="666"/>
      <c r="Q483" s="21">
        <f t="shared" si="87"/>
        <v>1</v>
      </c>
      <c r="R483" s="662">
        <f t="shared" si="88"/>
        <v>0</v>
      </c>
      <c r="S483" s="315">
        <f t="shared" si="79"/>
        <v>0</v>
      </c>
    </row>
    <row r="484" spans="1:19">
      <c r="A484" s="149"/>
      <c r="B484" s="54"/>
      <c r="C484" s="21">
        <f t="shared" si="80"/>
        <v>1</v>
      </c>
      <c r="D484" s="666"/>
      <c r="E484" s="21">
        <f t="shared" si="81"/>
        <v>1</v>
      </c>
      <c r="F484" s="666"/>
      <c r="G484" s="21">
        <f t="shared" si="82"/>
        <v>1</v>
      </c>
      <c r="H484" s="666"/>
      <c r="I484" s="21">
        <f t="shared" si="83"/>
        <v>1</v>
      </c>
      <c r="J484" s="666"/>
      <c r="K484" s="21">
        <f t="shared" si="84"/>
        <v>1</v>
      </c>
      <c r="L484" s="666"/>
      <c r="M484" s="21">
        <f t="shared" si="85"/>
        <v>1</v>
      </c>
      <c r="N484" s="666"/>
      <c r="O484" s="21">
        <f t="shared" si="86"/>
        <v>1</v>
      </c>
      <c r="P484" s="666"/>
      <c r="Q484" s="21">
        <f t="shared" si="87"/>
        <v>1</v>
      </c>
      <c r="R484" s="662">
        <f t="shared" si="88"/>
        <v>0</v>
      </c>
      <c r="S484" s="315">
        <f t="shared" si="79"/>
        <v>0</v>
      </c>
    </row>
    <row r="485" spans="1:19">
      <c r="A485" s="149"/>
      <c r="B485" s="54"/>
      <c r="C485" s="21">
        <f t="shared" si="80"/>
        <v>1</v>
      </c>
      <c r="D485" s="666"/>
      <c r="E485" s="21">
        <f t="shared" si="81"/>
        <v>1</v>
      </c>
      <c r="F485" s="666"/>
      <c r="G485" s="21">
        <f t="shared" si="82"/>
        <v>1</v>
      </c>
      <c r="H485" s="666"/>
      <c r="I485" s="21">
        <f t="shared" si="83"/>
        <v>1</v>
      </c>
      <c r="J485" s="666"/>
      <c r="K485" s="21">
        <f t="shared" si="84"/>
        <v>1</v>
      </c>
      <c r="L485" s="666"/>
      <c r="M485" s="21">
        <f t="shared" si="85"/>
        <v>1</v>
      </c>
      <c r="N485" s="666"/>
      <c r="O485" s="21">
        <f t="shared" si="86"/>
        <v>1</v>
      </c>
      <c r="P485" s="666"/>
      <c r="Q485" s="21">
        <f t="shared" si="87"/>
        <v>1</v>
      </c>
      <c r="R485" s="662">
        <f t="shared" si="88"/>
        <v>0</v>
      </c>
      <c r="S485" s="315">
        <f t="shared" si="79"/>
        <v>0</v>
      </c>
    </row>
    <row r="486" spans="1:19">
      <c r="A486" s="149"/>
      <c r="B486" s="54"/>
      <c r="C486" s="21">
        <f t="shared" si="80"/>
        <v>1</v>
      </c>
      <c r="D486" s="666"/>
      <c r="E486" s="21">
        <f t="shared" si="81"/>
        <v>1</v>
      </c>
      <c r="F486" s="666"/>
      <c r="G486" s="21">
        <f t="shared" si="82"/>
        <v>1</v>
      </c>
      <c r="H486" s="666"/>
      <c r="I486" s="21">
        <f t="shared" si="83"/>
        <v>1</v>
      </c>
      <c r="J486" s="666"/>
      <c r="K486" s="21">
        <f t="shared" si="84"/>
        <v>1</v>
      </c>
      <c r="L486" s="666"/>
      <c r="M486" s="21">
        <f t="shared" si="85"/>
        <v>1</v>
      </c>
      <c r="N486" s="666"/>
      <c r="O486" s="21">
        <f t="shared" si="86"/>
        <v>1</v>
      </c>
      <c r="P486" s="666"/>
      <c r="Q486" s="21">
        <f t="shared" si="87"/>
        <v>1</v>
      </c>
      <c r="R486" s="662">
        <f t="shared" si="88"/>
        <v>0</v>
      </c>
      <c r="S486" s="315">
        <f t="shared" si="79"/>
        <v>0</v>
      </c>
    </row>
    <row r="487" spans="1:19">
      <c r="A487" s="149"/>
      <c r="B487" s="54"/>
      <c r="C487" s="21">
        <f t="shared" si="80"/>
        <v>1</v>
      </c>
      <c r="D487" s="666"/>
      <c r="E487" s="21">
        <f t="shared" si="81"/>
        <v>1</v>
      </c>
      <c r="F487" s="666"/>
      <c r="G487" s="21">
        <f t="shared" si="82"/>
        <v>1</v>
      </c>
      <c r="H487" s="666"/>
      <c r="I487" s="21">
        <f t="shared" si="83"/>
        <v>1</v>
      </c>
      <c r="J487" s="666"/>
      <c r="K487" s="21">
        <f t="shared" si="84"/>
        <v>1</v>
      </c>
      <c r="L487" s="666"/>
      <c r="M487" s="21">
        <f t="shared" si="85"/>
        <v>1</v>
      </c>
      <c r="N487" s="666"/>
      <c r="O487" s="21">
        <f t="shared" si="86"/>
        <v>1</v>
      </c>
      <c r="P487" s="666"/>
      <c r="Q487" s="21">
        <f t="shared" si="87"/>
        <v>1</v>
      </c>
      <c r="R487" s="662">
        <f t="shared" si="88"/>
        <v>0</v>
      </c>
      <c r="S487" s="315">
        <f t="shared" si="79"/>
        <v>0</v>
      </c>
    </row>
    <row r="488" spans="1:19">
      <c r="A488" s="149"/>
      <c r="B488" s="54"/>
      <c r="C488" s="21">
        <f t="shared" si="80"/>
        <v>1</v>
      </c>
      <c r="D488" s="666"/>
      <c r="E488" s="21">
        <f t="shared" si="81"/>
        <v>1</v>
      </c>
      <c r="F488" s="666"/>
      <c r="G488" s="21">
        <f t="shared" si="82"/>
        <v>1</v>
      </c>
      <c r="H488" s="666"/>
      <c r="I488" s="21">
        <f t="shared" si="83"/>
        <v>1</v>
      </c>
      <c r="J488" s="666"/>
      <c r="K488" s="21">
        <f t="shared" si="84"/>
        <v>1</v>
      </c>
      <c r="L488" s="666"/>
      <c r="M488" s="21">
        <f t="shared" si="85"/>
        <v>1</v>
      </c>
      <c r="N488" s="666"/>
      <c r="O488" s="21">
        <f t="shared" si="86"/>
        <v>1</v>
      </c>
      <c r="P488" s="666"/>
      <c r="Q488" s="21">
        <f t="shared" si="87"/>
        <v>1</v>
      </c>
      <c r="R488" s="662">
        <f t="shared" si="88"/>
        <v>0</v>
      </c>
      <c r="S488" s="315">
        <f t="shared" si="79"/>
        <v>0</v>
      </c>
    </row>
    <row r="489" spans="1:19">
      <c r="A489" s="149"/>
      <c r="B489" s="54"/>
      <c r="C489" s="21">
        <f t="shared" si="80"/>
        <v>1</v>
      </c>
      <c r="D489" s="666"/>
      <c r="E489" s="21">
        <f t="shared" si="81"/>
        <v>1</v>
      </c>
      <c r="F489" s="666"/>
      <c r="G489" s="21">
        <f t="shared" si="82"/>
        <v>1</v>
      </c>
      <c r="H489" s="666"/>
      <c r="I489" s="21">
        <f t="shared" si="83"/>
        <v>1</v>
      </c>
      <c r="J489" s="666"/>
      <c r="K489" s="21">
        <f t="shared" si="84"/>
        <v>1</v>
      </c>
      <c r="L489" s="666"/>
      <c r="M489" s="21">
        <f t="shared" si="85"/>
        <v>1</v>
      </c>
      <c r="N489" s="666"/>
      <c r="O489" s="21">
        <f t="shared" si="86"/>
        <v>1</v>
      </c>
      <c r="P489" s="666"/>
      <c r="Q489" s="21">
        <f t="shared" si="87"/>
        <v>1</v>
      </c>
      <c r="R489" s="662">
        <f t="shared" si="88"/>
        <v>0</v>
      </c>
      <c r="S489" s="315">
        <f t="shared" si="79"/>
        <v>0</v>
      </c>
    </row>
    <row r="490" spans="1:19">
      <c r="A490" s="149"/>
      <c r="B490" s="54"/>
      <c r="C490" s="21">
        <f t="shared" si="80"/>
        <v>1</v>
      </c>
      <c r="D490" s="666"/>
      <c r="E490" s="21">
        <f t="shared" si="81"/>
        <v>1</v>
      </c>
      <c r="F490" s="666"/>
      <c r="G490" s="21">
        <f t="shared" si="82"/>
        <v>1</v>
      </c>
      <c r="H490" s="666"/>
      <c r="I490" s="21">
        <f t="shared" si="83"/>
        <v>1</v>
      </c>
      <c r="J490" s="666"/>
      <c r="K490" s="21">
        <f t="shared" si="84"/>
        <v>1</v>
      </c>
      <c r="L490" s="666"/>
      <c r="M490" s="21">
        <f t="shared" si="85"/>
        <v>1</v>
      </c>
      <c r="N490" s="666"/>
      <c r="O490" s="21">
        <f t="shared" si="86"/>
        <v>1</v>
      </c>
      <c r="P490" s="666"/>
      <c r="Q490" s="21">
        <f t="shared" si="87"/>
        <v>1</v>
      </c>
      <c r="R490" s="662">
        <f t="shared" si="88"/>
        <v>0</v>
      </c>
      <c r="S490" s="315">
        <f t="shared" si="79"/>
        <v>0</v>
      </c>
    </row>
    <row r="491" spans="1:19">
      <c r="A491" s="149"/>
      <c r="B491" s="54"/>
      <c r="C491" s="21">
        <f t="shared" si="80"/>
        <v>1</v>
      </c>
      <c r="D491" s="666"/>
      <c r="E491" s="21">
        <f t="shared" si="81"/>
        <v>1</v>
      </c>
      <c r="F491" s="666"/>
      <c r="G491" s="21">
        <f t="shared" si="82"/>
        <v>1</v>
      </c>
      <c r="H491" s="666"/>
      <c r="I491" s="21">
        <f t="shared" si="83"/>
        <v>1</v>
      </c>
      <c r="J491" s="666"/>
      <c r="K491" s="21">
        <f t="shared" si="84"/>
        <v>1</v>
      </c>
      <c r="L491" s="666"/>
      <c r="M491" s="21">
        <f t="shared" si="85"/>
        <v>1</v>
      </c>
      <c r="N491" s="666"/>
      <c r="O491" s="21">
        <f t="shared" si="86"/>
        <v>1</v>
      </c>
      <c r="P491" s="666"/>
      <c r="Q491" s="21">
        <f t="shared" si="87"/>
        <v>1</v>
      </c>
      <c r="R491" s="662">
        <f t="shared" si="88"/>
        <v>0</v>
      </c>
      <c r="S491" s="315">
        <f t="shared" si="79"/>
        <v>0</v>
      </c>
    </row>
    <row r="492" spans="1:19">
      <c r="A492" s="149"/>
      <c r="B492" s="54"/>
      <c r="C492" s="21">
        <f t="shared" si="80"/>
        <v>1</v>
      </c>
      <c r="D492" s="666"/>
      <c r="E492" s="21">
        <f t="shared" si="81"/>
        <v>1</v>
      </c>
      <c r="F492" s="666"/>
      <c r="G492" s="21">
        <f t="shared" si="82"/>
        <v>1</v>
      </c>
      <c r="H492" s="666"/>
      <c r="I492" s="21">
        <f t="shared" si="83"/>
        <v>1</v>
      </c>
      <c r="J492" s="666"/>
      <c r="K492" s="21">
        <f t="shared" si="84"/>
        <v>1</v>
      </c>
      <c r="L492" s="666"/>
      <c r="M492" s="21">
        <f t="shared" si="85"/>
        <v>1</v>
      </c>
      <c r="N492" s="666"/>
      <c r="O492" s="21">
        <f t="shared" si="86"/>
        <v>1</v>
      </c>
      <c r="P492" s="666"/>
      <c r="Q492" s="21">
        <f t="shared" si="87"/>
        <v>1</v>
      </c>
      <c r="R492" s="662">
        <f t="shared" si="88"/>
        <v>0</v>
      </c>
      <c r="S492" s="315">
        <f t="shared" si="79"/>
        <v>0</v>
      </c>
    </row>
    <row r="493" spans="1:19">
      <c r="A493" s="149"/>
      <c r="B493" s="54"/>
      <c r="C493" s="21">
        <f t="shared" si="80"/>
        <v>1</v>
      </c>
      <c r="D493" s="666"/>
      <c r="E493" s="21">
        <f t="shared" si="81"/>
        <v>1</v>
      </c>
      <c r="F493" s="666"/>
      <c r="G493" s="21">
        <f t="shared" si="82"/>
        <v>1</v>
      </c>
      <c r="H493" s="666"/>
      <c r="I493" s="21">
        <f t="shared" si="83"/>
        <v>1</v>
      </c>
      <c r="J493" s="666"/>
      <c r="K493" s="21">
        <f t="shared" si="84"/>
        <v>1</v>
      </c>
      <c r="L493" s="666"/>
      <c r="M493" s="21">
        <f t="shared" si="85"/>
        <v>1</v>
      </c>
      <c r="N493" s="666"/>
      <c r="O493" s="21">
        <f t="shared" si="86"/>
        <v>1</v>
      </c>
      <c r="P493" s="666"/>
      <c r="Q493" s="21">
        <f t="shared" si="87"/>
        <v>1</v>
      </c>
      <c r="R493" s="662">
        <f t="shared" si="88"/>
        <v>0</v>
      </c>
      <c r="S493" s="315">
        <f t="shared" si="79"/>
        <v>0</v>
      </c>
    </row>
    <row r="494" spans="1:19">
      <c r="A494" s="149"/>
      <c r="B494" s="54"/>
      <c r="C494" s="21">
        <f t="shared" si="80"/>
        <v>1</v>
      </c>
      <c r="D494" s="666"/>
      <c r="E494" s="21">
        <f t="shared" si="81"/>
        <v>1</v>
      </c>
      <c r="F494" s="666"/>
      <c r="G494" s="21">
        <f t="shared" si="82"/>
        <v>1</v>
      </c>
      <c r="H494" s="666"/>
      <c r="I494" s="21">
        <f t="shared" si="83"/>
        <v>1</v>
      </c>
      <c r="J494" s="666"/>
      <c r="K494" s="21">
        <f t="shared" si="84"/>
        <v>1</v>
      </c>
      <c r="L494" s="666"/>
      <c r="M494" s="21">
        <f t="shared" si="85"/>
        <v>1</v>
      </c>
      <c r="N494" s="666"/>
      <c r="O494" s="21">
        <f t="shared" si="86"/>
        <v>1</v>
      </c>
      <c r="P494" s="666"/>
      <c r="Q494" s="21">
        <f t="shared" si="87"/>
        <v>1</v>
      </c>
      <c r="R494" s="662">
        <f t="shared" si="88"/>
        <v>0</v>
      </c>
      <c r="S494" s="315">
        <f t="shared" si="79"/>
        <v>0</v>
      </c>
    </row>
    <row r="495" spans="1:19">
      <c r="A495" s="149"/>
      <c r="B495" s="54"/>
      <c r="C495" s="21">
        <f t="shared" si="80"/>
        <v>1</v>
      </c>
      <c r="D495" s="666"/>
      <c r="E495" s="21">
        <f t="shared" si="81"/>
        <v>1</v>
      </c>
      <c r="F495" s="666"/>
      <c r="G495" s="21">
        <f t="shared" si="82"/>
        <v>1</v>
      </c>
      <c r="H495" s="666"/>
      <c r="I495" s="21">
        <f t="shared" si="83"/>
        <v>1</v>
      </c>
      <c r="J495" s="666"/>
      <c r="K495" s="21">
        <f t="shared" si="84"/>
        <v>1</v>
      </c>
      <c r="L495" s="666"/>
      <c r="M495" s="21">
        <f t="shared" si="85"/>
        <v>1</v>
      </c>
      <c r="N495" s="666"/>
      <c r="O495" s="21">
        <f t="shared" si="86"/>
        <v>1</v>
      </c>
      <c r="P495" s="666"/>
      <c r="Q495" s="21">
        <f t="shared" si="87"/>
        <v>1</v>
      </c>
      <c r="R495" s="662">
        <f t="shared" si="88"/>
        <v>0</v>
      </c>
      <c r="S495" s="315">
        <f t="shared" si="79"/>
        <v>0</v>
      </c>
    </row>
    <row r="496" spans="1:19">
      <c r="A496" s="149"/>
      <c r="B496" s="54"/>
      <c r="C496" s="21">
        <f t="shared" si="80"/>
        <v>1</v>
      </c>
      <c r="D496" s="666"/>
      <c r="E496" s="21">
        <f t="shared" si="81"/>
        <v>1</v>
      </c>
      <c r="F496" s="666"/>
      <c r="G496" s="21">
        <f t="shared" si="82"/>
        <v>1</v>
      </c>
      <c r="H496" s="666"/>
      <c r="I496" s="21">
        <f t="shared" si="83"/>
        <v>1</v>
      </c>
      <c r="J496" s="666"/>
      <c r="K496" s="21">
        <f t="shared" si="84"/>
        <v>1</v>
      </c>
      <c r="L496" s="666"/>
      <c r="M496" s="21">
        <f t="shared" si="85"/>
        <v>1</v>
      </c>
      <c r="N496" s="666"/>
      <c r="O496" s="21">
        <f t="shared" si="86"/>
        <v>1</v>
      </c>
      <c r="P496" s="666"/>
      <c r="Q496" s="21">
        <f t="shared" si="87"/>
        <v>1</v>
      </c>
      <c r="R496" s="662">
        <f t="shared" si="88"/>
        <v>0</v>
      </c>
      <c r="S496" s="315">
        <f t="shared" si="79"/>
        <v>0</v>
      </c>
    </row>
    <row r="497" spans="1:19">
      <c r="A497" s="149"/>
      <c r="B497" s="54"/>
      <c r="C497" s="21">
        <f t="shared" si="80"/>
        <v>1</v>
      </c>
      <c r="D497" s="666"/>
      <c r="E497" s="21">
        <f t="shared" si="81"/>
        <v>1</v>
      </c>
      <c r="F497" s="666"/>
      <c r="G497" s="21">
        <f t="shared" si="82"/>
        <v>1</v>
      </c>
      <c r="H497" s="666"/>
      <c r="I497" s="21">
        <f t="shared" si="83"/>
        <v>1</v>
      </c>
      <c r="J497" s="666"/>
      <c r="K497" s="21">
        <f t="shared" si="84"/>
        <v>1</v>
      </c>
      <c r="L497" s="666"/>
      <c r="M497" s="21">
        <f t="shared" si="85"/>
        <v>1</v>
      </c>
      <c r="N497" s="666"/>
      <c r="O497" s="21">
        <f t="shared" si="86"/>
        <v>1</v>
      </c>
      <c r="P497" s="666"/>
      <c r="Q497" s="21">
        <f t="shared" si="87"/>
        <v>1</v>
      </c>
      <c r="R497" s="662">
        <f t="shared" si="88"/>
        <v>0</v>
      </c>
      <c r="S497" s="315">
        <f t="shared" si="79"/>
        <v>0</v>
      </c>
    </row>
    <row r="498" spans="1:19">
      <c r="A498" s="149"/>
      <c r="B498" s="54"/>
      <c r="C498" s="21">
        <f t="shared" si="80"/>
        <v>1</v>
      </c>
      <c r="D498" s="666"/>
      <c r="E498" s="21">
        <f t="shared" si="81"/>
        <v>1</v>
      </c>
      <c r="F498" s="666"/>
      <c r="G498" s="21">
        <f t="shared" si="82"/>
        <v>1</v>
      </c>
      <c r="H498" s="666"/>
      <c r="I498" s="21">
        <f t="shared" si="83"/>
        <v>1</v>
      </c>
      <c r="J498" s="666"/>
      <c r="K498" s="21">
        <f t="shared" si="84"/>
        <v>1</v>
      </c>
      <c r="L498" s="666"/>
      <c r="M498" s="21">
        <f t="shared" si="85"/>
        <v>1</v>
      </c>
      <c r="N498" s="666"/>
      <c r="O498" s="21">
        <f t="shared" si="86"/>
        <v>1</v>
      </c>
      <c r="P498" s="666"/>
      <c r="Q498" s="21">
        <f t="shared" si="87"/>
        <v>1</v>
      </c>
      <c r="R498" s="662">
        <f t="shared" si="88"/>
        <v>0</v>
      </c>
      <c r="S498" s="315">
        <f t="shared" ref="S498:S524" si="89">ROUND(R498*B498/10000,0)</f>
        <v>0</v>
      </c>
    </row>
    <row r="499" spans="1:19">
      <c r="A499" s="149"/>
      <c r="B499" s="54"/>
      <c r="C499" s="21">
        <f t="shared" si="80"/>
        <v>1</v>
      </c>
      <c r="D499" s="666"/>
      <c r="E499" s="21">
        <f t="shared" si="81"/>
        <v>1</v>
      </c>
      <c r="F499" s="666"/>
      <c r="G499" s="21">
        <f t="shared" si="82"/>
        <v>1</v>
      </c>
      <c r="H499" s="666"/>
      <c r="I499" s="21">
        <f t="shared" si="83"/>
        <v>1</v>
      </c>
      <c r="J499" s="666"/>
      <c r="K499" s="21">
        <f t="shared" si="84"/>
        <v>1</v>
      </c>
      <c r="L499" s="666"/>
      <c r="M499" s="21">
        <f t="shared" si="85"/>
        <v>1</v>
      </c>
      <c r="N499" s="666"/>
      <c r="O499" s="21">
        <f t="shared" si="86"/>
        <v>1</v>
      </c>
      <c r="P499" s="666"/>
      <c r="Q499" s="21">
        <f t="shared" si="87"/>
        <v>1</v>
      </c>
      <c r="R499" s="662">
        <f t="shared" si="88"/>
        <v>0</v>
      </c>
      <c r="S499" s="315">
        <f t="shared" si="89"/>
        <v>0</v>
      </c>
    </row>
    <row r="500" spans="1:19">
      <c r="A500" s="149"/>
      <c r="B500" s="54"/>
      <c r="C500" s="21">
        <f t="shared" si="80"/>
        <v>1</v>
      </c>
      <c r="D500" s="666"/>
      <c r="E500" s="21">
        <f t="shared" si="81"/>
        <v>1</v>
      </c>
      <c r="F500" s="666"/>
      <c r="G500" s="21">
        <f t="shared" si="82"/>
        <v>1</v>
      </c>
      <c r="H500" s="666"/>
      <c r="I500" s="21">
        <f t="shared" si="83"/>
        <v>1</v>
      </c>
      <c r="J500" s="666"/>
      <c r="K500" s="21">
        <f t="shared" si="84"/>
        <v>1</v>
      </c>
      <c r="L500" s="666"/>
      <c r="M500" s="21">
        <f t="shared" si="85"/>
        <v>1</v>
      </c>
      <c r="N500" s="666"/>
      <c r="O500" s="21">
        <f t="shared" si="86"/>
        <v>1</v>
      </c>
      <c r="P500" s="666"/>
      <c r="Q500" s="21">
        <f t="shared" si="87"/>
        <v>1</v>
      </c>
      <c r="R500" s="662">
        <f t="shared" si="88"/>
        <v>0</v>
      </c>
      <c r="S500" s="315">
        <f t="shared" si="89"/>
        <v>0</v>
      </c>
    </row>
    <row r="501" spans="1:19">
      <c r="A501" s="149"/>
      <c r="B501" s="54"/>
      <c r="C501" s="21">
        <f t="shared" si="80"/>
        <v>1</v>
      </c>
      <c r="D501" s="666"/>
      <c r="E501" s="21">
        <f t="shared" si="81"/>
        <v>1</v>
      </c>
      <c r="F501" s="666"/>
      <c r="G501" s="21">
        <f t="shared" si="82"/>
        <v>1</v>
      </c>
      <c r="H501" s="666"/>
      <c r="I501" s="21">
        <f t="shared" si="83"/>
        <v>1</v>
      </c>
      <c r="J501" s="666"/>
      <c r="K501" s="21">
        <f t="shared" si="84"/>
        <v>1</v>
      </c>
      <c r="L501" s="666"/>
      <c r="M501" s="21">
        <f t="shared" si="85"/>
        <v>1</v>
      </c>
      <c r="N501" s="666"/>
      <c r="O501" s="21">
        <f t="shared" si="86"/>
        <v>1</v>
      </c>
      <c r="P501" s="666"/>
      <c r="Q501" s="21">
        <f t="shared" si="87"/>
        <v>1</v>
      </c>
      <c r="R501" s="662">
        <f t="shared" si="88"/>
        <v>0</v>
      </c>
      <c r="S501" s="315">
        <f t="shared" si="89"/>
        <v>0</v>
      </c>
    </row>
    <row r="502" spans="1:19">
      <c r="A502" s="149"/>
      <c r="B502" s="54"/>
      <c r="C502" s="21">
        <f t="shared" si="80"/>
        <v>1</v>
      </c>
      <c r="D502" s="666"/>
      <c r="E502" s="21">
        <f t="shared" si="81"/>
        <v>1</v>
      </c>
      <c r="F502" s="666"/>
      <c r="G502" s="21">
        <f t="shared" si="82"/>
        <v>1</v>
      </c>
      <c r="H502" s="666"/>
      <c r="I502" s="21">
        <f t="shared" si="83"/>
        <v>1</v>
      </c>
      <c r="J502" s="666"/>
      <c r="K502" s="21">
        <f t="shared" si="84"/>
        <v>1</v>
      </c>
      <c r="L502" s="666"/>
      <c r="M502" s="21">
        <f t="shared" si="85"/>
        <v>1</v>
      </c>
      <c r="N502" s="666"/>
      <c r="O502" s="21">
        <f t="shared" si="86"/>
        <v>1</v>
      </c>
      <c r="P502" s="666"/>
      <c r="Q502" s="21">
        <f t="shared" si="87"/>
        <v>1</v>
      </c>
      <c r="R502" s="662">
        <f t="shared" si="88"/>
        <v>0</v>
      </c>
      <c r="S502" s="315">
        <f t="shared" si="89"/>
        <v>0</v>
      </c>
    </row>
    <row r="503" spans="1:19">
      <c r="A503" s="149"/>
      <c r="B503" s="54"/>
      <c r="C503" s="21">
        <f t="shared" si="80"/>
        <v>1</v>
      </c>
      <c r="D503" s="666"/>
      <c r="E503" s="21">
        <f t="shared" si="81"/>
        <v>1</v>
      </c>
      <c r="F503" s="666"/>
      <c r="G503" s="21">
        <f t="shared" si="82"/>
        <v>1</v>
      </c>
      <c r="H503" s="666"/>
      <c r="I503" s="21">
        <f t="shared" si="83"/>
        <v>1</v>
      </c>
      <c r="J503" s="666"/>
      <c r="K503" s="21">
        <f t="shared" si="84"/>
        <v>1</v>
      </c>
      <c r="L503" s="666"/>
      <c r="M503" s="21">
        <f t="shared" si="85"/>
        <v>1</v>
      </c>
      <c r="N503" s="666"/>
      <c r="O503" s="21">
        <f t="shared" si="86"/>
        <v>1</v>
      </c>
      <c r="P503" s="666"/>
      <c r="Q503" s="21">
        <f t="shared" si="87"/>
        <v>1</v>
      </c>
      <c r="R503" s="662">
        <f t="shared" si="88"/>
        <v>0</v>
      </c>
      <c r="S503" s="315">
        <f t="shared" si="89"/>
        <v>0</v>
      </c>
    </row>
    <row r="504" spans="1:19">
      <c r="A504" s="149"/>
      <c r="B504" s="54"/>
      <c r="C504" s="21">
        <f t="shared" si="80"/>
        <v>1</v>
      </c>
      <c r="D504" s="666"/>
      <c r="E504" s="21">
        <f t="shared" si="81"/>
        <v>1</v>
      </c>
      <c r="F504" s="666"/>
      <c r="G504" s="21">
        <f t="shared" si="82"/>
        <v>1</v>
      </c>
      <c r="H504" s="666"/>
      <c r="I504" s="21">
        <f t="shared" si="83"/>
        <v>1</v>
      </c>
      <c r="J504" s="666"/>
      <c r="K504" s="21">
        <f t="shared" si="84"/>
        <v>1</v>
      </c>
      <c r="L504" s="666"/>
      <c r="M504" s="21">
        <f t="shared" si="85"/>
        <v>1</v>
      </c>
      <c r="N504" s="666"/>
      <c r="O504" s="21">
        <f t="shared" si="86"/>
        <v>1</v>
      </c>
      <c r="P504" s="666"/>
      <c r="Q504" s="21">
        <f t="shared" si="87"/>
        <v>1</v>
      </c>
      <c r="R504" s="662">
        <f t="shared" si="88"/>
        <v>0</v>
      </c>
      <c r="S504" s="315">
        <f t="shared" si="89"/>
        <v>0</v>
      </c>
    </row>
    <row r="505" spans="1:19">
      <c r="A505" s="149"/>
      <c r="B505" s="54"/>
      <c r="C505" s="21">
        <f t="shared" si="80"/>
        <v>1</v>
      </c>
      <c r="D505" s="666"/>
      <c r="E505" s="21">
        <f t="shared" si="81"/>
        <v>1</v>
      </c>
      <c r="F505" s="666"/>
      <c r="G505" s="21">
        <f t="shared" si="82"/>
        <v>1</v>
      </c>
      <c r="H505" s="666"/>
      <c r="I505" s="21">
        <f t="shared" si="83"/>
        <v>1</v>
      </c>
      <c r="J505" s="666"/>
      <c r="K505" s="21">
        <f t="shared" si="84"/>
        <v>1</v>
      </c>
      <c r="L505" s="666"/>
      <c r="M505" s="21">
        <f t="shared" si="85"/>
        <v>1</v>
      </c>
      <c r="N505" s="666"/>
      <c r="O505" s="21">
        <f t="shared" si="86"/>
        <v>1</v>
      </c>
      <c r="P505" s="666"/>
      <c r="Q505" s="21">
        <f t="shared" si="87"/>
        <v>1</v>
      </c>
      <c r="R505" s="662">
        <f t="shared" si="88"/>
        <v>0</v>
      </c>
      <c r="S505" s="315">
        <f t="shared" si="89"/>
        <v>0</v>
      </c>
    </row>
    <row r="506" spans="1:19">
      <c r="A506" s="149"/>
      <c r="B506" s="54"/>
      <c r="C506" s="21">
        <f t="shared" si="80"/>
        <v>1</v>
      </c>
      <c r="D506" s="666"/>
      <c r="E506" s="21">
        <f t="shared" si="81"/>
        <v>1</v>
      </c>
      <c r="F506" s="666"/>
      <c r="G506" s="21">
        <f t="shared" si="82"/>
        <v>1</v>
      </c>
      <c r="H506" s="666"/>
      <c r="I506" s="21">
        <f t="shared" si="83"/>
        <v>1</v>
      </c>
      <c r="J506" s="666"/>
      <c r="K506" s="21">
        <f t="shared" si="84"/>
        <v>1</v>
      </c>
      <c r="L506" s="666"/>
      <c r="M506" s="21">
        <f t="shared" si="85"/>
        <v>1</v>
      </c>
      <c r="N506" s="666"/>
      <c r="O506" s="21">
        <f t="shared" si="86"/>
        <v>1</v>
      </c>
      <c r="P506" s="666"/>
      <c r="Q506" s="21">
        <f t="shared" si="87"/>
        <v>1</v>
      </c>
      <c r="R506" s="662">
        <f t="shared" si="88"/>
        <v>0</v>
      </c>
      <c r="S506" s="315">
        <f t="shared" si="89"/>
        <v>0</v>
      </c>
    </row>
    <row r="507" spans="1:19">
      <c r="A507" s="149"/>
      <c r="B507" s="54"/>
      <c r="C507" s="21">
        <f t="shared" si="80"/>
        <v>1</v>
      </c>
      <c r="D507" s="666"/>
      <c r="E507" s="21">
        <f t="shared" si="81"/>
        <v>1</v>
      </c>
      <c r="F507" s="666"/>
      <c r="G507" s="21">
        <f t="shared" si="82"/>
        <v>1</v>
      </c>
      <c r="H507" s="666"/>
      <c r="I507" s="21">
        <f t="shared" si="83"/>
        <v>1</v>
      </c>
      <c r="J507" s="666"/>
      <c r="K507" s="21">
        <f t="shared" si="84"/>
        <v>1</v>
      </c>
      <c r="L507" s="666"/>
      <c r="M507" s="21">
        <f t="shared" si="85"/>
        <v>1</v>
      </c>
      <c r="N507" s="666"/>
      <c r="O507" s="21">
        <f t="shared" si="86"/>
        <v>1</v>
      </c>
      <c r="P507" s="666"/>
      <c r="Q507" s="21">
        <f t="shared" si="87"/>
        <v>1</v>
      </c>
      <c r="R507" s="662">
        <f t="shared" si="88"/>
        <v>0</v>
      </c>
      <c r="S507" s="315">
        <f t="shared" si="89"/>
        <v>0</v>
      </c>
    </row>
    <row r="508" spans="1:19">
      <c r="A508" s="149"/>
      <c r="B508" s="54"/>
      <c r="C508" s="21">
        <f t="shared" si="80"/>
        <v>1</v>
      </c>
      <c r="D508" s="666"/>
      <c r="E508" s="21">
        <f t="shared" si="81"/>
        <v>1</v>
      </c>
      <c r="F508" s="666"/>
      <c r="G508" s="21">
        <f t="shared" si="82"/>
        <v>1</v>
      </c>
      <c r="H508" s="666"/>
      <c r="I508" s="21">
        <f t="shared" si="83"/>
        <v>1</v>
      </c>
      <c r="J508" s="666"/>
      <c r="K508" s="21">
        <f t="shared" si="84"/>
        <v>1</v>
      </c>
      <c r="L508" s="666"/>
      <c r="M508" s="21">
        <f t="shared" si="85"/>
        <v>1</v>
      </c>
      <c r="N508" s="666"/>
      <c r="O508" s="21">
        <f t="shared" si="86"/>
        <v>1</v>
      </c>
      <c r="P508" s="666"/>
      <c r="Q508" s="21">
        <f t="shared" si="87"/>
        <v>1</v>
      </c>
      <c r="R508" s="662">
        <f t="shared" si="88"/>
        <v>0</v>
      </c>
      <c r="S508" s="315">
        <f t="shared" si="89"/>
        <v>0</v>
      </c>
    </row>
    <row r="509" spans="1:19">
      <c r="A509" s="149"/>
      <c r="B509" s="54"/>
      <c r="C509" s="21">
        <f t="shared" si="80"/>
        <v>1</v>
      </c>
      <c r="D509" s="666"/>
      <c r="E509" s="21">
        <f t="shared" si="81"/>
        <v>1</v>
      </c>
      <c r="F509" s="666"/>
      <c r="G509" s="21">
        <f t="shared" si="82"/>
        <v>1</v>
      </c>
      <c r="H509" s="666"/>
      <c r="I509" s="21">
        <f t="shared" si="83"/>
        <v>1</v>
      </c>
      <c r="J509" s="666"/>
      <c r="K509" s="21">
        <f t="shared" si="84"/>
        <v>1</v>
      </c>
      <c r="L509" s="666"/>
      <c r="M509" s="21">
        <f t="shared" si="85"/>
        <v>1</v>
      </c>
      <c r="N509" s="666"/>
      <c r="O509" s="21">
        <f t="shared" si="86"/>
        <v>1</v>
      </c>
      <c r="P509" s="666"/>
      <c r="Q509" s="21">
        <f t="shared" si="87"/>
        <v>1</v>
      </c>
      <c r="R509" s="662">
        <f t="shared" si="88"/>
        <v>0</v>
      </c>
      <c r="S509" s="315">
        <f t="shared" si="89"/>
        <v>0</v>
      </c>
    </row>
    <row r="510" spans="1:19">
      <c r="A510" s="149"/>
      <c r="B510" s="54"/>
      <c r="C510" s="21">
        <f t="shared" si="80"/>
        <v>1</v>
      </c>
      <c r="D510" s="666"/>
      <c r="E510" s="21">
        <f t="shared" si="81"/>
        <v>1</v>
      </c>
      <c r="F510" s="666"/>
      <c r="G510" s="21">
        <f t="shared" si="82"/>
        <v>1</v>
      </c>
      <c r="H510" s="666"/>
      <c r="I510" s="21">
        <f t="shared" si="83"/>
        <v>1</v>
      </c>
      <c r="J510" s="666"/>
      <c r="K510" s="21">
        <f t="shared" si="84"/>
        <v>1</v>
      </c>
      <c r="L510" s="666"/>
      <c r="M510" s="21">
        <f t="shared" si="85"/>
        <v>1</v>
      </c>
      <c r="N510" s="666"/>
      <c r="O510" s="21">
        <f t="shared" si="86"/>
        <v>1</v>
      </c>
      <c r="P510" s="666"/>
      <c r="Q510" s="21">
        <f t="shared" si="87"/>
        <v>1</v>
      </c>
      <c r="R510" s="662">
        <f t="shared" si="88"/>
        <v>0</v>
      </c>
      <c r="S510" s="315">
        <f t="shared" si="89"/>
        <v>0</v>
      </c>
    </row>
    <row r="511" spans="1:19">
      <c r="A511" s="149"/>
      <c r="B511" s="54"/>
      <c r="C511" s="21">
        <f t="shared" si="80"/>
        <v>1</v>
      </c>
      <c r="D511" s="666"/>
      <c r="E511" s="21">
        <f t="shared" si="81"/>
        <v>1</v>
      </c>
      <c r="F511" s="666"/>
      <c r="G511" s="21">
        <f t="shared" si="82"/>
        <v>1</v>
      </c>
      <c r="H511" s="666"/>
      <c r="I511" s="21">
        <f t="shared" si="83"/>
        <v>1</v>
      </c>
      <c r="J511" s="666"/>
      <c r="K511" s="21">
        <f t="shared" si="84"/>
        <v>1</v>
      </c>
      <c r="L511" s="666"/>
      <c r="M511" s="21">
        <f t="shared" si="85"/>
        <v>1</v>
      </c>
      <c r="N511" s="666"/>
      <c r="O511" s="21">
        <f t="shared" si="86"/>
        <v>1</v>
      </c>
      <c r="P511" s="666"/>
      <c r="Q511" s="21">
        <f t="shared" si="87"/>
        <v>1</v>
      </c>
      <c r="R511" s="662">
        <f t="shared" si="88"/>
        <v>0</v>
      </c>
      <c r="S511" s="315">
        <f t="shared" si="89"/>
        <v>0</v>
      </c>
    </row>
    <row r="512" spans="1:19">
      <c r="A512" s="149"/>
      <c r="B512" s="54"/>
      <c r="C512" s="21">
        <f t="shared" si="80"/>
        <v>1</v>
      </c>
      <c r="D512" s="666"/>
      <c r="E512" s="21">
        <f t="shared" si="81"/>
        <v>1</v>
      </c>
      <c r="F512" s="666"/>
      <c r="G512" s="21">
        <f t="shared" si="82"/>
        <v>1</v>
      </c>
      <c r="H512" s="666"/>
      <c r="I512" s="21">
        <f t="shared" si="83"/>
        <v>1</v>
      </c>
      <c r="J512" s="666"/>
      <c r="K512" s="21">
        <f t="shared" si="84"/>
        <v>1</v>
      </c>
      <c r="L512" s="666"/>
      <c r="M512" s="21">
        <f t="shared" si="85"/>
        <v>1</v>
      </c>
      <c r="N512" s="666"/>
      <c r="O512" s="21">
        <f t="shared" si="86"/>
        <v>1</v>
      </c>
      <c r="P512" s="666"/>
      <c r="Q512" s="21">
        <f t="shared" si="87"/>
        <v>1</v>
      </c>
      <c r="R512" s="662">
        <f t="shared" si="88"/>
        <v>0</v>
      </c>
      <c r="S512" s="315">
        <f t="shared" si="89"/>
        <v>0</v>
      </c>
    </row>
    <row r="513" spans="1:19">
      <c r="A513" s="149"/>
      <c r="B513" s="54"/>
      <c r="C513" s="21">
        <f t="shared" si="80"/>
        <v>1</v>
      </c>
      <c r="D513" s="666"/>
      <c r="E513" s="21">
        <f t="shared" si="81"/>
        <v>1</v>
      </c>
      <c r="F513" s="666"/>
      <c r="G513" s="21">
        <f t="shared" si="82"/>
        <v>1</v>
      </c>
      <c r="H513" s="666"/>
      <c r="I513" s="21">
        <f t="shared" si="83"/>
        <v>1</v>
      </c>
      <c r="J513" s="666"/>
      <c r="K513" s="21">
        <f t="shared" si="84"/>
        <v>1</v>
      </c>
      <c r="L513" s="666"/>
      <c r="M513" s="21">
        <f t="shared" si="85"/>
        <v>1</v>
      </c>
      <c r="N513" s="666"/>
      <c r="O513" s="21">
        <f t="shared" si="86"/>
        <v>1</v>
      </c>
      <c r="P513" s="666"/>
      <c r="Q513" s="21">
        <f t="shared" si="87"/>
        <v>1</v>
      </c>
      <c r="R513" s="662">
        <f t="shared" si="88"/>
        <v>0</v>
      </c>
      <c r="S513" s="315">
        <f t="shared" si="89"/>
        <v>0</v>
      </c>
    </row>
    <row r="514" spans="1:19">
      <c r="A514" s="149"/>
      <c r="B514" s="54"/>
      <c r="C514" s="21">
        <f t="shared" si="80"/>
        <v>1</v>
      </c>
      <c r="D514" s="666"/>
      <c r="E514" s="21">
        <f t="shared" si="81"/>
        <v>1</v>
      </c>
      <c r="F514" s="666"/>
      <c r="G514" s="21">
        <f t="shared" si="82"/>
        <v>1</v>
      </c>
      <c r="H514" s="666"/>
      <c r="I514" s="21">
        <f t="shared" si="83"/>
        <v>1</v>
      </c>
      <c r="J514" s="666"/>
      <c r="K514" s="21">
        <f t="shared" si="84"/>
        <v>1</v>
      </c>
      <c r="L514" s="666"/>
      <c r="M514" s="21">
        <f t="shared" si="85"/>
        <v>1</v>
      </c>
      <c r="N514" s="666"/>
      <c r="O514" s="21">
        <f t="shared" si="86"/>
        <v>1</v>
      </c>
      <c r="P514" s="666"/>
      <c r="Q514" s="21">
        <f t="shared" si="87"/>
        <v>1</v>
      </c>
      <c r="R514" s="662">
        <f t="shared" si="88"/>
        <v>0</v>
      </c>
      <c r="S514" s="315">
        <f t="shared" si="89"/>
        <v>0</v>
      </c>
    </row>
    <row r="515" spans="1:19">
      <c r="A515" s="149"/>
      <c r="B515" s="54"/>
      <c r="C515" s="21">
        <f t="shared" si="80"/>
        <v>1</v>
      </c>
      <c r="D515" s="666"/>
      <c r="E515" s="21">
        <f t="shared" si="81"/>
        <v>1</v>
      </c>
      <c r="F515" s="666"/>
      <c r="G515" s="21">
        <f t="shared" si="82"/>
        <v>1</v>
      </c>
      <c r="H515" s="666"/>
      <c r="I515" s="21">
        <f t="shared" si="83"/>
        <v>1</v>
      </c>
      <c r="J515" s="666"/>
      <c r="K515" s="21">
        <f t="shared" si="84"/>
        <v>1</v>
      </c>
      <c r="L515" s="666"/>
      <c r="M515" s="21">
        <f t="shared" si="85"/>
        <v>1</v>
      </c>
      <c r="N515" s="666"/>
      <c r="O515" s="21">
        <f t="shared" si="86"/>
        <v>1</v>
      </c>
      <c r="P515" s="666"/>
      <c r="Q515" s="21">
        <f t="shared" si="87"/>
        <v>1</v>
      </c>
      <c r="R515" s="662">
        <f t="shared" si="88"/>
        <v>0</v>
      </c>
      <c r="S515" s="315">
        <f t="shared" si="89"/>
        <v>0</v>
      </c>
    </row>
    <row r="516" spans="1:19">
      <c r="A516" s="149"/>
      <c r="B516" s="54"/>
      <c r="C516" s="21">
        <f t="shared" si="80"/>
        <v>1</v>
      </c>
      <c r="D516" s="666"/>
      <c r="E516" s="21">
        <f t="shared" si="81"/>
        <v>1</v>
      </c>
      <c r="F516" s="666"/>
      <c r="G516" s="21">
        <f t="shared" si="82"/>
        <v>1</v>
      </c>
      <c r="H516" s="666"/>
      <c r="I516" s="21">
        <f t="shared" si="83"/>
        <v>1</v>
      </c>
      <c r="J516" s="666"/>
      <c r="K516" s="21">
        <f t="shared" si="84"/>
        <v>1</v>
      </c>
      <c r="L516" s="666"/>
      <c r="M516" s="21">
        <f t="shared" si="85"/>
        <v>1</v>
      </c>
      <c r="N516" s="666"/>
      <c r="O516" s="21">
        <f t="shared" si="86"/>
        <v>1</v>
      </c>
      <c r="P516" s="666"/>
      <c r="Q516" s="21">
        <f t="shared" si="87"/>
        <v>1</v>
      </c>
      <c r="R516" s="662">
        <f t="shared" si="88"/>
        <v>0</v>
      </c>
      <c r="S516" s="315">
        <f t="shared" si="89"/>
        <v>0</v>
      </c>
    </row>
    <row r="517" spans="1:19">
      <c r="A517" s="149"/>
      <c r="B517" s="54"/>
      <c r="C517" s="21">
        <f t="shared" si="80"/>
        <v>1</v>
      </c>
      <c r="D517" s="666"/>
      <c r="E517" s="21">
        <f t="shared" si="81"/>
        <v>1</v>
      </c>
      <c r="F517" s="666"/>
      <c r="G517" s="21">
        <f t="shared" si="82"/>
        <v>1</v>
      </c>
      <c r="H517" s="666"/>
      <c r="I517" s="21">
        <f t="shared" si="83"/>
        <v>1</v>
      </c>
      <c r="J517" s="666"/>
      <c r="K517" s="21">
        <f t="shared" si="84"/>
        <v>1</v>
      </c>
      <c r="L517" s="666"/>
      <c r="M517" s="21">
        <f t="shared" si="85"/>
        <v>1</v>
      </c>
      <c r="N517" s="666"/>
      <c r="O517" s="21">
        <f t="shared" si="86"/>
        <v>1</v>
      </c>
      <c r="P517" s="666"/>
      <c r="Q517" s="21">
        <f t="shared" si="87"/>
        <v>1</v>
      </c>
      <c r="R517" s="662">
        <f t="shared" si="88"/>
        <v>0</v>
      </c>
      <c r="S517" s="315">
        <f t="shared" si="89"/>
        <v>0</v>
      </c>
    </row>
    <row r="518" spans="1:19">
      <c r="A518" s="149"/>
      <c r="B518" s="54"/>
      <c r="C518" s="21">
        <f t="shared" si="80"/>
        <v>1</v>
      </c>
      <c r="D518" s="666"/>
      <c r="E518" s="21">
        <f t="shared" si="81"/>
        <v>1</v>
      </c>
      <c r="F518" s="666"/>
      <c r="G518" s="21">
        <f t="shared" si="82"/>
        <v>1</v>
      </c>
      <c r="H518" s="666"/>
      <c r="I518" s="21">
        <f t="shared" si="83"/>
        <v>1</v>
      </c>
      <c r="J518" s="666"/>
      <c r="K518" s="21">
        <f t="shared" si="84"/>
        <v>1</v>
      </c>
      <c r="L518" s="666"/>
      <c r="M518" s="21">
        <f t="shared" si="85"/>
        <v>1</v>
      </c>
      <c r="N518" s="666"/>
      <c r="O518" s="21">
        <f t="shared" si="86"/>
        <v>1</v>
      </c>
      <c r="P518" s="666"/>
      <c r="Q518" s="21">
        <f t="shared" si="87"/>
        <v>1</v>
      </c>
      <c r="R518" s="662">
        <f t="shared" si="88"/>
        <v>0</v>
      </c>
      <c r="S518" s="315">
        <f t="shared" si="89"/>
        <v>0</v>
      </c>
    </row>
    <row r="519" spans="1:19">
      <c r="A519" s="149"/>
      <c r="B519" s="54"/>
      <c r="C519" s="21">
        <f t="shared" si="80"/>
        <v>1</v>
      </c>
      <c r="D519" s="666"/>
      <c r="E519" s="21">
        <f t="shared" si="81"/>
        <v>1</v>
      </c>
      <c r="F519" s="666"/>
      <c r="G519" s="21">
        <f t="shared" si="82"/>
        <v>1</v>
      </c>
      <c r="H519" s="666"/>
      <c r="I519" s="21">
        <f t="shared" si="83"/>
        <v>1</v>
      </c>
      <c r="J519" s="666"/>
      <c r="K519" s="21">
        <f t="shared" si="84"/>
        <v>1</v>
      </c>
      <c r="L519" s="666"/>
      <c r="M519" s="21">
        <f t="shared" si="85"/>
        <v>1</v>
      </c>
      <c r="N519" s="666"/>
      <c r="O519" s="21">
        <f t="shared" si="86"/>
        <v>1</v>
      </c>
      <c r="P519" s="666"/>
      <c r="Q519" s="21">
        <f t="shared" si="87"/>
        <v>1</v>
      </c>
      <c r="R519" s="662">
        <f t="shared" si="88"/>
        <v>0</v>
      </c>
      <c r="S519" s="315">
        <f t="shared" si="89"/>
        <v>0</v>
      </c>
    </row>
    <row r="520" spans="1:19">
      <c r="A520" s="149"/>
      <c r="B520" s="54"/>
      <c r="C520" s="21">
        <f t="shared" si="80"/>
        <v>1</v>
      </c>
      <c r="D520" s="666"/>
      <c r="E520" s="21">
        <f t="shared" si="81"/>
        <v>1</v>
      </c>
      <c r="F520" s="666"/>
      <c r="G520" s="21">
        <f t="shared" si="82"/>
        <v>1</v>
      </c>
      <c r="H520" s="666"/>
      <c r="I520" s="21">
        <f t="shared" si="83"/>
        <v>1</v>
      </c>
      <c r="J520" s="666"/>
      <c r="K520" s="21">
        <f t="shared" si="84"/>
        <v>1</v>
      </c>
      <c r="L520" s="666"/>
      <c r="M520" s="21">
        <f t="shared" si="85"/>
        <v>1</v>
      </c>
      <c r="N520" s="666"/>
      <c r="O520" s="21">
        <f t="shared" si="86"/>
        <v>1</v>
      </c>
      <c r="P520" s="666"/>
      <c r="Q520" s="21">
        <f t="shared" si="87"/>
        <v>1</v>
      </c>
      <c r="R520" s="662">
        <f t="shared" si="88"/>
        <v>0</v>
      </c>
      <c r="S520" s="315">
        <f t="shared" si="89"/>
        <v>0</v>
      </c>
    </row>
    <row r="521" spans="1:19">
      <c r="A521" s="149"/>
      <c r="B521" s="54"/>
      <c r="C521" s="21">
        <f t="shared" si="80"/>
        <v>1</v>
      </c>
      <c r="D521" s="666"/>
      <c r="E521" s="21">
        <f t="shared" si="81"/>
        <v>1</v>
      </c>
      <c r="F521" s="666"/>
      <c r="G521" s="21">
        <f t="shared" si="82"/>
        <v>1</v>
      </c>
      <c r="H521" s="666"/>
      <c r="I521" s="21">
        <f t="shared" si="83"/>
        <v>1</v>
      </c>
      <c r="J521" s="666"/>
      <c r="K521" s="21">
        <f t="shared" si="84"/>
        <v>1</v>
      </c>
      <c r="L521" s="666"/>
      <c r="M521" s="21">
        <f t="shared" si="85"/>
        <v>1</v>
      </c>
      <c r="N521" s="666"/>
      <c r="O521" s="21">
        <f t="shared" si="86"/>
        <v>1</v>
      </c>
      <c r="P521" s="666"/>
      <c r="Q521" s="21">
        <f t="shared" si="87"/>
        <v>1</v>
      </c>
      <c r="R521" s="662">
        <f t="shared" si="88"/>
        <v>0</v>
      </c>
      <c r="S521" s="315">
        <f t="shared" si="89"/>
        <v>0</v>
      </c>
    </row>
    <row r="522" spans="1:19">
      <c r="A522" s="149"/>
      <c r="B522" s="54"/>
      <c r="C522" s="21">
        <f t="shared" si="80"/>
        <v>1</v>
      </c>
      <c r="D522" s="666"/>
      <c r="E522" s="21">
        <f t="shared" si="81"/>
        <v>1</v>
      </c>
      <c r="F522" s="666"/>
      <c r="G522" s="21">
        <f t="shared" si="82"/>
        <v>1</v>
      </c>
      <c r="H522" s="666"/>
      <c r="I522" s="21">
        <f t="shared" si="83"/>
        <v>1</v>
      </c>
      <c r="J522" s="666"/>
      <c r="K522" s="21">
        <f t="shared" si="84"/>
        <v>1</v>
      </c>
      <c r="L522" s="666"/>
      <c r="M522" s="21">
        <f t="shared" si="85"/>
        <v>1</v>
      </c>
      <c r="N522" s="666"/>
      <c r="O522" s="21">
        <f t="shared" si="86"/>
        <v>1</v>
      </c>
      <c r="P522" s="666"/>
      <c r="Q522" s="21">
        <f t="shared" si="87"/>
        <v>1</v>
      </c>
      <c r="R522" s="662">
        <f t="shared" si="88"/>
        <v>0</v>
      </c>
      <c r="S522" s="315">
        <f t="shared" si="89"/>
        <v>0</v>
      </c>
    </row>
    <row r="523" spans="1:19">
      <c r="A523" s="149"/>
      <c r="B523" s="54"/>
      <c r="C523" s="21">
        <f t="shared" si="80"/>
        <v>1</v>
      </c>
      <c r="D523" s="666"/>
      <c r="E523" s="21">
        <f t="shared" si="81"/>
        <v>1</v>
      </c>
      <c r="F523" s="666"/>
      <c r="G523" s="21">
        <f t="shared" si="82"/>
        <v>1</v>
      </c>
      <c r="H523" s="666"/>
      <c r="I523" s="21">
        <f t="shared" si="83"/>
        <v>1</v>
      </c>
      <c r="J523" s="666"/>
      <c r="K523" s="21">
        <f t="shared" si="84"/>
        <v>1</v>
      </c>
      <c r="L523" s="666"/>
      <c r="M523" s="21">
        <f t="shared" si="85"/>
        <v>1</v>
      </c>
      <c r="N523" s="666"/>
      <c r="O523" s="21">
        <f t="shared" si="86"/>
        <v>1</v>
      </c>
      <c r="P523" s="666"/>
      <c r="Q523" s="21">
        <f t="shared" si="87"/>
        <v>1</v>
      </c>
      <c r="R523" s="662">
        <f t="shared" si="88"/>
        <v>0</v>
      </c>
      <c r="S523" s="315">
        <f t="shared" si="89"/>
        <v>0</v>
      </c>
    </row>
    <row r="524" spans="1:19">
      <c r="A524" s="149"/>
      <c r="B524" s="54"/>
      <c r="C524" s="21">
        <f t="shared" si="80"/>
        <v>1</v>
      </c>
      <c r="D524" s="666"/>
      <c r="E524" s="21">
        <f t="shared" si="81"/>
        <v>1</v>
      </c>
      <c r="F524" s="666"/>
      <c r="G524" s="21">
        <f t="shared" si="82"/>
        <v>1</v>
      </c>
      <c r="H524" s="666"/>
      <c r="I524" s="21">
        <f t="shared" si="83"/>
        <v>1</v>
      </c>
      <c r="J524" s="666"/>
      <c r="K524" s="21">
        <f t="shared" si="84"/>
        <v>1</v>
      </c>
      <c r="L524" s="666"/>
      <c r="M524" s="21">
        <f t="shared" si="85"/>
        <v>1</v>
      </c>
      <c r="N524" s="666"/>
      <c r="O524" s="21">
        <f t="shared" si="86"/>
        <v>1</v>
      </c>
      <c r="P524" s="666"/>
      <c r="Q524" s="21">
        <f t="shared" si="87"/>
        <v>1</v>
      </c>
      <c r="R524" s="662">
        <f t="shared" si="88"/>
        <v>0</v>
      </c>
      <c r="S524" s="315">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2080</v>
      </c>
      <c r="B1" s="2144"/>
      <c r="C1" s="2144"/>
      <c r="D1" s="2144"/>
      <c r="E1" s="2144"/>
      <c r="F1" s="2790"/>
      <c r="G1" s="2790"/>
      <c r="H1" s="2790"/>
      <c r="I1" s="2790"/>
      <c r="J1" s="2790"/>
      <c r="K1" s="2790"/>
      <c r="L1" s="2790"/>
      <c r="M1" s="2790"/>
      <c r="N1" s="2790"/>
      <c r="O1" s="2790"/>
      <c r="P1" s="2790"/>
    </row>
    <row r="2" spans="1:16" ht="15.6">
      <c r="A2" s="2142" t="s">
        <v>2072</v>
      </c>
      <c r="B2" s="2599" t="e">
        <f ca="1">SUMIF(B6:B13,"&lt;&gt;#ref!",B6:B13)</f>
        <v>#DIV/0!</v>
      </c>
      <c r="C2" s="2142" t="s">
        <v>2073</v>
      </c>
      <c r="D2" s="2142" t="s">
        <v>2074</v>
      </c>
      <c r="E2" s="2609">
        <f ca="1">SUMIF(E6:E13,"&lt;&gt;#ref!",E6:E13)</f>
        <v>0</v>
      </c>
      <c r="F2" s="2790"/>
      <c r="G2" s="2790"/>
      <c r="H2" s="2790"/>
      <c r="I2" s="2790"/>
      <c r="J2" s="2790"/>
      <c r="K2" s="2790"/>
      <c r="L2" s="2790"/>
      <c r="M2" s="2790"/>
      <c r="N2" s="2790"/>
      <c r="O2" s="2790"/>
      <c r="P2" s="2790"/>
    </row>
    <row r="3" spans="1:16" ht="15.6">
      <c r="A3" s="2142" t="s">
        <v>2075</v>
      </c>
      <c r="B3" s="2599" t="e">
        <f ca="1">ROUND(B2*10000/E2,0)</f>
        <v>#DIV/0!</v>
      </c>
      <c r="C3" s="2142" t="s">
        <v>2081</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2076</v>
      </c>
      <c r="B5" s="2607" t="s">
        <v>2077</v>
      </c>
      <c r="C5" s="2143"/>
      <c r="D5" s="2790"/>
      <c r="E5" s="2608" t="s">
        <v>2078</v>
      </c>
      <c r="F5" s="2790"/>
      <c r="G5" s="2790"/>
      <c r="H5" s="2790"/>
      <c r="I5" s="2790"/>
      <c r="J5" s="2790"/>
      <c r="K5" s="2790"/>
      <c r="L5" s="2790"/>
      <c r="M5" s="2790"/>
      <c r="N5" s="2790"/>
      <c r="O5" s="2790"/>
      <c r="P5" s="2790"/>
    </row>
    <row r="6" spans="1:16" ht="15.6">
      <c r="A6" s="2606" t="s">
        <v>2079</v>
      </c>
      <c r="B6" s="2599" t="e">
        <f ca="1">SUMIF(INDIRECT("'"&amp;A6&amp;"'"&amp;"!A:A"),"总价",INDIRECT("'"&amp;A6&amp;"'"&amp;"!B:B"))</f>
        <v>#DIV/0!</v>
      </c>
      <c r="C6" s="2142" t="s">
        <v>2073</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5"/>
  <sheetViews>
    <sheetView workbookViewId="0">
      <selection activeCell="B32" sqref="B32:E32"/>
    </sheetView>
  </sheetViews>
  <sheetFormatPr defaultColWidth="11.5546875" defaultRowHeight="13.8"/>
  <cols>
    <col min="1" max="1" width="7.6640625" style="3545" customWidth="1"/>
    <col min="2" max="2" width="18.44140625" style="3545" customWidth="1"/>
    <col min="3" max="3" width="11.5546875" style="3545"/>
    <col min="4" max="5" width="11" style="3545" bestFit="1" customWidth="1"/>
    <col min="6" max="6" width="12.77734375" style="3545" bestFit="1" customWidth="1"/>
    <col min="7" max="7" width="13.77734375" style="3545" customWidth="1"/>
    <col min="8" max="16384" width="11.5546875" style="3545"/>
  </cols>
  <sheetData>
    <row r="1" spans="1:8" ht="27.6">
      <c r="A1" s="3545" t="s">
        <v>3690</v>
      </c>
      <c r="B1" s="3545" t="s">
        <v>3691</v>
      </c>
      <c r="C1" s="3545" t="s">
        <v>3692</v>
      </c>
      <c r="D1" s="3545" t="s">
        <v>3693</v>
      </c>
      <c r="E1" s="3545" t="s">
        <v>3694</v>
      </c>
      <c r="F1" s="3545" t="s">
        <v>3695</v>
      </c>
      <c r="G1" s="3545" t="s">
        <v>3696</v>
      </c>
      <c r="H1" s="3545" t="s">
        <v>3663</v>
      </c>
    </row>
    <row r="2" spans="1:8">
      <c r="A2" s="3989" t="s">
        <v>3710</v>
      </c>
      <c r="B2" s="3545" t="s">
        <v>3697</v>
      </c>
      <c r="C2" s="3545" t="s">
        <v>3707</v>
      </c>
      <c r="D2" s="3545">
        <v>1.73</v>
      </c>
      <c r="E2" s="3989">
        <v>1.9</v>
      </c>
      <c r="F2" s="3989">
        <v>32.850999999999999</v>
      </c>
      <c r="G2" s="3989" t="s">
        <v>3712</v>
      </c>
      <c r="H2" s="3989" t="s">
        <v>3713</v>
      </c>
    </row>
    <row r="3" spans="1:8">
      <c r="A3" s="3989"/>
      <c r="B3" s="3545" t="s">
        <v>3698</v>
      </c>
      <c r="C3" s="3545" t="s">
        <v>3707</v>
      </c>
      <c r="D3" s="3545">
        <v>1.06</v>
      </c>
      <c r="E3" s="3989"/>
      <c r="F3" s="3989"/>
      <c r="G3" s="3989"/>
      <c r="H3" s="3989"/>
    </row>
    <row r="4" spans="1:8">
      <c r="A4" s="3989"/>
      <c r="B4" s="3545" t="s">
        <v>3699</v>
      </c>
      <c r="C4" s="3545" t="s">
        <v>3707</v>
      </c>
      <c r="D4" s="3545">
        <v>1.52</v>
      </c>
      <c r="E4" s="3989"/>
      <c r="F4" s="3989"/>
      <c r="G4" s="3989"/>
      <c r="H4" s="3989"/>
    </row>
    <row r="5" spans="1:8">
      <c r="A5" s="3989"/>
      <c r="B5" s="3545" t="s">
        <v>3704</v>
      </c>
      <c r="C5" s="3545" t="s">
        <v>3707</v>
      </c>
      <c r="D5" s="3545">
        <v>3.3</v>
      </c>
      <c r="E5" s="3989"/>
      <c r="F5" s="3989"/>
      <c r="G5" s="3989"/>
      <c r="H5" s="3989"/>
    </row>
    <row r="6" spans="1:8">
      <c r="A6" s="3989"/>
      <c r="B6" s="3545" t="s">
        <v>3700</v>
      </c>
      <c r="C6" s="3545" t="s">
        <v>3707</v>
      </c>
      <c r="D6" s="3545">
        <v>2.57</v>
      </c>
      <c r="E6" s="3989"/>
      <c r="F6" s="3989"/>
      <c r="G6" s="3989"/>
      <c r="H6" s="3989"/>
    </row>
    <row r="7" spans="1:8">
      <c r="A7" s="3989"/>
      <c r="B7" s="3545" t="s">
        <v>3701</v>
      </c>
      <c r="C7" s="3545" t="s">
        <v>3707</v>
      </c>
      <c r="D7" s="3545">
        <v>1.43</v>
      </c>
      <c r="E7" s="3989"/>
      <c r="F7" s="3989"/>
      <c r="G7" s="3989"/>
      <c r="H7" s="3989"/>
    </row>
    <row r="8" spans="1:8">
      <c r="A8" s="3989"/>
      <c r="B8" s="3545" t="s">
        <v>3702</v>
      </c>
      <c r="C8" s="3545" t="s">
        <v>3707</v>
      </c>
      <c r="D8" s="3545">
        <v>2.56</v>
      </c>
      <c r="E8" s="3989"/>
      <c r="F8" s="3989"/>
      <c r="G8" s="3989"/>
      <c r="H8" s="3989"/>
    </row>
    <row r="9" spans="1:8">
      <c r="A9" s="3989"/>
      <c r="B9" s="3545" t="s">
        <v>3703</v>
      </c>
      <c r="C9" s="3545" t="s">
        <v>3707</v>
      </c>
      <c r="D9" s="3545">
        <v>3.12</v>
      </c>
      <c r="E9" s="3989"/>
      <c r="F9" s="3989"/>
      <c r="G9" s="3989"/>
      <c r="H9" s="3989"/>
    </row>
    <row r="10" spans="1:8">
      <c r="A10" s="3989"/>
      <c r="B10" s="3545" t="s">
        <v>3705</v>
      </c>
      <c r="C10" s="3545" t="s">
        <v>3708</v>
      </c>
      <c r="D10" s="3545">
        <v>0.4</v>
      </c>
      <c r="E10" s="3545">
        <v>1</v>
      </c>
      <c r="F10" s="3545">
        <v>0.4</v>
      </c>
      <c r="G10" s="3545">
        <v>16</v>
      </c>
      <c r="H10" s="3545" t="s">
        <v>3714</v>
      </c>
    </row>
    <row r="11" spans="1:8" ht="27.6">
      <c r="A11" s="3989"/>
      <c r="B11" s="3545" t="s">
        <v>3706</v>
      </c>
      <c r="C11" s="3545" t="s">
        <v>3709</v>
      </c>
      <c r="D11" s="3545">
        <v>0.18</v>
      </c>
      <c r="E11" s="3545">
        <v>0.5</v>
      </c>
      <c r="F11" s="3545">
        <v>0.09</v>
      </c>
      <c r="G11" s="3545">
        <v>9</v>
      </c>
      <c r="H11" s="3545" t="s">
        <v>3715</v>
      </c>
    </row>
    <row r="12" spans="1:8">
      <c r="A12" s="3545" t="s">
        <v>3711</v>
      </c>
      <c r="D12" s="3545">
        <f>SUM(D2:D11)</f>
        <v>17.869999999999997</v>
      </c>
      <c r="F12" s="3545">
        <f>SUM(F2:F11)</f>
        <v>33.341000000000001</v>
      </c>
    </row>
    <row r="13" spans="1:8" s="3548" customFormat="1">
      <c r="A13" s="3990" t="s">
        <v>3724</v>
      </c>
      <c r="B13" s="3548" t="s">
        <v>3806</v>
      </c>
      <c r="C13" s="3548" t="s">
        <v>3707</v>
      </c>
      <c r="D13" s="3548">
        <v>2.0699999999999998</v>
      </c>
      <c r="E13" s="3990">
        <v>2.2000000000000002</v>
      </c>
      <c r="F13" s="3990">
        <v>20.481999999999999</v>
      </c>
      <c r="G13" s="3990" t="s">
        <v>3712</v>
      </c>
      <c r="H13" s="3990" t="s">
        <v>3723</v>
      </c>
    </row>
    <row r="14" spans="1:8" s="3548" customFormat="1">
      <c r="A14" s="3990"/>
      <c r="B14" s="3548" t="s">
        <v>3716</v>
      </c>
      <c r="C14" s="3548" t="s">
        <v>3707</v>
      </c>
      <c r="D14" s="3548">
        <v>1.45</v>
      </c>
      <c r="E14" s="3990"/>
      <c r="F14" s="3990"/>
      <c r="G14" s="3990"/>
      <c r="H14" s="3990"/>
    </row>
    <row r="15" spans="1:8" s="3548" customFormat="1">
      <c r="A15" s="3990"/>
      <c r="B15" s="3548" t="s">
        <v>3717</v>
      </c>
      <c r="C15" s="3548" t="s">
        <v>3707</v>
      </c>
      <c r="D15" s="3548">
        <v>1.63</v>
      </c>
      <c r="E15" s="3990"/>
      <c r="F15" s="3990"/>
      <c r="G15" s="3990"/>
      <c r="H15" s="3990"/>
    </row>
    <row r="16" spans="1:8" s="3548" customFormat="1">
      <c r="A16" s="3990"/>
      <c r="B16" s="3548" t="s">
        <v>3718</v>
      </c>
      <c r="C16" s="3548" t="s">
        <v>3707</v>
      </c>
      <c r="D16" s="3548">
        <v>0.92</v>
      </c>
      <c r="E16" s="3990"/>
      <c r="F16" s="3990"/>
      <c r="G16" s="3990"/>
      <c r="H16" s="3990"/>
    </row>
    <row r="17" spans="1:10" s="3548" customFormat="1">
      <c r="A17" s="3990"/>
      <c r="B17" s="3548" t="s">
        <v>3719</v>
      </c>
      <c r="C17" s="3548" t="s">
        <v>3707</v>
      </c>
      <c r="D17" s="3548">
        <v>0.94</v>
      </c>
      <c r="E17" s="3990"/>
      <c r="F17" s="3990"/>
      <c r="G17" s="3990"/>
      <c r="H17" s="3990"/>
    </row>
    <row r="18" spans="1:10" s="3548" customFormat="1">
      <c r="A18" s="3990"/>
      <c r="B18" s="3548" t="s">
        <v>3720</v>
      </c>
      <c r="C18" s="3548" t="s">
        <v>3707</v>
      </c>
      <c r="D18" s="3548">
        <v>1.0900000000000001</v>
      </c>
      <c r="E18" s="3990"/>
      <c r="F18" s="3990"/>
      <c r="G18" s="3990"/>
      <c r="H18" s="3990"/>
    </row>
    <row r="19" spans="1:10" s="3548" customFormat="1">
      <c r="A19" s="3990"/>
      <c r="B19" s="3548" t="s">
        <v>3721</v>
      </c>
      <c r="C19" s="3548" t="s">
        <v>3707</v>
      </c>
      <c r="D19" s="3548">
        <v>1.21</v>
      </c>
      <c r="E19" s="3990"/>
      <c r="F19" s="3990"/>
      <c r="G19" s="3990"/>
      <c r="H19" s="3990"/>
    </row>
    <row r="20" spans="1:10" s="3548" customFormat="1">
      <c r="A20" s="3990"/>
      <c r="B20" s="3548" t="s">
        <v>3722</v>
      </c>
      <c r="C20" s="3548" t="s">
        <v>3708</v>
      </c>
      <c r="D20" s="3548">
        <v>0.4</v>
      </c>
      <c r="E20" s="3548">
        <v>1</v>
      </c>
      <c r="F20" s="3548">
        <v>0.4</v>
      </c>
      <c r="G20" s="3548">
        <v>16</v>
      </c>
      <c r="H20" s="3548" t="s">
        <v>3714</v>
      </c>
    </row>
    <row r="21" spans="1:10">
      <c r="A21" s="3545" t="s">
        <v>3711</v>
      </c>
      <c r="D21" s="3545">
        <f>SUM(D13:D20)</f>
        <v>9.7099999999999991</v>
      </c>
      <c r="F21" s="3545">
        <f>SUM(F13:F20)</f>
        <v>20.881999999999998</v>
      </c>
    </row>
    <row r="22" spans="1:10">
      <c r="A22" s="3989" t="s">
        <v>3732</v>
      </c>
      <c r="B22" s="3545" t="s">
        <v>3725</v>
      </c>
      <c r="C22" s="3545" t="s">
        <v>3730</v>
      </c>
      <c r="D22" s="3545">
        <v>1.07</v>
      </c>
      <c r="E22" s="3545">
        <v>3.82</v>
      </c>
      <c r="F22" s="3545">
        <v>4.0873999999999997</v>
      </c>
      <c r="G22" s="3545">
        <v>60</v>
      </c>
    </row>
    <row r="23" spans="1:10">
      <c r="A23" s="3989"/>
      <c r="B23" s="3545" t="s">
        <v>3726</v>
      </c>
      <c r="C23" s="3545" t="s">
        <v>3730</v>
      </c>
      <c r="D23" s="3545">
        <v>1.42</v>
      </c>
      <c r="E23" s="3545">
        <v>3.67</v>
      </c>
      <c r="F23" s="3545">
        <v>5.2114000000000003</v>
      </c>
      <c r="G23" s="3545">
        <v>60</v>
      </c>
    </row>
    <row r="24" spans="1:10">
      <c r="A24" s="3989"/>
      <c r="B24" s="3601" t="s">
        <v>3727</v>
      </c>
      <c r="C24" s="3545" t="s">
        <v>3730</v>
      </c>
      <c r="D24" s="3545">
        <v>2.82</v>
      </c>
      <c r="E24" s="3545">
        <v>3.56</v>
      </c>
      <c r="F24" s="3545">
        <v>10.039199999999999</v>
      </c>
      <c r="G24" s="3545">
        <v>60</v>
      </c>
    </row>
    <row r="25" spans="1:10">
      <c r="A25" s="3989"/>
      <c r="B25" s="3601" t="s">
        <v>3728</v>
      </c>
      <c r="C25" s="3545" t="s">
        <v>3707</v>
      </c>
      <c r="D25" s="3545">
        <v>3.46</v>
      </c>
      <c r="E25" s="3545">
        <v>4.66</v>
      </c>
      <c r="F25" s="3545">
        <v>16.1236</v>
      </c>
      <c r="G25" s="3545">
        <v>60</v>
      </c>
    </row>
    <row r="26" spans="1:10">
      <c r="A26" s="3989"/>
      <c r="B26" s="3601" t="s">
        <v>3729</v>
      </c>
      <c r="C26" s="3545" t="s">
        <v>3731</v>
      </c>
      <c r="D26" s="3545">
        <v>7.9</v>
      </c>
      <c r="E26" s="3545">
        <v>1</v>
      </c>
      <c r="F26" s="3545">
        <v>7.9</v>
      </c>
      <c r="G26" s="3545">
        <v>25</v>
      </c>
    </row>
    <row r="27" spans="1:10">
      <c r="D27" s="3545">
        <f>SUM(D22:D26)</f>
        <v>16.670000000000002</v>
      </c>
      <c r="F27" s="3545">
        <f>SUM(F22:F26)</f>
        <v>43.361600000000003</v>
      </c>
    </row>
    <row r="28" spans="1:10" ht="27.6">
      <c r="A28" s="3545" t="s">
        <v>3733</v>
      </c>
      <c r="D28" s="3545">
        <f>D12+D21+D27</f>
        <v>44.25</v>
      </c>
      <c r="F28" s="3545">
        <f>F12+F21+F27</f>
        <v>97.584599999999995</v>
      </c>
    </row>
    <row r="32" spans="1:10">
      <c r="B32" s="3989" t="s">
        <v>3751</v>
      </c>
      <c r="C32" s="3989"/>
      <c r="D32" s="3989"/>
      <c r="E32" s="3989"/>
      <c r="G32" s="3989" t="s">
        <v>3782</v>
      </c>
      <c r="H32" s="3989"/>
      <c r="I32" s="3989"/>
      <c r="J32" s="3989"/>
    </row>
    <row r="33" spans="2:10">
      <c r="B33" s="3989" t="s">
        <v>3734</v>
      </c>
      <c r="C33" s="3989" t="s">
        <v>3654</v>
      </c>
      <c r="D33" s="3989" t="s">
        <v>3736</v>
      </c>
      <c r="E33" s="3989"/>
      <c r="G33" s="3989" t="s">
        <v>3734</v>
      </c>
      <c r="H33" s="3989" t="s">
        <v>3654</v>
      </c>
      <c r="I33" s="3989" t="s">
        <v>3736</v>
      </c>
      <c r="J33" s="3989"/>
    </row>
    <row r="34" spans="2:10">
      <c r="B34" s="3989"/>
      <c r="C34" s="3989"/>
      <c r="D34" s="3545" t="s">
        <v>3737</v>
      </c>
      <c r="E34" s="3545" t="s">
        <v>3738</v>
      </c>
      <c r="G34" s="3989"/>
      <c r="H34" s="3989"/>
      <c r="I34" s="3545" t="s">
        <v>3737</v>
      </c>
      <c r="J34" s="3545" t="s">
        <v>3738</v>
      </c>
    </row>
    <row r="35" spans="2:10">
      <c r="B35" s="3545" t="s">
        <v>3735</v>
      </c>
      <c r="C35" s="3545">
        <v>5385</v>
      </c>
    </row>
    <row r="36" spans="2:10">
      <c r="B36" s="3545" t="s">
        <v>3739</v>
      </c>
      <c r="D36" s="3545">
        <v>4890</v>
      </c>
    </row>
    <row r="37" spans="2:10">
      <c r="B37" s="3545" t="s">
        <v>3740</v>
      </c>
      <c r="E37" s="3545">
        <v>495</v>
      </c>
    </row>
    <row r="38" spans="2:10">
      <c r="B38" s="3545" t="s">
        <v>3741</v>
      </c>
      <c r="C38" s="3545">
        <v>4731</v>
      </c>
    </row>
    <row r="39" spans="2:10">
      <c r="B39" s="3545" t="s">
        <v>3739</v>
      </c>
      <c r="D39" s="3545">
        <v>4326</v>
      </c>
    </row>
    <row r="40" spans="2:10">
      <c r="B40" s="3545" t="s">
        <v>3742</v>
      </c>
      <c r="E40" s="3545">
        <v>405</v>
      </c>
    </row>
    <row r="41" spans="2:10">
      <c r="B41" s="3545" t="s">
        <v>3743</v>
      </c>
      <c r="C41" s="3545">
        <v>3821</v>
      </c>
    </row>
    <row r="42" spans="2:10">
      <c r="B42" s="3545" t="s">
        <v>3739</v>
      </c>
      <c r="D42" s="3545">
        <v>3015</v>
      </c>
    </row>
    <row r="43" spans="2:10">
      <c r="B43" s="3545" t="s">
        <v>3742</v>
      </c>
      <c r="E43" s="3545">
        <v>806</v>
      </c>
    </row>
    <row r="44" spans="2:10">
      <c r="B44" s="3545" t="s">
        <v>3744</v>
      </c>
      <c r="C44" s="3545">
        <v>4824</v>
      </c>
    </row>
    <row r="45" spans="2:10">
      <c r="B45" s="3545" t="s">
        <v>3739</v>
      </c>
      <c r="D45" s="3545">
        <v>3881</v>
      </c>
    </row>
    <row r="46" spans="2:10">
      <c r="B46" s="3545" t="s">
        <v>3742</v>
      </c>
      <c r="E46" s="3545">
        <v>943</v>
      </c>
    </row>
    <row r="47" spans="2:10">
      <c r="B47" s="3545" t="s">
        <v>3745</v>
      </c>
      <c r="C47" s="3545">
        <v>3945</v>
      </c>
    </row>
    <row r="48" spans="2:10">
      <c r="B48" s="3545" t="s">
        <v>3739</v>
      </c>
      <c r="D48" s="3545">
        <v>3294</v>
      </c>
    </row>
    <row r="49" spans="2:5">
      <c r="B49" s="3545" t="s">
        <v>3742</v>
      </c>
      <c r="E49" s="3545">
        <v>651</v>
      </c>
    </row>
    <row r="50" spans="2:5">
      <c r="B50" s="3545" t="s">
        <v>3746</v>
      </c>
      <c r="C50" s="3545">
        <v>5571</v>
      </c>
    </row>
    <row r="51" spans="2:5">
      <c r="B51" s="3545" t="s">
        <v>3739</v>
      </c>
      <c r="D51" s="3545">
        <v>4506</v>
      </c>
    </row>
    <row r="52" spans="2:5">
      <c r="B52" s="3545" t="s">
        <v>3742</v>
      </c>
      <c r="E52" s="3545">
        <v>617</v>
      </c>
    </row>
    <row r="53" spans="2:5">
      <c r="B53" s="3545" t="s">
        <v>3740</v>
      </c>
      <c r="E53" s="3545">
        <v>448</v>
      </c>
    </row>
    <row r="54" spans="2:5">
      <c r="B54" s="3545" t="s">
        <v>3747</v>
      </c>
      <c r="C54" s="3545">
        <v>10635</v>
      </c>
    </row>
    <row r="55" spans="2:5">
      <c r="B55" s="3545" t="s">
        <v>3748</v>
      </c>
      <c r="D55" s="3545">
        <v>7781</v>
      </c>
    </row>
    <row r="56" spans="2:5">
      <c r="B56" s="3545" t="s">
        <v>3749</v>
      </c>
      <c r="D56" s="3545">
        <v>12</v>
      </c>
    </row>
    <row r="57" spans="2:5">
      <c r="B57" s="3545" t="s">
        <v>3740</v>
      </c>
      <c r="E57" s="3545">
        <v>1096</v>
      </c>
    </row>
    <row r="58" spans="2:5">
      <c r="B58" s="3545" t="s">
        <v>3742</v>
      </c>
      <c r="E58" s="3545">
        <v>1661</v>
      </c>
    </row>
    <row r="59" spans="2:5" ht="27.6">
      <c r="B59" s="3545" t="s">
        <v>3750</v>
      </c>
      <c r="D59" s="3545">
        <v>85</v>
      </c>
    </row>
    <row r="60" spans="2:5">
      <c r="B60" s="3545" t="s">
        <v>3752</v>
      </c>
      <c r="C60" s="3545">
        <v>4087</v>
      </c>
    </row>
    <row r="61" spans="2:5">
      <c r="B61" s="3545" t="s">
        <v>3748</v>
      </c>
      <c r="D61" s="3545">
        <v>2945</v>
      </c>
    </row>
    <row r="62" spans="2:5">
      <c r="B62" s="3545" t="s">
        <v>3753</v>
      </c>
      <c r="E62" s="3545">
        <v>416</v>
      </c>
    </row>
    <row r="63" spans="2:5">
      <c r="B63" s="3545" t="s">
        <v>3742</v>
      </c>
      <c r="E63" s="3545">
        <v>621</v>
      </c>
    </row>
    <row r="64" spans="2:5" ht="27.6">
      <c r="B64" s="3545" t="s">
        <v>3750</v>
      </c>
      <c r="D64" s="3545">
        <v>105</v>
      </c>
    </row>
    <row r="65" spans="2:5">
      <c r="B65" s="3545" t="s">
        <v>3754</v>
      </c>
      <c r="C65" s="3545">
        <v>5716</v>
      </c>
    </row>
    <row r="66" spans="2:5">
      <c r="B66" s="3545" t="s">
        <v>3748</v>
      </c>
      <c r="D66" s="3545">
        <v>4044</v>
      </c>
    </row>
    <row r="67" spans="2:5">
      <c r="B67" s="3545" t="s">
        <v>3755</v>
      </c>
      <c r="E67" s="3545">
        <v>711</v>
      </c>
    </row>
    <row r="68" spans="2:5">
      <c r="B68" s="3545" t="s">
        <v>3742</v>
      </c>
      <c r="E68" s="3545">
        <v>961</v>
      </c>
    </row>
    <row r="69" spans="2:5">
      <c r="B69" s="3545" t="s">
        <v>3756</v>
      </c>
      <c r="C69" s="3545">
        <v>3893</v>
      </c>
    </row>
    <row r="70" spans="2:5">
      <c r="B70" s="3545" t="s">
        <v>3748</v>
      </c>
      <c r="D70" s="3545">
        <v>2312</v>
      </c>
    </row>
    <row r="71" spans="2:5">
      <c r="B71" s="3545" t="s">
        <v>3755</v>
      </c>
      <c r="E71" s="3545">
        <v>451</v>
      </c>
    </row>
    <row r="72" spans="2:5">
      <c r="B72" s="3545" t="s">
        <v>3742</v>
      </c>
      <c r="E72" s="3545">
        <v>815</v>
      </c>
    </row>
    <row r="73" spans="2:5" ht="27.6">
      <c r="B73" s="3545" t="s">
        <v>3750</v>
      </c>
      <c r="D73" s="3545">
        <v>315</v>
      </c>
    </row>
    <row r="74" spans="2:5">
      <c r="B74" s="3545" t="s">
        <v>3757</v>
      </c>
      <c r="C74" s="3545">
        <v>6107</v>
      </c>
    </row>
    <row r="75" spans="2:5">
      <c r="B75" s="3545" t="s">
        <v>3748</v>
      </c>
      <c r="D75" s="3545">
        <v>4747</v>
      </c>
    </row>
    <row r="76" spans="2:5">
      <c r="B76" s="3545" t="s">
        <v>3758</v>
      </c>
      <c r="D76" s="3545">
        <v>502</v>
      </c>
    </row>
    <row r="77" spans="2:5">
      <c r="B77" s="3545" t="s">
        <v>3759</v>
      </c>
      <c r="E77" s="3545">
        <v>858</v>
      </c>
    </row>
    <row r="78" spans="2:5">
      <c r="B78" s="3545" t="s">
        <v>3760</v>
      </c>
      <c r="C78" s="3545">
        <v>8599</v>
      </c>
    </row>
    <row r="79" spans="2:5">
      <c r="B79" s="3545" t="s">
        <v>3748</v>
      </c>
      <c r="D79" s="3545">
        <v>6163</v>
      </c>
    </row>
    <row r="80" spans="2:5">
      <c r="B80" s="3545" t="s">
        <v>3749</v>
      </c>
      <c r="D80" s="3545">
        <v>12</v>
      </c>
    </row>
    <row r="81" spans="2:5">
      <c r="B81" s="3545" t="s">
        <v>3740</v>
      </c>
      <c r="E81" s="3545">
        <v>425</v>
      </c>
    </row>
    <row r="82" spans="2:5">
      <c r="B82" s="3545" t="s">
        <v>3753</v>
      </c>
      <c r="E82" s="3545">
        <v>447</v>
      </c>
    </row>
    <row r="83" spans="2:5">
      <c r="B83" s="3545" t="s">
        <v>3742</v>
      </c>
      <c r="E83" s="3545">
        <v>1362</v>
      </c>
    </row>
    <row r="84" spans="2:5" ht="27.6">
      <c r="B84" s="3545" t="s">
        <v>3750</v>
      </c>
      <c r="D84" s="3545">
        <v>190</v>
      </c>
    </row>
    <row r="85" spans="2:5">
      <c r="B85" s="3545" t="s">
        <v>3761</v>
      </c>
      <c r="C85" s="3545">
        <v>10292</v>
      </c>
    </row>
    <row r="86" spans="2:5">
      <c r="B86" s="3545" t="s">
        <v>3748</v>
      </c>
      <c r="D86" s="3545">
        <v>7930</v>
      </c>
    </row>
    <row r="87" spans="2:5">
      <c r="B87" s="3545" t="s">
        <v>3758</v>
      </c>
      <c r="D87" s="3545">
        <v>438</v>
      </c>
    </row>
    <row r="88" spans="2:5">
      <c r="B88" s="3545" t="s">
        <v>3749</v>
      </c>
      <c r="E88" s="3545">
        <v>70</v>
      </c>
    </row>
    <row r="89" spans="2:5">
      <c r="B89" s="3545" t="s">
        <v>3753</v>
      </c>
      <c r="E89" s="3545">
        <v>629</v>
      </c>
    </row>
    <row r="90" spans="2:5">
      <c r="B90" s="3545" t="s">
        <v>3755</v>
      </c>
      <c r="E90" s="3545">
        <v>519</v>
      </c>
    </row>
    <row r="91" spans="2:5">
      <c r="B91" s="3545" t="s">
        <v>3742</v>
      </c>
      <c r="E91" s="3545">
        <v>706</v>
      </c>
    </row>
    <row r="92" spans="2:5">
      <c r="B92" s="3545" t="s">
        <v>3762</v>
      </c>
      <c r="C92" s="3545">
        <v>6553</v>
      </c>
    </row>
    <row r="93" spans="2:5">
      <c r="B93" s="3545" t="s">
        <v>3748</v>
      </c>
      <c r="D93" s="3545">
        <v>5252</v>
      </c>
    </row>
    <row r="94" spans="2:5">
      <c r="B94" s="3545" t="s">
        <v>3740</v>
      </c>
      <c r="E94" s="3545">
        <v>628</v>
      </c>
    </row>
    <row r="95" spans="2:5">
      <c r="B95" s="3545" t="s">
        <v>3742</v>
      </c>
      <c r="E95" s="3545">
        <v>673</v>
      </c>
    </row>
    <row r="96" spans="2:5">
      <c r="B96" s="3545" t="s">
        <v>3763</v>
      </c>
      <c r="C96" s="3545">
        <v>7156</v>
      </c>
    </row>
    <row r="97" spans="2:5">
      <c r="B97" s="3545" t="s">
        <v>3748</v>
      </c>
      <c r="D97" s="3545">
        <v>6015</v>
      </c>
    </row>
    <row r="98" spans="2:5">
      <c r="B98" s="3545" t="s">
        <v>3758</v>
      </c>
      <c r="D98" s="3545">
        <v>502</v>
      </c>
    </row>
    <row r="99" spans="2:5">
      <c r="B99" s="3545" t="s">
        <v>3742</v>
      </c>
      <c r="E99" s="3545">
        <v>639</v>
      </c>
    </row>
    <row r="100" spans="2:5">
      <c r="B100" s="3545" t="s">
        <v>3764</v>
      </c>
      <c r="C100" s="3545">
        <v>9373</v>
      </c>
    </row>
    <row r="101" spans="2:5">
      <c r="B101" s="3545" t="s">
        <v>3748</v>
      </c>
      <c r="D101" s="3545">
        <v>7538</v>
      </c>
    </row>
    <row r="102" spans="2:5">
      <c r="B102" s="3545" t="s">
        <v>3749</v>
      </c>
      <c r="D102" s="3545">
        <v>12</v>
      </c>
    </row>
    <row r="103" spans="2:5">
      <c r="B103" s="3545" t="s">
        <v>3740</v>
      </c>
      <c r="E103" s="3545">
        <v>862</v>
      </c>
    </row>
    <row r="104" spans="2:5">
      <c r="B104" s="3545" t="s">
        <v>3742</v>
      </c>
      <c r="E104" s="3545">
        <v>876</v>
      </c>
    </row>
    <row r="105" spans="2:5" ht="27.6">
      <c r="B105" s="3545" t="s">
        <v>3750</v>
      </c>
      <c r="D105" s="3545">
        <v>85</v>
      </c>
    </row>
    <row r="106" spans="2:5">
      <c r="B106" s="3545" t="s">
        <v>3765</v>
      </c>
      <c r="C106" s="3545">
        <v>13757</v>
      </c>
    </row>
    <row r="107" spans="2:5">
      <c r="B107" s="3545" t="s">
        <v>3748</v>
      </c>
      <c r="D107" s="3545">
        <v>10746</v>
      </c>
    </row>
    <row r="108" spans="2:5">
      <c r="B108" s="3545" t="s">
        <v>3758</v>
      </c>
      <c r="D108" s="3545">
        <v>604</v>
      </c>
    </row>
    <row r="109" spans="2:5">
      <c r="B109" s="3545" t="s">
        <v>3740</v>
      </c>
      <c r="E109" s="3545">
        <v>588</v>
      </c>
    </row>
    <row r="110" spans="2:5">
      <c r="B110" s="3545" t="s">
        <v>3755</v>
      </c>
      <c r="E110" s="3545">
        <v>1078</v>
      </c>
    </row>
    <row r="111" spans="2:5">
      <c r="B111" s="3545" t="s">
        <v>3742</v>
      </c>
      <c r="E111" s="3545">
        <v>729</v>
      </c>
    </row>
    <row r="112" spans="2:5">
      <c r="B112" s="3545" t="s">
        <v>3766</v>
      </c>
      <c r="D112" s="3545">
        <v>12</v>
      </c>
    </row>
    <row r="113" spans="2:5">
      <c r="B113" s="3545" t="s">
        <v>3767</v>
      </c>
      <c r="C113" s="3545">
        <v>7267</v>
      </c>
    </row>
    <row r="114" spans="2:5">
      <c r="B114" s="3545" t="s">
        <v>3748</v>
      </c>
      <c r="D114" s="3545">
        <v>5888</v>
      </c>
    </row>
    <row r="115" spans="2:5">
      <c r="B115" s="3545" t="s">
        <v>3753</v>
      </c>
      <c r="E115" s="3545">
        <v>629</v>
      </c>
    </row>
    <row r="116" spans="2:5">
      <c r="B116" s="3545" t="s">
        <v>3742</v>
      </c>
      <c r="E116" s="3545">
        <v>750</v>
      </c>
    </row>
    <row r="117" spans="2:5">
      <c r="B117" s="3545" t="s">
        <v>3768</v>
      </c>
      <c r="C117" s="3545">
        <v>791</v>
      </c>
    </row>
    <row r="118" spans="2:5">
      <c r="B118" s="3545" t="s">
        <v>3758</v>
      </c>
      <c r="D118" s="3545">
        <v>766</v>
      </c>
    </row>
    <row r="119" spans="2:5">
      <c r="B119" s="3545" t="s">
        <v>3749</v>
      </c>
      <c r="D119" s="3545">
        <v>25</v>
      </c>
    </row>
    <row r="120" spans="2:5">
      <c r="B120" s="3545" t="s">
        <v>3769</v>
      </c>
      <c r="C120" s="3545">
        <v>17477</v>
      </c>
    </row>
    <row r="121" spans="2:5" ht="27.6">
      <c r="B121" s="3545" t="s">
        <v>3770</v>
      </c>
      <c r="D121" s="3545">
        <v>428.71</v>
      </c>
    </row>
    <row r="122" spans="2:5">
      <c r="B122" s="3545" t="s">
        <v>3771</v>
      </c>
      <c r="E122" s="3545">
        <v>10279.290000000001</v>
      </c>
    </row>
    <row r="123" spans="2:5">
      <c r="B123" s="3545" t="s">
        <v>3772</v>
      </c>
      <c r="E123" s="3545">
        <v>2253</v>
      </c>
    </row>
    <row r="124" spans="2:5">
      <c r="B124" s="3545" t="s">
        <v>3766</v>
      </c>
      <c r="D124" s="3545">
        <v>97.29</v>
      </c>
      <c r="E124" s="3545">
        <v>4418.71</v>
      </c>
    </row>
    <row r="125" spans="2:5">
      <c r="B125" s="3545" t="s">
        <v>3773</v>
      </c>
      <c r="C125" s="3545">
        <v>9337</v>
      </c>
    </row>
    <row r="126" spans="2:5" ht="27.6">
      <c r="B126" s="3545" t="s">
        <v>3770</v>
      </c>
      <c r="D126" s="3545">
        <v>201</v>
      </c>
    </row>
    <row r="127" spans="2:5">
      <c r="B127" s="3545" t="s">
        <v>3771</v>
      </c>
      <c r="E127" s="3545">
        <v>8846</v>
      </c>
    </row>
    <row r="128" spans="2:5">
      <c r="B128" s="3545" t="s">
        <v>3772</v>
      </c>
      <c r="E128" s="3545">
        <v>290</v>
      </c>
    </row>
    <row r="129" spans="2:5">
      <c r="B129" s="3545" t="s">
        <v>3774</v>
      </c>
      <c r="C129" s="3545">
        <v>535</v>
      </c>
    </row>
    <row r="130" spans="2:5">
      <c r="B130" s="3545" t="s">
        <v>3758</v>
      </c>
      <c r="D130" s="3545">
        <v>535</v>
      </c>
    </row>
    <row r="131" spans="2:5">
      <c r="B131" s="3545" t="s">
        <v>3775</v>
      </c>
      <c r="C131" s="3545">
        <v>10785.5</v>
      </c>
    </row>
    <row r="132" spans="2:5" ht="27.6">
      <c r="B132" s="3545" t="s">
        <v>3770</v>
      </c>
      <c r="D132" s="3545">
        <v>291</v>
      </c>
    </row>
    <row r="133" spans="2:5">
      <c r="B133" s="3545" t="s">
        <v>3771</v>
      </c>
      <c r="E133" s="3545">
        <v>9073.5</v>
      </c>
    </row>
    <row r="134" spans="2:5">
      <c r="B134" s="3545" t="s">
        <v>3772</v>
      </c>
      <c r="E134" s="3545">
        <v>1421</v>
      </c>
    </row>
    <row r="135" spans="2:5">
      <c r="B135" s="3545" t="s">
        <v>3776</v>
      </c>
      <c r="C135" s="3545">
        <v>240</v>
      </c>
    </row>
    <row r="136" spans="2:5">
      <c r="B136" s="3545" t="s">
        <v>3758</v>
      </c>
      <c r="D136" s="3545">
        <v>240</v>
      </c>
    </row>
    <row r="137" spans="2:5">
      <c r="B137" s="3545" t="s">
        <v>3777</v>
      </c>
      <c r="C137" s="3545">
        <v>10007</v>
      </c>
    </row>
    <row r="138" spans="2:5" ht="27.6">
      <c r="B138" s="3545" t="s">
        <v>3770</v>
      </c>
      <c r="D138" s="3545">
        <v>246.34</v>
      </c>
    </row>
    <row r="139" spans="2:5">
      <c r="B139" s="3545" t="s">
        <v>3771</v>
      </c>
      <c r="E139" s="3545">
        <v>5243.66</v>
      </c>
    </row>
    <row r="140" spans="2:5">
      <c r="B140" s="3545" t="s">
        <v>3772</v>
      </c>
      <c r="E140" s="3545">
        <v>379</v>
      </c>
    </row>
    <row r="141" spans="2:5">
      <c r="B141" s="3545" t="s">
        <v>3766</v>
      </c>
      <c r="D141" s="3545">
        <v>56.66</v>
      </c>
      <c r="E141" s="3545">
        <v>4081.34</v>
      </c>
    </row>
    <row r="142" spans="2:5">
      <c r="B142" s="3545" t="s">
        <v>3778</v>
      </c>
      <c r="C142" s="3545">
        <v>4616</v>
      </c>
    </row>
    <row r="143" spans="2:5">
      <c r="B143" s="3545" t="s">
        <v>3779</v>
      </c>
      <c r="D143" s="3545">
        <v>3998</v>
      </c>
    </row>
    <row r="144" spans="2:5">
      <c r="B144" s="3545" t="s">
        <v>3780</v>
      </c>
      <c r="E144" s="3545">
        <v>618</v>
      </c>
    </row>
    <row r="145" spans="2:5">
      <c r="B145" s="3545" t="s">
        <v>3781</v>
      </c>
      <c r="C145" s="3545">
        <f>SUM(C35:C144)</f>
        <v>175500.5</v>
      </c>
      <c r="D145" s="3545">
        <f t="shared" ref="D145:E145" si="0">SUM(D35:D144)</f>
        <v>105032</v>
      </c>
      <c r="E145" s="3545">
        <f t="shared" si="0"/>
        <v>70468.5</v>
      </c>
    </row>
  </sheetData>
  <mergeCells count="19">
    <mergeCell ref="A2:A11"/>
    <mergeCell ref="F2:F9"/>
    <mergeCell ref="G2:G9"/>
    <mergeCell ref="H2:H9"/>
    <mergeCell ref="E13:E19"/>
    <mergeCell ref="F13:F19"/>
    <mergeCell ref="G13:G19"/>
    <mergeCell ref="H13:H19"/>
    <mergeCell ref="E2:E9"/>
    <mergeCell ref="G32:J32"/>
    <mergeCell ref="G33:G34"/>
    <mergeCell ref="H33:H34"/>
    <mergeCell ref="I33:J33"/>
    <mergeCell ref="A13:A20"/>
    <mergeCell ref="A22:A26"/>
    <mergeCell ref="C33:C34"/>
    <mergeCell ref="D33:E33"/>
    <mergeCell ref="B32:E32"/>
    <mergeCell ref="B33:B34"/>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0"/>
  <sheetViews>
    <sheetView topLeftCell="M1" workbookViewId="0">
      <selection activeCell="Q29" sqref="Q29"/>
    </sheetView>
  </sheetViews>
  <sheetFormatPr defaultColWidth="8.77734375" defaultRowHeight="20.55" customHeight="1"/>
  <cols>
    <col min="1" max="1" width="20" customWidth="1"/>
    <col min="4" max="4" width="15" customWidth="1"/>
    <col min="11" max="11" width="31.33203125" customWidth="1"/>
    <col min="12" max="12" width="90.44140625" customWidth="1"/>
    <col min="17" max="17" width="40.33203125" customWidth="1"/>
  </cols>
  <sheetData>
    <row r="2" spans="1:24" ht="20.55" customHeight="1" thickBot="1">
      <c r="A2" s="4013" t="s">
        <v>3424</v>
      </c>
      <c r="B2" s="4014"/>
      <c r="C2" s="4014"/>
      <c r="D2" s="4014"/>
      <c r="E2" s="4014"/>
      <c r="F2" s="4014"/>
      <c r="G2" s="4014"/>
      <c r="J2" s="3466" t="s">
        <v>3425</v>
      </c>
      <c r="P2" s="3446" t="s">
        <v>3446</v>
      </c>
    </row>
    <row r="3" spans="1:24" ht="20.55" customHeight="1" thickBot="1">
      <c r="A3" s="4027" t="s">
        <v>3385</v>
      </c>
      <c r="B3" s="4029" t="s">
        <v>3386</v>
      </c>
      <c r="C3" s="4030"/>
      <c r="D3" s="4031"/>
      <c r="E3" s="4035" t="s">
        <v>3387</v>
      </c>
      <c r="F3" s="4036"/>
      <c r="G3" s="4037"/>
      <c r="H3" s="3447"/>
      <c r="J3" s="4005" t="s">
        <v>3385</v>
      </c>
      <c r="K3" s="4005" t="s">
        <v>3426</v>
      </c>
      <c r="L3" s="4005" t="s">
        <v>3427</v>
      </c>
      <c r="M3" s="3467" t="s">
        <v>3428</v>
      </c>
      <c r="P3" s="3991" t="s">
        <v>3385</v>
      </c>
      <c r="Q3" s="3991" t="s">
        <v>3386</v>
      </c>
      <c r="R3" s="3478" t="s">
        <v>3447</v>
      </c>
      <c r="S3" s="3478" t="s">
        <v>3450</v>
      </c>
      <c r="T3" s="3994" t="s">
        <v>3451</v>
      </c>
      <c r="U3" s="3995"/>
      <c r="V3" s="3994" t="s">
        <v>3452</v>
      </c>
      <c r="W3" s="3995"/>
      <c r="X3" s="3998" t="s">
        <v>3453</v>
      </c>
    </row>
    <row r="4" spans="1:24" ht="20.55" customHeight="1" thickBot="1">
      <c r="A4" s="4028"/>
      <c r="B4" s="4032"/>
      <c r="C4" s="4033"/>
      <c r="D4" s="4034"/>
      <c r="E4" s="3448" t="s">
        <v>3388</v>
      </c>
      <c r="F4" s="3448" t="s">
        <v>3389</v>
      </c>
      <c r="G4" s="3448" t="s">
        <v>3390</v>
      </c>
      <c r="H4" s="3447"/>
      <c r="J4" s="4006"/>
      <c r="K4" s="4006"/>
      <c r="L4" s="4006"/>
      <c r="M4" s="3468" t="s">
        <v>3429</v>
      </c>
      <c r="P4" s="3992"/>
      <c r="Q4" s="3992"/>
      <c r="R4" s="3479" t="s">
        <v>3448</v>
      </c>
      <c r="S4" s="3480" t="s">
        <v>3449</v>
      </c>
      <c r="T4" s="3996"/>
      <c r="U4" s="3997"/>
      <c r="V4" s="3996"/>
      <c r="W4" s="3997"/>
      <c r="X4" s="3999"/>
    </row>
    <row r="5" spans="1:24" ht="20.55" customHeight="1" thickBot="1">
      <c r="A5" s="4015">
        <v>1</v>
      </c>
      <c r="B5" s="3449" t="s">
        <v>3391</v>
      </c>
      <c r="C5" s="4007" t="s">
        <v>3394</v>
      </c>
      <c r="D5" s="4009"/>
      <c r="E5" s="3453">
        <v>97.62</v>
      </c>
      <c r="F5" s="3453">
        <v>97.62</v>
      </c>
      <c r="G5" s="3454"/>
      <c r="H5" s="3447"/>
      <c r="J5" s="3469">
        <v>1</v>
      </c>
      <c r="K5" s="3470" t="s">
        <v>3430</v>
      </c>
      <c r="L5" s="3470" t="s">
        <v>3431</v>
      </c>
      <c r="M5" s="3471">
        <v>296.27999999999997</v>
      </c>
      <c r="P5" s="3992"/>
      <c r="Q5" s="3992"/>
      <c r="R5" s="3480" t="s">
        <v>3449</v>
      </c>
      <c r="S5" s="3482"/>
      <c r="T5" s="3991" t="s">
        <v>3454</v>
      </c>
      <c r="U5" s="3479" t="s">
        <v>3455</v>
      </c>
      <c r="V5" s="3991" t="s">
        <v>3454</v>
      </c>
      <c r="W5" s="3479" t="s">
        <v>3455</v>
      </c>
      <c r="X5" s="3999"/>
    </row>
    <row r="6" spans="1:24" ht="20.55" customHeight="1" thickBot="1">
      <c r="A6" s="4016"/>
      <c r="B6" s="3449" t="s">
        <v>3392</v>
      </c>
      <c r="C6" s="4038" t="s">
        <v>3395</v>
      </c>
      <c r="D6" s="3455" t="s">
        <v>3396</v>
      </c>
      <c r="E6" s="3453">
        <v>11.13</v>
      </c>
      <c r="F6" s="3453">
        <v>0.17</v>
      </c>
      <c r="G6" s="3453">
        <v>10.96</v>
      </c>
      <c r="H6" s="3447"/>
      <c r="J6" s="4001">
        <v>2</v>
      </c>
      <c r="K6" s="4003" t="s">
        <v>3432</v>
      </c>
      <c r="L6" s="3472" t="s">
        <v>3433</v>
      </c>
      <c r="M6" s="4001">
        <v>1.78</v>
      </c>
      <c r="P6" s="3993"/>
      <c r="Q6" s="3993"/>
      <c r="R6" s="3481"/>
      <c r="S6" s="3481"/>
      <c r="T6" s="3993"/>
      <c r="U6" s="3483" t="s">
        <v>3456</v>
      </c>
      <c r="V6" s="3993"/>
      <c r="W6" s="3483" t="s">
        <v>3456</v>
      </c>
      <c r="X6" s="4000"/>
    </row>
    <row r="7" spans="1:24" ht="20.55" customHeight="1" thickBot="1">
      <c r="A7" s="4016"/>
      <c r="B7" s="3450" t="s">
        <v>3393</v>
      </c>
      <c r="C7" s="4039"/>
      <c r="D7" s="3455" t="s">
        <v>3397</v>
      </c>
      <c r="E7" s="3453">
        <v>12.28</v>
      </c>
      <c r="F7" s="3454"/>
      <c r="G7" s="3453">
        <v>12.28</v>
      </c>
      <c r="H7" s="3447"/>
      <c r="J7" s="4002"/>
      <c r="K7" s="4004"/>
      <c r="L7" s="3473" t="s">
        <v>3434</v>
      </c>
      <c r="M7" s="4002"/>
      <c r="P7" s="3484" t="s">
        <v>3457</v>
      </c>
      <c r="Q7" s="3485" t="s">
        <v>3458</v>
      </c>
      <c r="R7" s="3486">
        <v>226.39</v>
      </c>
      <c r="S7" s="3486">
        <v>225.63</v>
      </c>
      <c r="T7" s="3487"/>
      <c r="U7" s="3486">
        <v>83.99</v>
      </c>
      <c r="V7" s="3487"/>
      <c r="W7" s="3486">
        <v>83.57</v>
      </c>
      <c r="X7" s="3486">
        <v>-0.42</v>
      </c>
    </row>
    <row r="8" spans="1:24" ht="20.55" customHeight="1" thickBot="1">
      <c r="A8" s="4016"/>
      <c r="B8" s="3451"/>
      <c r="C8" s="4007" t="s">
        <v>3398</v>
      </c>
      <c r="D8" s="4009"/>
      <c r="E8" s="3453">
        <v>33.06</v>
      </c>
      <c r="F8" s="3453">
        <v>0.38</v>
      </c>
      <c r="G8" s="3453">
        <v>32.68</v>
      </c>
      <c r="H8" s="3447"/>
      <c r="J8" s="4001">
        <v>3</v>
      </c>
      <c r="K8" s="4003" t="s">
        <v>3435</v>
      </c>
      <c r="L8" s="4003" t="s">
        <v>3436</v>
      </c>
      <c r="M8" s="3474">
        <v>1.54</v>
      </c>
      <c r="P8" s="3488">
        <v>1</v>
      </c>
      <c r="Q8" s="3489" t="s">
        <v>3459</v>
      </c>
      <c r="R8" s="3487"/>
      <c r="S8" s="3487"/>
      <c r="T8" s="3487"/>
      <c r="U8" s="3550">
        <v>35.43</v>
      </c>
      <c r="V8" s="3487"/>
      <c r="W8" s="3486">
        <v>35.630000000000003</v>
      </c>
      <c r="X8" s="3486">
        <v>0.2</v>
      </c>
    </row>
    <row r="9" spans="1:24" ht="20.55" customHeight="1" thickBot="1">
      <c r="A9" s="4017"/>
      <c r="B9" s="3452"/>
      <c r="C9" s="4007" t="s">
        <v>3399</v>
      </c>
      <c r="D9" s="4009"/>
      <c r="E9" s="3453">
        <v>16.14</v>
      </c>
      <c r="F9" s="3454"/>
      <c r="G9" s="3453">
        <v>16.14</v>
      </c>
      <c r="H9" s="3447"/>
      <c r="J9" s="4002"/>
      <c r="K9" s="4004"/>
      <c r="L9" s="4004"/>
      <c r="M9" s="3475" t="s">
        <v>3437</v>
      </c>
      <c r="P9" s="3488">
        <v>2</v>
      </c>
      <c r="Q9" s="3489" t="s">
        <v>3460</v>
      </c>
      <c r="R9" s="3487"/>
      <c r="S9" s="3487"/>
      <c r="T9" s="3487"/>
      <c r="U9" s="3486">
        <v>38.520000000000003</v>
      </c>
      <c r="V9" s="3487"/>
      <c r="W9" s="3486">
        <v>38.520000000000003</v>
      </c>
      <c r="X9" s="3487"/>
    </row>
    <row r="10" spans="1:24" ht="20.55" customHeight="1" thickBot="1">
      <c r="A10" s="4020">
        <v>2</v>
      </c>
      <c r="B10" s="3459" t="s">
        <v>3400</v>
      </c>
      <c r="C10" s="4022" t="s">
        <v>3400</v>
      </c>
      <c r="D10" s="4023"/>
      <c r="E10" s="3460">
        <v>2.39</v>
      </c>
      <c r="F10" s="3460">
        <v>2.39</v>
      </c>
      <c r="G10" s="3461"/>
      <c r="H10" s="3447"/>
      <c r="J10" s="4001">
        <v>4</v>
      </c>
      <c r="K10" s="4003" t="s">
        <v>3438</v>
      </c>
      <c r="L10" s="3472" t="s">
        <v>3439</v>
      </c>
      <c r="M10" s="3474">
        <v>4.2</v>
      </c>
      <c r="P10" s="3488">
        <v>3</v>
      </c>
      <c r="Q10" s="3489" t="s">
        <v>3461</v>
      </c>
      <c r="R10" s="3487"/>
      <c r="S10" s="3487"/>
      <c r="T10" s="3487"/>
      <c r="U10" s="3486">
        <v>7.55</v>
      </c>
      <c r="V10" s="3487"/>
      <c r="W10" s="3486">
        <v>9.14</v>
      </c>
      <c r="X10" s="3486">
        <v>1.59</v>
      </c>
    </row>
    <row r="11" spans="1:24" ht="20.55" customHeight="1" thickBot="1">
      <c r="A11" s="4040"/>
      <c r="B11" s="3462" t="s">
        <v>3401</v>
      </c>
      <c r="C11" s="4041" t="s">
        <v>3402</v>
      </c>
      <c r="D11" s="4041" t="s">
        <v>3403</v>
      </c>
      <c r="E11" s="4020">
        <v>0.45</v>
      </c>
      <c r="F11" s="4020">
        <v>0.01</v>
      </c>
      <c r="G11" s="4020">
        <v>0.44</v>
      </c>
      <c r="H11" s="3447"/>
      <c r="J11" s="4002"/>
      <c r="K11" s="4004"/>
      <c r="L11" s="3473" t="s">
        <v>3440</v>
      </c>
      <c r="M11" s="3475" t="s">
        <v>3437</v>
      </c>
      <c r="P11" s="3488">
        <v>4</v>
      </c>
      <c r="Q11" s="3489" t="s">
        <v>3462</v>
      </c>
      <c r="R11" s="3487"/>
      <c r="S11" s="3487"/>
      <c r="T11" s="3487"/>
      <c r="U11" s="3486">
        <v>2.4900000000000002</v>
      </c>
      <c r="V11" s="3487"/>
      <c r="W11" s="3486">
        <v>0.28000000000000003</v>
      </c>
      <c r="X11" s="3486">
        <v>-2.21</v>
      </c>
    </row>
    <row r="12" spans="1:24" ht="20.55" customHeight="1" thickBot="1">
      <c r="A12" s="4040"/>
      <c r="B12" s="3463"/>
      <c r="C12" s="4042"/>
      <c r="D12" s="4043"/>
      <c r="E12" s="4021"/>
      <c r="F12" s="4021"/>
      <c r="G12" s="4021"/>
      <c r="H12" s="3447"/>
      <c r="J12" s="3469">
        <v>5</v>
      </c>
      <c r="K12" s="3470" t="s">
        <v>3441</v>
      </c>
      <c r="L12" s="3470" t="s">
        <v>3442</v>
      </c>
      <c r="M12" s="3471">
        <v>0.1</v>
      </c>
      <c r="P12" s="3490" t="s">
        <v>3463</v>
      </c>
      <c r="Q12" s="3485" t="s">
        <v>3464</v>
      </c>
      <c r="R12" s="3486">
        <v>226.39</v>
      </c>
      <c r="S12" s="3486">
        <v>225.63</v>
      </c>
      <c r="T12" s="3487"/>
      <c r="U12" s="3486">
        <v>6.26</v>
      </c>
      <c r="V12" s="3487"/>
      <c r="W12" s="3486">
        <v>4.59</v>
      </c>
      <c r="X12" s="3486">
        <v>-1.67</v>
      </c>
    </row>
    <row r="13" spans="1:24" ht="20.55" customHeight="1" thickBot="1">
      <c r="A13" s="4040"/>
      <c r="B13" s="3463"/>
      <c r="C13" s="4043"/>
      <c r="D13" s="3464" t="s">
        <v>3404</v>
      </c>
      <c r="E13" s="3460">
        <v>0.32</v>
      </c>
      <c r="F13" s="3461"/>
      <c r="G13" s="3460">
        <v>0.32</v>
      </c>
      <c r="H13" s="3447"/>
      <c r="J13" s="3469">
        <v>6</v>
      </c>
      <c r="K13" s="3470" t="s">
        <v>3443</v>
      </c>
      <c r="L13" s="3470" t="s">
        <v>3442</v>
      </c>
      <c r="M13" s="3471">
        <v>0.18</v>
      </c>
      <c r="P13" s="3488">
        <v>1</v>
      </c>
      <c r="Q13" s="3489" t="s">
        <v>3465</v>
      </c>
      <c r="R13" s="3487"/>
      <c r="S13" s="3487"/>
      <c r="T13" s="3487"/>
      <c r="U13" s="3486">
        <v>1.78</v>
      </c>
      <c r="V13" s="3487"/>
      <c r="W13" s="3486">
        <v>1.56</v>
      </c>
      <c r="X13" s="3486">
        <v>-0.22</v>
      </c>
    </row>
    <row r="14" spans="1:24" ht="20.55" customHeight="1" thickBot="1">
      <c r="A14" s="4040"/>
      <c r="B14" s="3463"/>
      <c r="C14" s="4022" t="s">
        <v>3405</v>
      </c>
      <c r="D14" s="4023"/>
      <c r="E14" s="3460">
        <v>1.07</v>
      </c>
      <c r="F14" s="3460">
        <v>0.04</v>
      </c>
      <c r="G14" s="3460">
        <v>1.03</v>
      </c>
      <c r="H14" s="3447"/>
      <c r="J14" s="3469">
        <v>7</v>
      </c>
      <c r="K14" s="3470" t="s">
        <v>3444</v>
      </c>
      <c r="L14" s="3470" t="s">
        <v>3445</v>
      </c>
      <c r="M14" s="3476">
        <v>1</v>
      </c>
      <c r="P14" s="3488">
        <v>2</v>
      </c>
      <c r="Q14" s="3489" t="s">
        <v>3466</v>
      </c>
      <c r="R14" s="3487"/>
      <c r="S14" s="3487"/>
      <c r="T14" s="3487"/>
      <c r="U14" s="3486">
        <v>4.2</v>
      </c>
      <c r="V14" s="3487"/>
      <c r="W14" s="3486">
        <v>2.83</v>
      </c>
      <c r="X14" s="3486">
        <v>-1.37</v>
      </c>
    </row>
    <row r="15" spans="1:24" ht="20.55" customHeight="1" thickBot="1">
      <c r="A15" s="4021"/>
      <c r="B15" s="3465"/>
      <c r="C15" s="4022" t="s">
        <v>3406</v>
      </c>
      <c r="D15" s="4023"/>
      <c r="E15" s="3460">
        <v>0.34</v>
      </c>
      <c r="F15" s="3461"/>
      <c r="G15" s="3460">
        <v>0.34</v>
      </c>
      <c r="H15" s="3447"/>
      <c r="J15" s="3469"/>
      <c r="K15" s="3477" t="s">
        <v>3388</v>
      </c>
      <c r="L15" s="3473"/>
      <c r="M15" s="3476">
        <v>299.33999999999997</v>
      </c>
      <c r="P15" s="3488">
        <v>3</v>
      </c>
      <c r="Q15" s="3489" t="s">
        <v>3467</v>
      </c>
      <c r="R15" s="3487"/>
      <c r="S15" s="3487"/>
      <c r="T15" s="3487"/>
      <c r="U15" s="3486">
        <v>0.28000000000000003</v>
      </c>
      <c r="V15" s="3487"/>
      <c r="W15" s="3486">
        <v>0.2</v>
      </c>
      <c r="X15" s="3486">
        <v>-0.08</v>
      </c>
    </row>
    <row r="16" spans="1:24" ht="20.55" customHeight="1" thickBot="1">
      <c r="A16" s="4015">
        <v>3</v>
      </c>
      <c r="B16" s="4024" t="s">
        <v>3407</v>
      </c>
      <c r="C16" s="4007" t="s">
        <v>3408</v>
      </c>
      <c r="D16" s="4009"/>
      <c r="E16" s="3453">
        <v>0.88</v>
      </c>
      <c r="F16" s="3453">
        <v>0.79</v>
      </c>
      <c r="G16" s="3453">
        <v>0.09</v>
      </c>
      <c r="H16" s="3447"/>
      <c r="P16" s="3490" t="s">
        <v>3468</v>
      </c>
      <c r="Q16" s="3485" t="s">
        <v>3469</v>
      </c>
      <c r="R16" s="3486">
        <v>226.39</v>
      </c>
      <c r="S16" s="3486">
        <v>225.63</v>
      </c>
      <c r="T16" s="3486">
        <v>8014</v>
      </c>
      <c r="U16" s="3486">
        <v>181.43</v>
      </c>
      <c r="V16" s="3486">
        <v>7619</v>
      </c>
      <c r="W16" s="3486">
        <v>171.9</v>
      </c>
      <c r="X16" s="3486">
        <v>-9.5299999999999994</v>
      </c>
    </row>
    <row r="17" spans="1:24" ht="20.55" customHeight="1" thickBot="1">
      <c r="A17" s="4016"/>
      <c r="B17" s="4025"/>
      <c r="C17" s="4007" t="s">
        <v>3409</v>
      </c>
      <c r="D17" s="4009"/>
      <c r="E17" s="3453">
        <v>2.06</v>
      </c>
      <c r="F17" s="3453">
        <v>2.06</v>
      </c>
      <c r="G17" s="3454"/>
      <c r="H17" s="3447"/>
      <c r="P17" s="3488">
        <v>1</v>
      </c>
      <c r="Q17" s="3489" t="s">
        <v>3470</v>
      </c>
      <c r="R17" s="3486">
        <v>226.39</v>
      </c>
      <c r="S17" s="3486">
        <v>225.63</v>
      </c>
      <c r="T17" s="3486">
        <v>706</v>
      </c>
      <c r="U17" s="3486">
        <v>15.98</v>
      </c>
      <c r="V17" s="3487"/>
      <c r="W17" s="3487"/>
      <c r="X17" s="3487"/>
    </row>
    <row r="18" spans="1:24" ht="20.55" customHeight="1" thickBot="1">
      <c r="A18" s="4016"/>
      <c r="B18" s="4025"/>
      <c r="C18" s="4007" t="s">
        <v>3410</v>
      </c>
      <c r="D18" s="4009"/>
      <c r="E18" s="3453">
        <v>10.02</v>
      </c>
      <c r="F18" s="3453">
        <v>7.47</v>
      </c>
      <c r="G18" s="3453">
        <v>2.5499999999999998</v>
      </c>
      <c r="H18" s="3447"/>
      <c r="P18" s="3488">
        <v>2</v>
      </c>
      <c r="Q18" s="3489" t="s">
        <v>3471</v>
      </c>
      <c r="R18" s="3486">
        <v>226.39</v>
      </c>
      <c r="S18" s="3486">
        <v>225.63</v>
      </c>
      <c r="T18" s="3486">
        <v>7308</v>
      </c>
      <c r="U18" s="3486">
        <v>165.45</v>
      </c>
      <c r="V18" s="3487"/>
      <c r="W18" s="3487"/>
      <c r="X18" s="3487"/>
    </row>
    <row r="19" spans="1:24" ht="20.55" customHeight="1" thickBot="1">
      <c r="A19" s="4017"/>
      <c r="B19" s="4026"/>
      <c r="C19" s="4007" t="s">
        <v>3411</v>
      </c>
      <c r="D19" s="4009"/>
      <c r="E19" s="3453">
        <v>1.89</v>
      </c>
      <c r="F19" s="3453">
        <v>1.6</v>
      </c>
      <c r="G19" s="3453">
        <v>0.28999999999999998</v>
      </c>
      <c r="H19" s="3447"/>
      <c r="P19" s="3490" t="s">
        <v>3472</v>
      </c>
      <c r="Q19" s="3485" t="s">
        <v>3473</v>
      </c>
      <c r="R19" s="3486">
        <v>226.39</v>
      </c>
      <c r="S19" s="3486">
        <v>225.63</v>
      </c>
      <c r="T19" s="3486">
        <v>401</v>
      </c>
      <c r="U19" s="3486">
        <v>9.07</v>
      </c>
      <c r="V19" s="3486">
        <v>381</v>
      </c>
      <c r="W19" s="3486">
        <v>8.6</v>
      </c>
      <c r="X19" s="3486">
        <v>-0.47</v>
      </c>
    </row>
    <row r="20" spans="1:24" ht="20.55" customHeight="1" thickBot="1">
      <c r="A20" s="3457">
        <v>4</v>
      </c>
      <c r="B20" s="4007" t="s">
        <v>3412</v>
      </c>
      <c r="C20" s="4008"/>
      <c r="D20" s="4009"/>
      <c r="E20" s="3454">
        <v>2.08</v>
      </c>
      <c r="F20" s="3454">
        <v>1.67</v>
      </c>
      <c r="G20" s="3454">
        <v>0.41</v>
      </c>
      <c r="H20" s="3447"/>
      <c r="P20" s="3490" t="s">
        <v>3474</v>
      </c>
      <c r="Q20" s="3485" t="s">
        <v>3475</v>
      </c>
      <c r="R20" s="3486">
        <v>226.39</v>
      </c>
      <c r="S20" s="3486">
        <v>225.63</v>
      </c>
      <c r="T20" s="3486">
        <v>777</v>
      </c>
      <c r="U20" s="3486">
        <v>17.59</v>
      </c>
      <c r="V20" s="3486">
        <v>340</v>
      </c>
      <c r="W20" s="3486">
        <v>7.67</v>
      </c>
      <c r="X20" s="3486">
        <v>-9.92</v>
      </c>
    </row>
    <row r="21" spans="1:24" ht="20.55" customHeight="1" thickBot="1">
      <c r="A21" s="3457">
        <v>5</v>
      </c>
      <c r="B21" s="4007" t="s">
        <v>3413</v>
      </c>
      <c r="C21" s="4008"/>
      <c r="D21" s="4009"/>
      <c r="E21" s="3454">
        <v>1.62</v>
      </c>
      <c r="F21" s="3454">
        <v>1.62</v>
      </c>
      <c r="G21" s="3454"/>
      <c r="H21" s="3447"/>
      <c r="P21" s="3490" t="s">
        <v>3476</v>
      </c>
      <c r="Q21" s="3485" t="s">
        <v>3477</v>
      </c>
      <c r="R21" s="3486">
        <v>226.39</v>
      </c>
      <c r="S21" s="3486">
        <v>225.63</v>
      </c>
      <c r="T21" s="3486"/>
      <c r="U21" s="3486">
        <v>1</v>
      </c>
      <c r="V21" s="3486"/>
      <c r="W21" s="3486">
        <v>1</v>
      </c>
      <c r="X21" s="3486"/>
    </row>
    <row r="22" spans="1:24" ht="20.55" customHeight="1" thickBot="1">
      <c r="A22" s="4015">
        <v>6</v>
      </c>
      <c r="B22" s="3449" t="s">
        <v>673</v>
      </c>
      <c r="C22" s="4007" t="s">
        <v>3416</v>
      </c>
      <c r="D22" s="4009"/>
      <c r="E22" s="3453">
        <v>5.26</v>
      </c>
      <c r="F22" s="3453">
        <v>4.9800000000000004</v>
      </c>
      <c r="G22" s="3453">
        <v>0.28000000000000003</v>
      </c>
      <c r="H22" s="3447"/>
      <c r="P22" s="3491"/>
      <c r="Q22" s="3492" t="s">
        <v>3388</v>
      </c>
      <c r="R22" s="3493">
        <v>226.39</v>
      </c>
      <c r="S22" s="3493">
        <v>225.63</v>
      </c>
      <c r="T22" s="3493">
        <v>13178</v>
      </c>
      <c r="U22" s="3493">
        <v>299.33999999999997</v>
      </c>
      <c r="V22" s="3493">
        <v>12262</v>
      </c>
      <c r="W22" s="3493">
        <v>277.33</v>
      </c>
      <c r="X22" s="3493">
        <v>-22.01</v>
      </c>
    </row>
    <row r="23" spans="1:24" ht="20.55" customHeight="1" thickBot="1">
      <c r="A23" s="4016"/>
      <c r="B23" s="3449" t="s">
        <v>3414</v>
      </c>
      <c r="C23" s="4018" t="s">
        <v>3417</v>
      </c>
      <c r="D23" s="4019"/>
      <c r="E23" s="3454">
        <v>4.5</v>
      </c>
      <c r="F23" s="3453">
        <v>2.89</v>
      </c>
      <c r="G23" s="3454">
        <v>1.61</v>
      </c>
      <c r="H23" s="3447"/>
    </row>
    <row r="24" spans="1:24" ht="20.55" customHeight="1" thickBot="1">
      <c r="A24" s="4016"/>
      <c r="B24" s="3456" t="s">
        <v>3415</v>
      </c>
      <c r="C24" s="4007" t="s">
        <v>3418</v>
      </c>
      <c r="D24" s="4009"/>
      <c r="E24" s="3453">
        <v>14.68</v>
      </c>
      <c r="F24" s="3454">
        <v>12.3</v>
      </c>
      <c r="G24" s="3453">
        <v>2.38</v>
      </c>
      <c r="H24" s="3447"/>
    </row>
    <row r="25" spans="1:24" ht="20.55" customHeight="1" thickBot="1">
      <c r="A25" s="4016"/>
      <c r="B25" s="3451"/>
      <c r="C25" s="4007" t="s">
        <v>3419</v>
      </c>
      <c r="D25" s="4009"/>
      <c r="E25" s="3454">
        <v>6.74</v>
      </c>
      <c r="F25" s="3454"/>
      <c r="G25" s="3454">
        <v>6.74</v>
      </c>
      <c r="H25" s="3447"/>
    </row>
    <row r="26" spans="1:24" ht="20.55" customHeight="1" thickBot="1">
      <c r="A26" s="4016"/>
      <c r="B26" s="3451"/>
      <c r="C26" s="4007" t="s">
        <v>3420</v>
      </c>
      <c r="D26" s="4009"/>
      <c r="E26" s="3454">
        <v>0.99</v>
      </c>
      <c r="F26" s="3454">
        <v>0.03</v>
      </c>
      <c r="G26" s="3454">
        <v>0.96</v>
      </c>
      <c r="H26" s="3447"/>
    </row>
    <row r="27" spans="1:24" ht="20.55" customHeight="1" thickBot="1">
      <c r="A27" s="4017"/>
      <c r="B27" s="3452"/>
      <c r="C27" s="4018" t="s">
        <v>3421</v>
      </c>
      <c r="D27" s="4019"/>
      <c r="E27" s="3454"/>
      <c r="F27" s="3454"/>
      <c r="G27" s="3454"/>
      <c r="H27" s="3447"/>
    </row>
    <row r="28" spans="1:24" ht="20.55" customHeight="1" thickBot="1">
      <c r="A28" s="3457">
        <v>7</v>
      </c>
      <c r="B28" s="4007" t="s">
        <v>3422</v>
      </c>
      <c r="C28" s="4008"/>
      <c r="D28" s="4009"/>
      <c r="E28" s="3454">
        <v>0.02</v>
      </c>
      <c r="F28" s="3454">
        <v>0.02</v>
      </c>
      <c r="G28" s="3454"/>
      <c r="H28" s="3447"/>
    </row>
    <row r="29" spans="1:24" ht="20.55" customHeight="1" thickBot="1">
      <c r="A29" s="3457">
        <v>8</v>
      </c>
      <c r="B29" s="4007" t="s">
        <v>3423</v>
      </c>
      <c r="C29" s="4008"/>
      <c r="D29" s="4009"/>
      <c r="E29" s="3454">
        <v>0.09</v>
      </c>
      <c r="F29" s="3454">
        <v>0.09</v>
      </c>
      <c r="G29" s="3454"/>
      <c r="H29" s="3447"/>
    </row>
    <row r="30" spans="1:24" ht="20.55" customHeight="1" thickBot="1">
      <c r="A30" s="3457">
        <v>9</v>
      </c>
      <c r="B30" s="4010" t="s">
        <v>3388</v>
      </c>
      <c r="C30" s="4011"/>
      <c r="D30" s="4012"/>
      <c r="E30" s="3458">
        <v>225.63</v>
      </c>
      <c r="F30" s="3458">
        <v>136.13</v>
      </c>
      <c r="G30" s="3458">
        <v>89.5</v>
      </c>
      <c r="H30" s="3447"/>
    </row>
  </sheetData>
  <mergeCells count="54">
    <mergeCell ref="F11:F12"/>
    <mergeCell ref="A3:A4"/>
    <mergeCell ref="B3:D4"/>
    <mergeCell ref="E3:G3"/>
    <mergeCell ref="A5:A9"/>
    <mergeCell ref="C5:D5"/>
    <mergeCell ref="C6:C7"/>
    <mergeCell ref="C8:D8"/>
    <mergeCell ref="C9:D9"/>
    <mergeCell ref="A10:A15"/>
    <mergeCell ref="C10:D10"/>
    <mergeCell ref="C11:C13"/>
    <mergeCell ref="D11:D12"/>
    <mergeCell ref="E11:E12"/>
    <mergeCell ref="A16:A19"/>
    <mergeCell ref="B16:B19"/>
    <mergeCell ref="C16:D16"/>
    <mergeCell ref="C17:D17"/>
    <mergeCell ref="C18:D18"/>
    <mergeCell ref="C19:D19"/>
    <mergeCell ref="B28:D28"/>
    <mergeCell ref="B29:D29"/>
    <mergeCell ref="B30:D30"/>
    <mergeCell ref="A2:G2"/>
    <mergeCell ref="B20:D20"/>
    <mergeCell ref="B21:D21"/>
    <mergeCell ref="A22:A27"/>
    <mergeCell ref="C22:D22"/>
    <mergeCell ref="C23:D23"/>
    <mergeCell ref="C24:D24"/>
    <mergeCell ref="C25:D25"/>
    <mergeCell ref="C26:D26"/>
    <mergeCell ref="C27:D27"/>
    <mergeCell ref="G11:G12"/>
    <mergeCell ref="C14:D14"/>
    <mergeCell ref="C15:D15"/>
    <mergeCell ref="J3:J4"/>
    <mergeCell ref="K3:K4"/>
    <mergeCell ref="L3:L4"/>
    <mergeCell ref="J6:J7"/>
    <mergeCell ref="K6:K7"/>
    <mergeCell ref="M6:M7"/>
    <mergeCell ref="J8:J9"/>
    <mergeCell ref="K8:K9"/>
    <mergeCell ref="L8:L9"/>
    <mergeCell ref="J10:J11"/>
    <mergeCell ref="K10:K11"/>
    <mergeCell ref="P3:P6"/>
    <mergeCell ref="Q3:Q6"/>
    <mergeCell ref="T3:U4"/>
    <mergeCell ref="V3:W4"/>
    <mergeCell ref="X3:X6"/>
    <mergeCell ref="T5:T6"/>
    <mergeCell ref="V5:V6"/>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09375" defaultRowHeight="19.5" customHeight="1"/>
  <cols>
    <col min="1" max="13" width="15.109375" style="3071" customWidth="1"/>
    <col min="14" max="14" width="10" style="3071" customWidth="1"/>
    <col min="15" max="16" width="8.109375" style="3071"/>
    <col min="17" max="17" width="34.109375" style="3071" customWidth="1"/>
    <col min="18" max="18" width="8.109375" style="3071" customWidth="1"/>
    <col min="19" max="19" width="8.109375" style="3071"/>
    <col min="20" max="20" width="11.6640625" style="3071" customWidth="1"/>
    <col min="21" max="16384" width="8.10937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SUM(J8:J15)-J13-J14</f>
        <v>185</v>
      </c>
      <c r="K17" s="3020">
        <f>SUM(K8:K15)-K13-K14</f>
        <v>185</v>
      </c>
      <c r="L17" s="3020">
        <f>SUM(L8:L15)-L13-L14</f>
        <v>185</v>
      </c>
      <c r="M17" s="3020">
        <f>SUM(M8:M15)-M13-M14</f>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4051" t="s">
        <v>2607</v>
      </c>
      <c r="B20" s="4044" t="s">
        <v>2628</v>
      </c>
      <c r="C20" s="3100" t="s">
        <v>2439</v>
      </c>
      <c r="D20" s="3101"/>
      <c r="E20" s="3102">
        <v>1</v>
      </c>
      <c r="F20" s="3103" t="s">
        <v>2440</v>
      </c>
      <c r="G20" s="3103"/>
    </row>
    <row r="21" spans="1:13" ht="19.5" customHeight="1">
      <c r="A21" s="4052"/>
      <c r="B21" s="4045"/>
      <c r="C21" s="3104" t="s">
        <v>2441</v>
      </c>
      <c r="D21" s="3105"/>
      <c r="E21" s="3106">
        <v>1</v>
      </c>
      <c r="F21" s="3103" t="s">
        <v>2442</v>
      </c>
      <c r="G21" s="3103"/>
    </row>
    <row r="22" spans="1:13" ht="19.5" customHeight="1">
      <c r="A22" s="4052"/>
      <c r="B22" s="4045"/>
      <c r="C22" s="3104" t="s">
        <v>2443</v>
      </c>
      <c r="D22" s="3105"/>
      <c r="E22" s="3106">
        <v>0.9</v>
      </c>
      <c r="F22" s="3103" t="s">
        <v>2444</v>
      </c>
      <c r="G22" s="3103"/>
    </row>
    <row r="23" spans="1:13" ht="19.5" customHeight="1">
      <c r="A23" s="4052"/>
      <c r="B23" s="4045"/>
      <c r="C23" s="3104" t="s">
        <v>2445</v>
      </c>
      <c r="D23" s="3105"/>
      <c r="E23" s="3106">
        <v>0.9</v>
      </c>
      <c r="F23" s="3103" t="s">
        <v>2446</v>
      </c>
      <c r="G23" s="3103"/>
    </row>
    <row r="24" spans="1:13" ht="19.5" customHeight="1">
      <c r="A24" s="4052"/>
      <c r="B24" s="4045"/>
      <c r="C24" s="3104" t="s">
        <v>2447</v>
      </c>
      <c r="D24" s="3105"/>
      <c r="E24" s="3106">
        <v>0.8</v>
      </c>
      <c r="F24" s="3103" t="s">
        <v>2448</v>
      </c>
      <c r="G24" s="3103"/>
    </row>
    <row r="25" spans="1:13" ht="19.5" customHeight="1" thickBot="1">
      <c r="A25" s="4053"/>
      <c r="B25" s="4046"/>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4047" t="s">
        <v>2631</v>
      </c>
      <c r="B27" s="4044" t="s">
        <v>2612</v>
      </c>
      <c r="C27" s="3100" t="s">
        <v>2452</v>
      </c>
      <c r="D27" s="3101"/>
      <c r="E27" s="3102">
        <v>1</v>
      </c>
      <c r="F27" s="3103" t="s">
        <v>2453</v>
      </c>
      <c r="G27" s="3103"/>
    </row>
    <row r="28" spans="1:13" ht="19.5" customHeight="1">
      <c r="A28" s="4048"/>
      <c r="B28" s="4045"/>
      <c r="C28" s="3104" t="s">
        <v>2454</v>
      </c>
      <c r="D28" s="3105"/>
      <c r="E28" s="3106">
        <v>1</v>
      </c>
      <c r="F28" s="3103" t="s">
        <v>2455</v>
      </c>
      <c r="G28" s="3103"/>
    </row>
    <row r="29" spans="1:13" ht="19.5" customHeight="1">
      <c r="A29" s="4048"/>
      <c r="B29" s="4045"/>
      <c r="C29" s="3104" t="s">
        <v>2456</v>
      </c>
      <c r="D29" s="3105"/>
      <c r="E29" s="3106">
        <v>0.8</v>
      </c>
      <c r="F29" s="3103" t="s">
        <v>2457</v>
      </c>
      <c r="G29" s="3103"/>
    </row>
    <row r="30" spans="1:13" ht="19.5" customHeight="1">
      <c r="A30" s="4048"/>
      <c r="B30" s="4045"/>
      <c r="C30" s="3104" t="s">
        <v>2458</v>
      </c>
      <c r="D30" s="3105"/>
      <c r="E30" s="3106">
        <v>0.8</v>
      </c>
      <c r="F30" s="3103" t="s">
        <v>2459</v>
      </c>
      <c r="G30" s="3103"/>
    </row>
    <row r="31" spans="1:13" ht="19.5" customHeight="1">
      <c r="A31" s="4048"/>
      <c r="B31" s="4045"/>
      <c r="C31" s="3104" t="s">
        <v>2460</v>
      </c>
      <c r="D31" s="3105"/>
      <c r="E31" s="3106">
        <v>0.8</v>
      </c>
      <c r="F31" s="3103" t="s">
        <v>2461</v>
      </c>
      <c r="G31" s="3103"/>
    </row>
    <row r="32" spans="1:13" ht="19.5" customHeight="1">
      <c r="A32" s="4048"/>
      <c r="B32" s="4045"/>
      <c r="C32" s="3104" t="s">
        <v>2462</v>
      </c>
      <c r="D32" s="3105"/>
      <c r="E32" s="3106">
        <v>0.7</v>
      </c>
      <c r="F32" s="3103" t="s">
        <v>2463</v>
      </c>
      <c r="G32" s="3103"/>
    </row>
    <row r="33" spans="1:7" ht="19.5" customHeight="1">
      <c r="A33" s="4048"/>
      <c r="B33" s="4045"/>
      <c r="C33" s="3104" t="s">
        <v>2464</v>
      </c>
      <c r="D33" s="3105"/>
      <c r="E33" s="3106">
        <v>0.8</v>
      </c>
      <c r="F33" s="3103" t="s">
        <v>2465</v>
      </c>
      <c r="G33" s="3103"/>
    </row>
    <row r="34" spans="1:7" ht="19.5" customHeight="1">
      <c r="A34" s="4048"/>
      <c r="B34" s="4045"/>
      <c r="C34" s="3104" t="s">
        <v>2466</v>
      </c>
      <c r="D34" s="3105"/>
      <c r="E34" s="3106">
        <v>0.6</v>
      </c>
      <c r="F34" s="3103" t="s">
        <v>2467</v>
      </c>
      <c r="G34" s="3103"/>
    </row>
    <row r="35" spans="1:7" ht="19.5" customHeight="1">
      <c r="A35" s="4048"/>
      <c r="B35" s="4045"/>
      <c r="C35" s="3104" t="s">
        <v>2468</v>
      </c>
      <c r="D35" s="3105"/>
      <c r="E35" s="3106">
        <v>0.2</v>
      </c>
      <c r="F35" s="3103" t="s">
        <v>2469</v>
      </c>
      <c r="G35" s="3103"/>
    </row>
    <row r="36" spans="1:7" ht="19.5" customHeight="1">
      <c r="A36" s="4048"/>
      <c r="B36" s="4045"/>
      <c r="C36" s="3104" t="s">
        <v>2470</v>
      </c>
      <c r="D36" s="3105"/>
      <c r="E36" s="3106">
        <v>0.2</v>
      </c>
      <c r="F36" s="3103" t="s">
        <v>2471</v>
      </c>
      <c r="G36" s="3103"/>
    </row>
    <row r="37" spans="1:7" ht="19.5" customHeight="1">
      <c r="A37" s="4048"/>
      <c r="B37" s="4050" t="s">
        <v>2632</v>
      </c>
      <c r="C37" s="3104" t="s">
        <v>2472</v>
      </c>
      <c r="D37" s="3105"/>
      <c r="E37" s="3106">
        <v>0.6</v>
      </c>
      <c r="F37" s="3103" t="s">
        <v>2473</v>
      </c>
      <c r="G37" s="3103"/>
    </row>
    <row r="38" spans="1:7" ht="19.5" customHeight="1">
      <c r="A38" s="4048"/>
      <c r="B38" s="4045"/>
      <c r="C38" s="3104" t="s">
        <v>2474</v>
      </c>
      <c r="D38" s="3105"/>
      <c r="E38" s="3106">
        <v>0.6</v>
      </c>
      <c r="F38" s="3103" t="s">
        <v>2475</v>
      </c>
      <c r="G38" s="3103"/>
    </row>
    <row r="39" spans="1:7" ht="19.5" customHeight="1" thickBot="1">
      <c r="A39" s="4049"/>
      <c r="B39" s="4046"/>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4051" t="s">
        <v>2610</v>
      </c>
      <c r="B41" s="4044" t="s">
        <v>2634</v>
      </c>
      <c r="C41" s="3100" t="s">
        <v>2479</v>
      </c>
      <c r="D41" s="3101"/>
      <c r="E41" s="3102">
        <v>1</v>
      </c>
      <c r="F41" s="3103" t="s">
        <v>2480</v>
      </c>
      <c r="G41" s="3103"/>
    </row>
    <row r="42" spans="1:7" ht="19.5" customHeight="1">
      <c r="A42" s="4052"/>
      <c r="B42" s="4045"/>
      <c r="C42" s="3104" t="s">
        <v>2481</v>
      </c>
      <c r="D42" s="3105"/>
      <c r="E42" s="3106">
        <v>1</v>
      </c>
      <c r="F42" s="3103" t="s">
        <v>2482</v>
      </c>
      <c r="G42" s="3103"/>
    </row>
    <row r="43" spans="1:7" ht="19.5" customHeight="1">
      <c r="A43" s="4052"/>
      <c r="B43" s="4054"/>
      <c r="C43" s="3104" t="s">
        <v>2483</v>
      </c>
      <c r="D43" s="3105"/>
      <c r="E43" s="3106">
        <v>1.5</v>
      </c>
      <c r="F43" s="3103" t="s">
        <v>2484</v>
      </c>
      <c r="G43" s="3103"/>
    </row>
    <row r="44" spans="1:7" ht="19.5" customHeight="1">
      <c r="A44" s="4052"/>
      <c r="B44" s="3115" t="s">
        <v>2635</v>
      </c>
      <c r="C44" s="3104" t="s">
        <v>2636</v>
      </c>
      <c r="D44" s="3105"/>
      <c r="E44" s="3106">
        <v>2</v>
      </c>
      <c r="F44" s="3103" t="s">
        <v>2485</v>
      </c>
      <c r="G44" s="3103"/>
    </row>
    <row r="45" spans="1:7" ht="19.5" customHeight="1">
      <c r="A45" s="4052"/>
      <c r="B45" s="4050" t="s">
        <v>2637</v>
      </c>
      <c r="C45" s="3104" t="s">
        <v>2486</v>
      </c>
      <c r="D45" s="3105"/>
      <c r="E45" s="3106">
        <v>1</v>
      </c>
      <c r="F45" s="3103" t="s">
        <v>2487</v>
      </c>
      <c r="G45" s="3103"/>
    </row>
    <row r="46" spans="1:7" ht="19.5" customHeight="1">
      <c r="A46" s="4052"/>
      <c r="B46" s="4045"/>
      <c r="C46" s="3104" t="s">
        <v>2488</v>
      </c>
      <c r="D46" s="3105"/>
      <c r="E46" s="3106">
        <v>1</v>
      </c>
      <c r="F46" s="3103" t="s">
        <v>2489</v>
      </c>
      <c r="G46" s="3103"/>
    </row>
    <row r="47" spans="1:7" ht="19.5" customHeight="1">
      <c r="A47" s="4052"/>
      <c r="B47" s="4045"/>
      <c r="C47" s="3104" t="s">
        <v>2490</v>
      </c>
      <c r="D47" s="3105"/>
      <c r="E47" s="3106">
        <v>1</v>
      </c>
      <c r="F47" s="3103" t="s">
        <v>2491</v>
      </c>
      <c r="G47" s="3103"/>
    </row>
    <row r="48" spans="1:7" ht="19.5" customHeight="1">
      <c r="A48" s="4052"/>
      <c r="B48" s="4045"/>
      <c r="C48" s="3104" t="s">
        <v>2492</v>
      </c>
      <c r="D48" s="3105"/>
      <c r="E48" s="3106">
        <v>1</v>
      </c>
      <c r="F48" s="3103" t="s">
        <v>2493</v>
      </c>
      <c r="G48" s="3103"/>
    </row>
    <row r="49" spans="1:7" ht="19.5" customHeight="1">
      <c r="A49" s="4052"/>
      <c r="B49" s="4045"/>
      <c r="C49" s="3104" t="s">
        <v>2494</v>
      </c>
      <c r="D49" s="3105"/>
      <c r="E49" s="3106">
        <v>1</v>
      </c>
      <c r="F49" s="3103" t="s">
        <v>2495</v>
      </c>
      <c r="G49" s="3103"/>
    </row>
    <row r="50" spans="1:7" ht="19.5" customHeight="1">
      <c r="A50" s="4052"/>
      <c r="B50" s="4045"/>
      <c r="C50" s="3104" t="s">
        <v>2496</v>
      </c>
      <c r="D50" s="3105"/>
      <c r="E50" s="3106">
        <v>1</v>
      </c>
      <c r="F50" s="3103" t="s">
        <v>2497</v>
      </c>
      <c r="G50" s="3103"/>
    </row>
    <row r="51" spans="1:7" ht="19.5" customHeight="1" thickBot="1">
      <c r="A51" s="4053"/>
      <c r="B51" s="4046"/>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3.8">
      <c r="A72" s="3115"/>
      <c r="B72" s="3115"/>
      <c r="C72" s="3115" t="s">
        <v>2650</v>
      </c>
      <c r="D72" s="3115"/>
      <c r="E72" s="3115" t="s">
        <v>2621</v>
      </c>
      <c r="F72" s="3115" t="s">
        <v>2621</v>
      </c>
    </row>
    <row r="73" spans="1:7" ht="13.8">
      <c r="A73" s="3115">
        <v>1</v>
      </c>
      <c r="B73" s="4050" t="s">
        <v>2651</v>
      </c>
      <c r="C73" s="3089" t="s">
        <v>2652</v>
      </c>
      <c r="D73" s="3089" t="s">
        <v>2653</v>
      </c>
      <c r="E73" s="3115">
        <v>0.2</v>
      </c>
      <c r="F73" s="3115">
        <v>25</v>
      </c>
    </row>
    <row r="74" spans="1:7" ht="26.4">
      <c r="A74" s="3115">
        <v>2</v>
      </c>
      <c r="B74" s="4045"/>
      <c r="C74" s="3089" t="s">
        <v>2654</v>
      </c>
      <c r="D74" s="3089" t="s">
        <v>2655</v>
      </c>
      <c r="E74" s="3115">
        <v>0.2</v>
      </c>
      <c r="F74" s="3115">
        <v>25</v>
      </c>
    </row>
    <row r="75" spans="1:7" ht="26.4">
      <c r="A75" s="3115">
        <v>3</v>
      </c>
      <c r="B75" s="4045"/>
      <c r="C75" s="3089" t="s">
        <v>2656</v>
      </c>
      <c r="D75" s="3089" t="s">
        <v>2657</v>
      </c>
      <c r="E75" s="3115">
        <v>0.2</v>
      </c>
      <c r="F75" s="3115">
        <v>25</v>
      </c>
    </row>
    <row r="76" spans="1:7" ht="13.8">
      <c r="A76" s="3115">
        <v>4</v>
      </c>
      <c r="B76" s="4045"/>
      <c r="C76" s="3089" t="s">
        <v>2658</v>
      </c>
      <c r="D76" s="3089" t="s">
        <v>2659</v>
      </c>
      <c r="E76" s="3115">
        <v>0.15</v>
      </c>
      <c r="F76" s="3115">
        <v>20</v>
      </c>
    </row>
    <row r="77" spans="1:7" ht="26.4">
      <c r="A77" s="3115">
        <v>5</v>
      </c>
      <c r="B77" s="4045"/>
      <c r="C77" s="3089" t="s">
        <v>2660</v>
      </c>
      <c r="D77" s="3089" t="s">
        <v>2661</v>
      </c>
      <c r="E77" s="3115">
        <v>0.15</v>
      </c>
      <c r="F77" s="3115">
        <v>20</v>
      </c>
    </row>
    <row r="78" spans="1:7" ht="26.4">
      <c r="A78" s="3115">
        <v>6</v>
      </c>
      <c r="B78" s="4045"/>
      <c r="C78" s="3089" t="s">
        <v>2662</v>
      </c>
      <c r="D78" s="3089" t="s">
        <v>2663</v>
      </c>
      <c r="E78" s="3115">
        <v>0.15</v>
      </c>
      <c r="F78" s="3115">
        <v>20</v>
      </c>
    </row>
    <row r="79" spans="1:7" ht="26.4">
      <c r="A79" s="3115">
        <v>7</v>
      </c>
      <c r="B79" s="4045"/>
      <c r="C79" s="3089" t="s">
        <v>2664</v>
      </c>
      <c r="D79" s="3089" t="s">
        <v>2665</v>
      </c>
      <c r="E79" s="3115">
        <v>0.15</v>
      </c>
      <c r="F79" s="3115">
        <v>20</v>
      </c>
    </row>
    <row r="80" spans="1:7" ht="26.4">
      <c r="A80" s="3115">
        <v>8</v>
      </c>
      <c r="B80" s="4045"/>
      <c r="C80" s="3089" t="s">
        <v>2666</v>
      </c>
      <c r="D80" s="3089" t="s">
        <v>2667</v>
      </c>
      <c r="E80" s="3115">
        <v>0.1</v>
      </c>
      <c r="F80" s="3115">
        <v>15</v>
      </c>
    </row>
    <row r="81" spans="1:6" ht="26.4">
      <c r="A81" s="3115">
        <v>9</v>
      </c>
      <c r="B81" s="4045"/>
      <c r="C81" s="3089" t="s">
        <v>2668</v>
      </c>
      <c r="D81" s="3089" t="s">
        <v>2669</v>
      </c>
      <c r="E81" s="3115">
        <v>0.1</v>
      </c>
      <c r="F81" s="3115">
        <v>15</v>
      </c>
    </row>
    <row r="82" spans="1:6" ht="26.4">
      <c r="A82" s="3115">
        <v>10</v>
      </c>
      <c r="B82" s="4045"/>
      <c r="C82" s="3089" t="s">
        <v>2670</v>
      </c>
      <c r="D82" s="3089" t="s">
        <v>2671</v>
      </c>
      <c r="E82" s="3115">
        <v>0.1</v>
      </c>
      <c r="F82" s="3115">
        <v>15</v>
      </c>
    </row>
    <row r="83" spans="1:6" ht="26.4">
      <c r="A83" s="3115">
        <v>11</v>
      </c>
      <c r="B83" s="4045"/>
      <c r="C83" s="3089" t="s">
        <v>2672</v>
      </c>
      <c r="D83" s="3089" t="s">
        <v>2673</v>
      </c>
      <c r="E83" s="3115">
        <v>0.1</v>
      </c>
      <c r="F83" s="3115">
        <v>15</v>
      </c>
    </row>
    <row r="84" spans="1:6" ht="26.4">
      <c r="A84" s="3115">
        <v>12</v>
      </c>
      <c r="B84" s="4045"/>
      <c r="C84" s="3089" t="s">
        <v>2674</v>
      </c>
      <c r="D84" s="3089" t="s">
        <v>2675</v>
      </c>
      <c r="E84" s="3115">
        <v>0.1</v>
      </c>
      <c r="F84" s="3115">
        <v>15</v>
      </c>
    </row>
    <row r="85" spans="1:6" ht="26.4">
      <c r="A85" s="3115">
        <v>13</v>
      </c>
      <c r="B85" s="4045"/>
      <c r="C85" s="3089" t="s">
        <v>2676</v>
      </c>
      <c r="D85" s="3089" t="s">
        <v>2677</v>
      </c>
      <c r="E85" s="3115">
        <v>0.1</v>
      </c>
      <c r="F85" s="3115">
        <v>15</v>
      </c>
    </row>
    <row r="86" spans="1:6" ht="26.4">
      <c r="A86" s="3115">
        <v>14</v>
      </c>
      <c r="B86" s="4045"/>
      <c r="C86" s="3089" t="s">
        <v>2678</v>
      </c>
      <c r="D86" s="3089" t="s">
        <v>2679</v>
      </c>
      <c r="E86" s="3115">
        <v>0.1</v>
      </c>
      <c r="F86" s="3115">
        <v>15</v>
      </c>
    </row>
    <row r="87" spans="1:6" ht="26.4">
      <c r="A87" s="3115">
        <v>15</v>
      </c>
      <c r="B87" s="4045"/>
      <c r="C87" s="3089" t="s">
        <v>2680</v>
      </c>
      <c r="D87" s="3089" t="s">
        <v>2681</v>
      </c>
      <c r="E87" s="3115">
        <v>0.1</v>
      </c>
      <c r="F87" s="3115">
        <v>15</v>
      </c>
    </row>
    <row r="88" spans="1:6" ht="26.4">
      <c r="A88" s="3115">
        <v>16</v>
      </c>
      <c r="B88" s="4045"/>
      <c r="C88" s="3089" t="s">
        <v>2682</v>
      </c>
      <c r="D88" s="3089" t="s">
        <v>2683</v>
      </c>
      <c r="E88" s="3115">
        <v>0.1</v>
      </c>
      <c r="F88" s="3115">
        <v>15</v>
      </c>
    </row>
    <row r="89" spans="1:6" ht="26.4">
      <c r="A89" s="3115">
        <v>17</v>
      </c>
      <c r="B89" s="4054"/>
      <c r="C89" s="3089" t="s">
        <v>2684</v>
      </c>
      <c r="D89" s="3089" t="s">
        <v>2685</v>
      </c>
      <c r="E89" s="3115">
        <v>0.1</v>
      </c>
      <c r="F89" s="3115">
        <v>15</v>
      </c>
    </row>
    <row r="90" spans="1:6" ht="13.8">
      <c r="A90" s="3115">
        <v>18</v>
      </c>
      <c r="B90" s="4050" t="s">
        <v>2686</v>
      </c>
      <c r="C90" s="3089" t="s">
        <v>2687</v>
      </c>
      <c r="D90" s="3089" t="s">
        <v>2688</v>
      </c>
      <c r="E90" s="3115">
        <v>0.2</v>
      </c>
      <c r="F90" s="3115">
        <v>25</v>
      </c>
    </row>
    <row r="91" spans="1:6" ht="26.4">
      <c r="A91" s="3115">
        <v>19</v>
      </c>
      <c r="B91" s="4045"/>
      <c r="C91" s="3089" t="s">
        <v>2689</v>
      </c>
      <c r="D91" s="3089" t="s">
        <v>2690</v>
      </c>
      <c r="E91" s="3115">
        <v>0.2</v>
      </c>
      <c r="F91" s="3115">
        <v>25</v>
      </c>
    </row>
    <row r="92" spans="1:6" ht="13.8">
      <c r="A92" s="3115">
        <v>20</v>
      </c>
      <c r="B92" s="4045"/>
      <c r="C92" s="3089" t="s">
        <v>2691</v>
      </c>
      <c r="D92" s="3089" t="s">
        <v>2692</v>
      </c>
      <c r="E92" s="3115">
        <v>0.15</v>
      </c>
      <c r="F92" s="3115">
        <v>20</v>
      </c>
    </row>
    <row r="93" spans="1:6" ht="26.4">
      <c r="A93" s="3115">
        <v>21</v>
      </c>
      <c r="B93" s="4045"/>
      <c r="C93" s="3089" t="s">
        <v>2693</v>
      </c>
      <c r="D93" s="3089" t="s">
        <v>2694</v>
      </c>
      <c r="E93" s="3115">
        <v>0.15</v>
      </c>
      <c r="F93" s="3115">
        <v>20</v>
      </c>
    </row>
    <row r="94" spans="1:6" ht="26.4">
      <c r="A94" s="3115">
        <v>22</v>
      </c>
      <c r="B94" s="4045"/>
      <c r="C94" s="3089" t="s">
        <v>2695</v>
      </c>
      <c r="D94" s="3089" t="s">
        <v>2696</v>
      </c>
      <c r="E94" s="3115">
        <v>0.15</v>
      </c>
      <c r="F94" s="3115">
        <v>20</v>
      </c>
    </row>
    <row r="95" spans="1:6" ht="39.6">
      <c r="A95" s="3115">
        <v>23</v>
      </c>
      <c r="B95" s="4045"/>
      <c r="C95" s="3089" t="s">
        <v>2697</v>
      </c>
      <c r="D95" s="3089" t="s">
        <v>2698</v>
      </c>
      <c r="E95" s="3115">
        <v>0.15</v>
      </c>
      <c r="F95" s="3115">
        <v>20</v>
      </c>
    </row>
    <row r="96" spans="1:6" ht="26.4">
      <c r="A96" s="3115">
        <v>24</v>
      </c>
      <c r="B96" s="4045"/>
      <c r="C96" s="3089" t="s">
        <v>2699</v>
      </c>
      <c r="D96" s="3089" t="s">
        <v>2700</v>
      </c>
      <c r="E96" s="3115">
        <v>0.1</v>
      </c>
      <c r="F96" s="3115">
        <v>15</v>
      </c>
    </row>
    <row r="97" spans="1:6" ht="26.4">
      <c r="A97" s="3115">
        <v>25</v>
      </c>
      <c r="B97" s="4045"/>
      <c r="C97" s="3089" t="s">
        <v>2701</v>
      </c>
      <c r="D97" s="3089" t="s">
        <v>2702</v>
      </c>
      <c r="E97" s="3115">
        <v>0.1</v>
      </c>
      <c r="F97" s="3115">
        <v>15</v>
      </c>
    </row>
    <row r="98" spans="1:6" ht="26.4">
      <c r="A98" s="3115">
        <v>26</v>
      </c>
      <c r="B98" s="4045"/>
      <c r="C98" s="3089" t="s">
        <v>2703</v>
      </c>
      <c r="D98" s="3089" t="s">
        <v>2704</v>
      </c>
      <c r="E98" s="3115">
        <v>0.1</v>
      </c>
      <c r="F98" s="3115">
        <v>15</v>
      </c>
    </row>
    <row r="99" spans="1:6" ht="26.4">
      <c r="A99" s="3115">
        <v>27</v>
      </c>
      <c r="B99" s="4045"/>
      <c r="C99" s="3089" t="s">
        <v>2705</v>
      </c>
      <c r="D99" s="3089" t="s">
        <v>2706</v>
      </c>
      <c r="E99" s="3115">
        <v>0.1</v>
      </c>
      <c r="F99" s="3115">
        <v>15</v>
      </c>
    </row>
    <row r="100" spans="1:6" ht="26.4">
      <c r="A100" s="3115">
        <v>28</v>
      </c>
      <c r="B100" s="4045"/>
      <c r="C100" s="3089" t="s">
        <v>2707</v>
      </c>
      <c r="D100" s="3089" t="s">
        <v>2708</v>
      </c>
      <c r="E100" s="3115">
        <v>0.1</v>
      </c>
      <c r="F100" s="3115">
        <v>15</v>
      </c>
    </row>
    <row r="101" spans="1:6" ht="26.4">
      <c r="A101" s="3115">
        <v>29</v>
      </c>
      <c r="B101" s="4045"/>
      <c r="C101" s="3089" t="s">
        <v>2709</v>
      </c>
      <c r="D101" s="3089" t="s">
        <v>2710</v>
      </c>
      <c r="E101" s="3115">
        <v>0.1</v>
      </c>
      <c r="F101" s="3115">
        <v>15</v>
      </c>
    </row>
    <row r="102" spans="1:6" ht="26.4">
      <c r="A102" s="3115">
        <v>30</v>
      </c>
      <c r="B102" s="4045"/>
      <c r="C102" s="3089" t="s">
        <v>2711</v>
      </c>
      <c r="D102" s="3089" t="s">
        <v>2712</v>
      </c>
      <c r="E102" s="3115">
        <v>0.1</v>
      </c>
      <c r="F102" s="3115">
        <v>15</v>
      </c>
    </row>
    <row r="103" spans="1:6" ht="26.4">
      <c r="A103" s="3115">
        <v>31</v>
      </c>
      <c r="B103" s="4045"/>
      <c r="C103" s="3089" t="s">
        <v>2713</v>
      </c>
      <c r="D103" s="3089" t="s">
        <v>2714</v>
      </c>
      <c r="E103" s="3115">
        <v>0.1</v>
      </c>
      <c r="F103" s="3115">
        <v>15</v>
      </c>
    </row>
    <row r="104" spans="1:6" ht="26.4">
      <c r="A104" s="3115">
        <v>32</v>
      </c>
      <c r="B104" s="4045"/>
      <c r="C104" s="3089" t="s">
        <v>2715</v>
      </c>
      <c r="D104" s="3089" t="s">
        <v>2716</v>
      </c>
      <c r="E104" s="3115">
        <v>0.1</v>
      </c>
      <c r="F104" s="3115">
        <v>15</v>
      </c>
    </row>
    <row r="105" spans="1:6" ht="26.4">
      <c r="A105" s="3115">
        <v>33</v>
      </c>
      <c r="B105" s="4045"/>
      <c r="C105" s="3089" t="s">
        <v>2717</v>
      </c>
      <c r="D105" s="3089" t="s">
        <v>2718</v>
      </c>
      <c r="E105" s="3115">
        <v>0.1</v>
      </c>
      <c r="F105" s="3115">
        <v>15</v>
      </c>
    </row>
    <row r="106" spans="1:6" ht="26.4">
      <c r="A106" s="3115">
        <v>34</v>
      </c>
      <c r="B106" s="4054"/>
      <c r="C106" s="3089" t="s">
        <v>2719</v>
      </c>
      <c r="D106" s="3089" t="s">
        <v>2720</v>
      </c>
      <c r="E106" s="3115">
        <v>0.1</v>
      </c>
      <c r="F106" s="3115">
        <v>15</v>
      </c>
    </row>
    <row r="107" spans="1:6" ht="39.6">
      <c r="A107" s="3115">
        <v>35</v>
      </c>
      <c r="B107" s="4050" t="s">
        <v>2721</v>
      </c>
      <c r="C107" s="3115" t="s">
        <v>2722</v>
      </c>
      <c r="D107" s="3089" t="s">
        <v>2723</v>
      </c>
      <c r="E107" s="3115">
        <v>0.15</v>
      </c>
      <c r="F107" s="3115">
        <v>20</v>
      </c>
    </row>
    <row r="108" spans="1:6" ht="26.4">
      <c r="A108" s="3115">
        <v>36</v>
      </c>
      <c r="B108" s="4045"/>
      <c r="C108" s="3115" t="s">
        <v>2724</v>
      </c>
      <c r="D108" s="3089" t="s">
        <v>2725</v>
      </c>
      <c r="E108" s="3115">
        <v>0.15</v>
      </c>
      <c r="F108" s="3115">
        <v>20</v>
      </c>
    </row>
    <row r="109" spans="1:6" ht="26.4">
      <c r="A109" s="3115">
        <v>37</v>
      </c>
      <c r="B109" s="4045"/>
      <c r="C109" s="3115" t="s">
        <v>2726</v>
      </c>
      <c r="D109" s="3089" t="s">
        <v>2727</v>
      </c>
      <c r="E109" s="3115">
        <v>0.15</v>
      </c>
      <c r="F109" s="3115">
        <v>20</v>
      </c>
    </row>
    <row r="110" spans="1:6" ht="26.4">
      <c r="A110" s="3115">
        <v>38</v>
      </c>
      <c r="B110" s="4045"/>
      <c r="C110" s="3115" t="s">
        <v>2728</v>
      </c>
      <c r="D110" s="3089" t="s">
        <v>2729</v>
      </c>
      <c r="E110" s="3115">
        <v>0.1</v>
      </c>
      <c r="F110" s="3115">
        <v>15</v>
      </c>
    </row>
    <row r="111" spans="1:6" ht="26.4">
      <c r="A111" s="3115">
        <v>39</v>
      </c>
      <c r="B111" s="4045"/>
      <c r="C111" s="3115" t="s">
        <v>2730</v>
      </c>
      <c r="D111" s="3089" t="s">
        <v>2731</v>
      </c>
      <c r="E111" s="3115">
        <v>0.1</v>
      </c>
      <c r="F111" s="3115">
        <v>15</v>
      </c>
    </row>
    <row r="112" spans="1:6" ht="26.4">
      <c r="A112" s="3115">
        <v>40</v>
      </c>
      <c r="B112" s="4054"/>
      <c r="C112" s="3115" t="s">
        <v>2732</v>
      </c>
      <c r="D112" s="3089" t="s">
        <v>2733</v>
      </c>
      <c r="E112" s="3115">
        <v>0.1</v>
      </c>
      <c r="F112" s="3115">
        <v>15</v>
      </c>
    </row>
    <row r="113" spans="1:6" ht="26.4">
      <c r="A113" s="3115">
        <v>41</v>
      </c>
      <c r="B113" s="4055" t="s">
        <v>2734</v>
      </c>
      <c r="C113" s="3115" t="s">
        <v>2735</v>
      </c>
      <c r="D113" s="3089" t="s">
        <v>2736</v>
      </c>
      <c r="E113" s="3115">
        <v>0.1</v>
      </c>
      <c r="F113" s="3115">
        <v>15</v>
      </c>
    </row>
    <row r="114" spans="1:6" ht="26.4">
      <c r="A114" s="3115">
        <v>42</v>
      </c>
      <c r="B114" s="4055"/>
      <c r="C114" s="3115" t="s">
        <v>2737</v>
      </c>
      <c r="D114" s="3089" t="s">
        <v>2738</v>
      </c>
      <c r="E114" s="3115">
        <v>0.1</v>
      </c>
      <c r="F114" s="3115">
        <v>15</v>
      </c>
    </row>
    <row r="115" spans="1:6" ht="26.4">
      <c r="A115" s="3115">
        <v>43</v>
      </c>
      <c r="B115" s="4055"/>
      <c r="C115" s="3115" t="s">
        <v>2739</v>
      </c>
      <c r="D115" s="3089" t="s">
        <v>2740</v>
      </c>
      <c r="E115" s="3115">
        <v>0.1</v>
      </c>
      <c r="F115" s="3115">
        <v>15</v>
      </c>
    </row>
    <row r="116" spans="1:6" ht="26.4">
      <c r="A116" s="3115">
        <v>44</v>
      </c>
      <c r="B116" s="4050" t="s">
        <v>2741</v>
      </c>
      <c r="C116" s="3115" t="s">
        <v>2742</v>
      </c>
      <c r="D116" s="3089" t="s">
        <v>2743</v>
      </c>
      <c r="E116" s="3115">
        <v>0.1</v>
      </c>
      <c r="F116" s="3115">
        <v>15</v>
      </c>
    </row>
    <row r="117" spans="1:6" ht="26.4">
      <c r="A117" s="3115">
        <v>45</v>
      </c>
      <c r="B117" s="4054"/>
      <c r="C117" s="3089" t="s">
        <v>2744</v>
      </c>
      <c r="D117" s="3089" t="s">
        <v>2745</v>
      </c>
      <c r="E117" s="3115">
        <v>0.1</v>
      </c>
      <c r="F117" s="3115">
        <v>15</v>
      </c>
    </row>
    <row r="118" spans="1:6" ht="26.4">
      <c r="A118" s="3115">
        <v>46</v>
      </c>
      <c r="B118" s="4050" t="s">
        <v>2746</v>
      </c>
      <c r="C118" s="3115" t="s">
        <v>2747</v>
      </c>
      <c r="D118" s="3089" t="s">
        <v>2748</v>
      </c>
      <c r="E118" s="3115">
        <v>0.1</v>
      </c>
      <c r="F118" s="3115">
        <v>15</v>
      </c>
    </row>
    <row r="119" spans="1:6" ht="26.4">
      <c r="A119" s="3115">
        <v>47</v>
      </c>
      <c r="B119" s="4054"/>
      <c r="C119" s="3115" t="s">
        <v>2749</v>
      </c>
      <c r="D119" s="3089" t="s">
        <v>2750</v>
      </c>
      <c r="E119" s="3115">
        <v>0.1</v>
      </c>
      <c r="F119" s="3115">
        <v>15</v>
      </c>
    </row>
    <row r="120" spans="1:6" ht="26.4">
      <c r="A120" s="3115">
        <v>48</v>
      </c>
      <c r="B120" s="4050" t="s">
        <v>2751</v>
      </c>
      <c r="C120" s="3115" t="s">
        <v>2752</v>
      </c>
      <c r="D120" s="3089" t="s">
        <v>2753</v>
      </c>
      <c r="E120" s="3115">
        <v>0.1</v>
      </c>
      <c r="F120" s="3115">
        <v>15</v>
      </c>
    </row>
    <row r="121" spans="1:6" ht="26.4">
      <c r="A121" s="3115">
        <v>49</v>
      </c>
      <c r="B121" s="4054"/>
      <c r="C121" s="3115" t="s">
        <v>2754</v>
      </c>
      <c r="D121" s="3089" t="s">
        <v>2755</v>
      </c>
      <c r="E121" s="3115">
        <v>0.1</v>
      </c>
      <c r="F121" s="3115">
        <v>15</v>
      </c>
    </row>
    <row r="122" spans="1:6" ht="26.4">
      <c r="A122" s="3115">
        <v>50</v>
      </c>
      <c r="B122" s="4055" t="s">
        <v>2756</v>
      </c>
      <c r="C122" s="3115" t="s">
        <v>2757</v>
      </c>
      <c r="D122" s="3089" t="s">
        <v>2758</v>
      </c>
      <c r="E122" s="3115">
        <v>0.1</v>
      </c>
      <c r="F122" s="3115">
        <v>15</v>
      </c>
    </row>
    <row r="123" spans="1:6" ht="26.4">
      <c r="A123" s="3115">
        <v>51</v>
      </c>
      <c r="B123" s="4055"/>
      <c r="C123" s="3115" t="s">
        <v>2759</v>
      </c>
      <c r="D123" s="3089" t="s">
        <v>2760</v>
      </c>
      <c r="E123" s="3115">
        <v>0.1</v>
      </c>
      <c r="F123" s="3115">
        <v>15</v>
      </c>
    </row>
    <row r="124" spans="1:6" ht="26.4">
      <c r="A124" s="3115">
        <v>52</v>
      </c>
      <c r="B124" s="4055" t="s">
        <v>2761</v>
      </c>
      <c r="C124" s="3115" t="s">
        <v>2762</v>
      </c>
      <c r="D124" s="3089" t="s">
        <v>2763</v>
      </c>
      <c r="E124" s="3115">
        <v>0.1</v>
      </c>
      <c r="F124" s="3115">
        <v>15</v>
      </c>
    </row>
    <row r="125" spans="1:6" ht="26.4">
      <c r="A125" s="3115">
        <v>53</v>
      </c>
      <c r="B125" s="4055"/>
      <c r="C125" s="3115" t="s">
        <v>2764</v>
      </c>
      <c r="D125" s="3089" t="s">
        <v>2765</v>
      </c>
      <c r="E125" s="3115">
        <v>0.1</v>
      </c>
      <c r="F125" s="3115">
        <v>15</v>
      </c>
    </row>
    <row r="126" spans="1:6" ht="26.4">
      <c r="A126" s="3115">
        <v>54</v>
      </c>
      <c r="B126" s="3115" t="s">
        <v>2766</v>
      </c>
      <c r="C126" s="3115" t="s">
        <v>2767</v>
      </c>
      <c r="D126" s="3089" t="s">
        <v>2768</v>
      </c>
      <c r="E126" s="3115">
        <v>0.1</v>
      </c>
      <c r="F126" s="3115">
        <v>15</v>
      </c>
    </row>
    <row r="127" spans="1:6" ht="26.4">
      <c r="A127" s="3115">
        <v>55</v>
      </c>
      <c r="B127" s="4055" t="s">
        <v>2769</v>
      </c>
      <c r="C127" s="3115" t="s">
        <v>2770</v>
      </c>
      <c r="D127" s="3089" t="s">
        <v>2771</v>
      </c>
      <c r="E127" s="3115">
        <v>0.1</v>
      </c>
      <c r="F127" s="3115">
        <v>15</v>
      </c>
    </row>
    <row r="128" spans="1:6" ht="26.4">
      <c r="A128" s="3115">
        <v>56</v>
      </c>
      <c r="B128" s="4055"/>
      <c r="C128" s="3115" t="s">
        <v>2772</v>
      </c>
      <c r="D128" s="3089" t="s">
        <v>2773</v>
      </c>
      <c r="E128" s="3115">
        <v>0.1</v>
      </c>
      <c r="F128" s="3115">
        <v>15</v>
      </c>
    </row>
    <row r="129" spans="1:6" ht="26.4">
      <c r="A129" s="3115">
        <v>57</v>
      </c>
      <c r="B129" s="4055"/>
      <c r="C129" s="3115" t="s">
        <v>2774</v>
      </c>
      <c r="D129" s="3089" t="s">
        <v>2775</v>
      </c>
      <c r="E129" s="3115">
        <v>0.1</v>
      </c>
      <c r="F129" s="3115">
        <v>15</v>
      </c>
    </row>
    <row r="130" spans="1:6" ht="26.4">
      <c r="A130" s="3115">
        <v>58</v>
      </c>
      <c r="B130" s="4055" t="s">
        <v>2776</v>
      </c>
      <c r="C130" s="3115" t="s">
        <v>2777</v>
      </c>
      <c r="D130" s="3089" t="s">
        <v>2778</v>
      </c>
      <c r="E130" s="3115">
        <v>0.1</v>
      </c>
      <c r="F130" s="3115">
        <v>15</v>
      </c>
    </row>
    <row r="131" spans="1:6" ht="26.4">
      <c r="A131" s="3115">
        <v>59</v>
      </c>
      <c r="B131" s="4055"/>
      <c r="C131" s="3115" t="s">
        <v>2779</v>
      </c>
      <c r="D131" s="3089" t="s">
        <v>2780</v>
      </c>
      <c r="E131" s="3115">
        <v>0.1</v>
      </c>
      <c r="F131" s="3115">
        <v>15</v>
      </c>
    </row>
    <row r="132" spans="1:6" ht="26.4">
      <c r="A132" s="3115">
        <v>60</v>
      </c>
      <c r="B132" s="4050" t="s">
        <v>2781</v>
      </c>
      <c r="C132" s="3115" t="s">
        <v>2782</v>
      </c>
      <c r="D132" s="3089" t="s">
        <v>2783</v>
      </c>
      <c r="E132" s="3115">
        <v>0.1</v>
      </c>
      <c r="F132" s="3115">
        <v>15</v>
      </c>
    </row>
    <row r="133" spans="1:6" ht="26.4">
      <c r="A133" s="3115">
        <v>61</v>
      </c>
      <c r="B133" s="4054"/>
      <c r="C133" s="3115" t="s">
        <v>2784</v>
      </c>
      <c r="D133" s="3089" t="s">
        <v>2785</v>
      </c>
      <c r="E133" s="3115">
        <v>0.1</v>
      </c>
      <c r="F133" s="3115">
        <v>15</v>
      </c>
    </row>
    <row r="134" spans="1:6" ht="26.4">
      <c r="A134" s="3115">
        <v>62</v>
      </c>
      <c r="B134" s="3115" t="s">
        <v>2786</v>
      </c>
      <c r="C134" s="3115" t="s">
        <v>2787</v>
      </c>
      <c r="D134" s="3089" t="s">
        <v>2788</v>
      </c>
      <c r="E134" s="3115">
        <v>0.1</v>
      </c>
      <c r="F134" s="3115">
        <v>15</v>
      </c>
    </row>
    <row r="135" spans="1:6" ht="26.4">
      <c r="A135" s="3115">
        <v>63</v>
      </c>
      <c r="B135" s="4055" t="s">
        <v>2789</v>
      </c>
      <c r="C135" s="3115" t="s">
        <v>2790</v>
      </c>
      <c r="D135" s="3089" t="s">
        <v>2791</v>
      </c>
      <c r="E135" s="3115">
        <v>0.1</v>
      </c>
      <c r="F135" s="3115">
        <v>15</v>
      </c>
    </row>
    <row r="136" spans="1:6" ht="26.4">
      <c r="A136" s="3115">
        <v>64</v>
      </c>
      <c r="B136" s="4055"/>
      <c r="C136" s="3115" t="s">
        <v>2792</v>
      </c>
      <c r="D136" s="3089" t="s">
        <v>2793</v>
      </c>
      <c r="E136" s="3115">
        <v>0.1</v>
      </c>
      <c r="F136" s="3115">
        <v>15</v>
      </c>
    </row>
    <row r="137" spans="1:6" ht="26.4">
      <c r="A137" s="3115">
        <v>65</v>
      </c>
      <c r="B137" s="3115" t="s">
        <v>2794</v>
      </c>
      <c r="C137" s="3115" t="s">
        <v>2795</v>
      </c>
      <c r="D137" s="3089" t="s">
        <v>2796</v>
      </c>
      <c r="E137" s="3115">
        <v>0.1</v>
      </c>
      <c r="F137" s="3115">
        <v>15</v>
      </c>
    </row>
    <row r="138" spans="1:6" ht="13.8">
      <c r="A138" s="3115"/>
      <c r="B138" s="3115"/>
      <c r="C138" s="3115"/>
      <c r="D138" s="3115"/>
      <c r="E138" s="3115" t="s">
        <v>2797</v>
      </c>
      <c r="F138" s="311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8"/>
  <cols>
    <col min="1" max="13" width="9" style="3138"/>
    <col min="14" max="16384" width="9" style="748"/>
  </cols>
  <sheetData>
    <row r="1" spans="1:20" ht="16.2" thickBot="1">
      <c r="A1" s="3124" t="s">
        <v>2798</v>
      </c>
      <c r="B1" s="3124"/>
      <c r="C1" s="3124"/>
      <c r="D1" s="3124"/>
      <c r="E1" s="3124"/>
      <c r="F1" s="3124"/>
      <c r="G1" s="3124"/>
      <c r="H1" s="3124"/>
      <c r="I1" s="3124"/>
      <c r="J1" s="3124"/>
      <c r="K1" s="3124"/>
      <c r="L1" s="3124"/>
      <c r="M1" s="3124"/>
      <c r="N1" s="747"/>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4"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48">
        <f>SUMPRODUCT((A95:A184=ROUNDDOWN(基准地价修正!G3,1))*(B94:M94=基准地价修正!G2)*(B95:M184))</f>
        <v>0</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4"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4"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4"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48">
        <f>SUMPRODUCT((A371:A460=ROUNDDOWN(基准地价修正!G3,1))*(B370:M370=基准地价修正!G2)*(B371:M460))</f>
        <v>0</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4"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109375" style="250" customWidth="1"/>
    <col min="3" max="3" width="12.109375" style="250" customWidth="1"/>
    <col min="4" max="5" width="11.109375" style="271" customWidth="1"/>
    <col min="6" max="6" width="9.44140625" style="250" customWidth="1"/>
    <col min="7" max="7" width="31.777343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57394</v>
      </c>
      <c r="C2" s="2" t="s">
        <v>106</v>
      </c>
      <c r="D2" s="198"/>
      <c r="E2" s="198"/>
      <c r="F2" s="198"/>
      <c r="G2" s="198"/>
    </row>
    <row r="3" spans="1:7" s="199" customFormat="1" ht="18" customHeight="1" thickBot="1">
      <c r="A3" s="202" t="s">
        <v>58</v>
      </c>
      <c r="B3" s="203">
        <f ca="1">ROUND(B2*10000/'数据-汇总表'!E3,0)</f>
        <v>13918</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383</v>
      </c>
      <c r="D9" s="843">
        <f>'数据-汇总表'!E5</f>
        <v>23912</v>
      </c>
      <c r="E9" s="224">
        <f>'数据-取费表'!B27</f>
        <v>160</v>
      </c>
      <c r="F9" s="220"/>
      <c r="G9" s="225"/>
    </row>
    <row r="10" spans="1:7" s="213" customFormat="1" ht="13.5" customHeight="1">
      <c r="A10" s="777" t="s">
        <v>356</v>
      </c>
      <c r="B10" s="223" t="s">
        <v>67</v>
      </c>
      <c r="C10" s="224">
        <f>ROUND(D10*E10/10000,0)</f>
        <v>347</v>
      </c>
      <c r="D10" s="843">
        <f>'数据-汇总表'!E6</f>
        <v>17326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825</v>
      </c>
      <c r="D19" s="847">
        <f>'数据-汇总表'!E3</f>
        <v>41238</v>
      </c>
      <c r="E19" s="210">
        <f>'数据-取费表'!B31</f>
        <v>200</v>
      </c>
      <c r="F19" s="230"/>
      <c r="G19" s="1" t="s">
        <v>436</v>
      </c>
    </row>
    <row r="20" spans="1:7" s="213" customFormat="1" ht="13.5" customHeight="1">
      <c r="A20" s="775" t="s">
        <v>419</v>
      </c>
      <c r="B20" s="209" t="s">
        <v>77</v>
      </c>
      <c r="C20" s="231">
        <f>ROUND((C5+C19)*F20,0)</f>
        <v>429</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2393</v>
      </c>
      <c r="D22" s="234">
        <f ca="1">C26</f>
        <v>1.1000000000000001E-3</v>
      </c>
      <c r="E22" s="235" t="s">
        <v>99</v>
      </c>
      <c r="F22" s="236">
        <f ca="1">'数据-取费表'!B40</f>
        <v>3.5799999999999998E-2</v>
      </c>
      <c r="G22" s="1064" t="str">
        <f>IF('数据-取费表'!B22&lt;=1,"单利计息","复利计息")</f>
        <v>复利计息</v>
      </c>
    </row>
    <row r="23" spans="1:7" s="213" customFormat="1" ht="13.5" customHeight="1">
      <c r="A23" s="778" t="s">
        <v>349</v>
      </c>
      <c r="B23" s="214" t="s">
        <v>423</v>
      </c>
      <c r="C23" s="1102">
        <f ca="1">ROUND(IF('数据-取费表'!B22&lt;=1,C5*F22*'数据-取费表'!B23,C5*(POWER((1+F22),'数据-取费表'!B23)-1)),0)</f>
        <v>2294</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76</v>
      </c>
      <c r="D24" s="237"/>
      <c r="E24" s="237"/>
      <c r="F24" s="238"/>
      <c r="G24" s="239" t="s">
        <v>82</v>
      </c>
    </row>
    <row r="25" spans="1:7" s="213" customFormat="1" ht="24">
      <c r="A25" s="778" t="s">
        <v>348</v>
      </c>
      <c r="B25" s="214" t="s">
        <v>420</v>
      </c>
      <c r="C25" s="1102">
        <f ca="1">ROUND(IF('数据-取费表'!B22&lt;=1,C20*F22*'数据-取费表'!B23/2,C20*(POWER((1+F22),'数据-取费表'!B23/2)-1)),0)</f>
        <v>23</v>
      </c>
      <c r="D25" s="237"/>
      <c r="E25" s="240"/>
      <c r="F25" s="238"/>
      <c r="G25" s="241" t="s">
        <v>83</v>
      </c>
    </row>
    <row r="26" spans="1:7" s="213" customFormat="1">
      <c r="A26" s="778" t="s">
        <v>350</v>
      </c>
      <c r="B26" s="214" t="s">
        <v>422</v>
      </c>
      <c r="C26" s="237">
        <f ca="1">ROUND(IF('数据-取费表'!B22&lt;=1,F21*F22*'数据-取费表'!B23/2,F21*(POWER((1+F22),'数据-取费表'!B23/2)-1)),4)</f>
        <v>1.1000000000000001E-3</v>
      </c>
      <c r="D26" s="237"/>
      <c r="E26" s="240"/>
      <c r="F26" s="238"/>
      <c r="G26" s="242"/>
    </row>
    <row r="27" spans="1:7" s="213" customFormat="1" ht="26.4">
      <c r="A27" s="775" t="s">
        <v>342</v>
      </c>
      <c r="B27" s="243" t="s">
        <v>85</v>
      </c>
      <c r="C27" s="244">
        <f>C28</f>
        <v>656</v>
      </c>
      <c r="D27" s="234">
        <f>C29</f>
        <v>5.9999999999999995E-4</v>
      </c>
      <c r="E27" s="235" t="s">
        <v>99</v>
      </c>
      <c r="F27" s="245">
        <f>'数据-取费表'!Q16</f>
        <v>0.03</v>
      </c>
      <c r="G27" s="246" t="s">
        <v>431</v>
      </c>
    </row>
    <row r="28" spans="1:7" s="213" customFormat="1" ht="13.5" customHeight="1">
      <c r="A28" s="778" t="s">
        <v>349</v>
      </c>
      <c r="B28" s="247" t="s">
        <v>424</v>
      </c>
      <c r="C28" s="248">
        <f>ROUND((C5+C19+C20)*F27*'数据-取费表'!B21/'数据-取费表'!B20,0)</f>
        <v>656</v>
      </c>
      <c r="D28" s="234"/>
      <c r="E28" s="235"/>
      <c r="F28" s="245"/>
      <c r="G28" s="246"/>
    </row>
    <row r="29" spans="1:7" s="213" customFormat="1" ht="13.5" customHeight="1">
      <c r="A29" s="778" t="s">
        <v>347</v>
      </c>
      <c r="B29" s="247" t="s">
        <v>425</v>
      </c>
      <c r="C29" s="237">
        <f>ROUND(C21*F27*'数据-取费表'!B21/'数据-取费表'!B20,4)</f>
        <v>5.9999999999999995E-4</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26906</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25978</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21486</v>
      </c>
      <c r="D34" s="216"/>
      <c r="E34" s="219"/>
      <c r="F34" s="256">
        <f>IF('数据-取费表'!B24=0,1,'数据-取费表'!N16)</f>
        <v>1</v>
      </c>
      <c r="G34" s="218" t="s">
        <v>89</v>
      </c>
    </row>
    <row r="35" spans="1:7" ht="13.5" customHeight="1">
      <c r="A35" s="778" t="s">
        <v>351</v>
      </c>
      <c r="B35" s="214" t="s">
        <v>33</v>
      </c>
      <c r="C35" s="219">
        <f>ROUND(C34*F35,0)</f>
        <v>2149</v>
      </c>
      <c r="D35" s="219"/>
      <c r="E35" s="219"/>
      <c r="F35" s="258">
        <f>'数据-取费表'!B33</f>
        <v>0.1</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1196</v>
      </c>
      <c r="D36" s="219"/>
      <c r="E36" s="219"/>
      <c r="F36" s="258">
        <f>'数据-取费表'!B34</f>
        <v>0.1</v>
      </c>
      <c r="G36" s="259" t="s">
        <v>35</v>
      </c>
    </row>
    <row r="37" spans="1:7" s="257" customFormat="1" ht="13.5" customHeight="1">
      <c r="A37" s="778" t="s">
        <v>353</v>
      </c>
      <c r="B37" s="214" t="s">
        <v>91</v>
      </c>
      <c r="C37" s="248">
        <f>ROUND(E37*D37*F34/10000,0)</f>
        <v>825</v>
      </c>
      <c r="D37" s="216">
        <f>'数据-汇总表'!E3</f>
        <v>41238</v>
      </c>
      <c r="E37" s="248">
        <f>'数据-取费表'!B35</f>
        <v>200</v>
      </c>
      <c r="F37" s="258"/>
      <c r="G37" s="260" t="s">
        <v>92</v>
      </c>
    </row>
    <row r="38" spans="1:7" ht="13.5" customHeight="1">
      <c r="A38" s="778" t="s">
        <v>354</v>
      </c>
      <c r="B38" s="214" t="s">
        <v>36</v>
      </c>
      <c r="C38" s="219">
        <f>ROUND(C34*F38,0)</f>
        <v>322</v>
      </c>
      <c r="D38" s="219"/>
      <c r="E38" s="219"/>
      <c r="F38" s="258">
        <f>'数据-取费表'!B36</f>
        <v>1.4999999999999999E-2</v>
      </c>
      <c r="G38" s="218" t="s">
        <v>90</v>
      </c>
    </row>
    <row r="39" spans="1:7" s="213" customFormat="1" ht="13.5" customHeight="1">
      <c r="A39" s="775" t="s">
        <v>338</v>
      </c>
      <c r="B39" s="209" t="s">
        <v>77</v>
      </c>
      <c r="C39" s="231">
        <f>ROUND(C33*F20,0)</f>
        <v>520</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949</v>
      </c>
      <c r="D41" s="234">
        <f ca="1">C44</f>
        <v>6.9999999999999999E-4</v>
      </c>
      <c r="E41" s="235" t="s">
        <v>102</v>
      </c>
      <c r="F41" s="236"/>
      <c r="G41" s="1064" t="str">
        <f>IF('数据-取费表'!B22&lt;=1,"单利计息","复利计息")</f>
        <v>复利计息</v>
      </c>
    </row>
    <row r="42" spans="1:7" ht="13.5" customHeight="1">
      <c r="A42" s="778" t="s">
        <v>349</v>
      </c>
      <c r="B42" s="214" t="s">
        <v>423</v>
      </c>
      <c r="C42" s="237">
        <f ca="1">ROUND(IF('数据-取费表'!B22&lt;=1,C33*F22*'数据-取费表'!B21/2,C33*(POWER((1+F22),'数据-取费表'!B21/2)-1)),0)</f>
        <v>930</v>
      </c>
      <c r="D42" s="237"/>
      <c r="E42" s="237"/>
      <c r="F42" s="238"/>
      <c r="G42" s="3761" t="s">
        <v>94</v>
      </c>
    </row>
    <row r="43" spans="1:7" ht="13.5" customHeight="1">
      <c r="A43" s="778" t="s">
        <v>347</v>
      </c>
      <c r="B43" s="214" t="s">
        <v>426</v>
      </c>
      <c r="C43" s="237">
        <f ca="1">ROUND(IF('数据-取费表'!B22&lt;=1,C39*F22*'数据-取费表'!B21/2,C39*(POWER((1+F22),'数据-取费表'!B21/2)-1)),0)</f>
        <v>19</v>
      </c>
      <c r="D43" s="237"/>
      <c r="E43" s="237"/>
      <c r="F43" s="238"/>
      <c r="G43" s="3762"/>
    </row>
    <row r="44" spans="1:7" ht="13.5" customHeight="1">
      <c r="A44" s="778" t="s">
        <v>348</v>
      </c>
      <c r="B44" s="214" t="s">
        <v>428</v>
      </c>
      <c r="C44" s="237">
        <f ca="1">ROUND(IF('数据-取费表'!B22&lt;=1,C40*F22*'数据-取费表'!B21/2,C40*(POWER((1+F22),'数据-取费表'!B21/2)-1)),4)</f>
        <v>6.9999999999999999E-4</v>
      </c>
      <c r="D44" s="237"/>
      <c r="E44" s="237"/>
      <c r="F44" s="238"/>
      <c r="G44" s="3763"/>
    </row>
    <row r="45" spans="1:7" s="213" customFormat="1" ht="13.5" customHeight="1">
      <c r="A45" s="775" t="s">
        <v>341</v>
      </c>
      <c r="B45" s="243" t="s">
        <v>85</v>
      </c>
      <c r="C45" s="244">
        <f>C46</f>
        <v>795</v>
      </c>
      <c r="D45" s="234">
        <f>C47</f>
        <v>5.9999999999999995E-4</v>
      </c>
      <c r="E45" s="235" t="s">
        <v>102</v>
      </c>
      <c r="F45" s="245"/>
      <c r="G45" s="246" t="s">
        <v>434</v>
      </c>
    </row>
    <row r="46" spans="1:7" s="213" customFormat="1" ht="13.5" customHeight="1">
      <c r="A46" s="778" t="s">
        <v>349</v>
      </c>
      <c r="B46" s="247" t="s">
        <v>427</v>
      </c>
      <c r="C46" s="248">
        <f>ROUND((C33+C39)*F27,0)</f>
        <v>795</v>
      </c>
      <c r="D46" s="262"/>
      <c r="E46" s="235"/>
      <c r="F46" s="245"/>
      <c r="G46" s="246"/>
    </row>
    <row r="47" spans="1:7" s="213" customFormat="1" ht="13.5" customHeight="1">
      <c r="A47" s="778" t="s">
        <v>347</v>
      </c>
      <c r="B47" s="247" t="s">
        <v>429</v>
      </c>
      <c r="C47" s="237">
        <f>ROUND(C40*F27,4)</f>
        <v>5.9999999999999995E-4</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30488</v>
      </c>
      <c r="D49" s="231"/>
      <c r="E49" s="231"/>
      <c r="F49" s="263"/>
      <c r="G49" s="233" t="s">
        <v>435</v>
      </c>
    </row>
    <row r="50" spans="1:7" s="257" customFormat="1" ht="24">
      <c r="A50" s="775" t="s">
        <v>344</v>
      </c>
      <c r="B50" s="209" t="s">
        <v>97</v>
      </c>
      <c r="C50" s="231"/>
      <c r="D50" s="231"/>
      <c r="E50" s="231"/>
      <c r="F50" s="263">
        <f>IF('数据-取费表'!B24=0,'数据-取费表'!N16,1)</f>
        <v>1</v>
      </c>
      <c r="G50" s="246" t="s">
        <v>98</v>
      </c>
    </row>
    <row r="51" spans="1:7" ht="16.5" customHeight="1">
      <c r="A51" s="775" t="s">
        <v>345</v>
      </c>
      <c r="B51" s="209" t="s">
        <v>105</v>
      </c>
      <c r="C51" s="231">
        <f ca="1">ROUND(C49*F50,0)</f>
        <v>30488</v>
      </c>
      <c r="D51" s="231"/>
      <c r="E51" s="231"/>
      <c r="F51" s="263"/>
      <c r="G51" s="233" t="s">
        <v>37</v>
      </c>
    </row>
    <row r="52" spans="1:7" s="207" customFormat="1" ht="16.8" thickBot="1">
      <c r="A52" s="264" t="s">
        <v>38</v>
      </c>
      <c r="B52" s="265"/>
      <c r="C52" s="266">
        <f ca="1">C31+C51</f>
        <v>57394</v>
      </c>
      <c r="D52" s="265"/>
      <c r="E52" s="265"/>
      <c r="F52" s="265"/>
      <c r="G52" s="267"/>
    </row>
    <row r="55" spans="1:7" ht="15">
      <c r="B55" s="269" t="s">
        <v>39</v>
      </c>
      <c r="C55" s="270"/>
    </row>
    <row r="56" spans="1:7">
      <c r="B56" s="272" t="s">
        <v>40</v>
      </c>
      <c r="C56" s="273">
        <f ca="1">ROUND(C51/C52,3)</f>
        <v>0.53100000000000003</v>
      </c>
    </row>
    <row r="57" spans="1:7">
      <c r="B57" s="272" t="s">
        <v>41</v>
      </c>
      <c r="C57" s="274">
        <f ca="1">1-C56</f>
        <v>0.46899999999999997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77734375" defaultRowHeight="11.4"/>
  <cols>
    <col min="1" max="1" width="9.6640625" style="3223" customWidth="1"/>
    <col min="2" max="2" width="18.6640625" style="3223" customWidth="1"/>
    <col min="3" max="6" width="10.109375" style="3223" customWidth="1"/>
    <col min="7" max="7" width="10.44140625" style="3223" bestFit="1" customWidth="1"/>
    <col min="8" max="8" width="8.77734375" style="3219"/>
    <col min="9" max="9" width="13.33203125" style="3219" customWidth="1"/>
    <col min="10" max="13" width="13.33203125" style="3223" customWidth="1"/>
    <col min="14" max="14" width="18.109375" style="3223" customWidth="1"/>
    <col min="15" max="17" width="15.109375" style="3223" customWidth="1"/>
    <col min="18" max="20" width="11.44140625" style="3223" customWidth="1"/>
    <col min="21" max="16384" width="8.77734375" style="3223"/>
  </cols>
  <sheetData>
    <row r="1" spans="1:20" ht="12" thickBot="1">
      <c r="A1" s="4058" t="s">
        <v>2839</v>
      </c>
      <c r="B1" s="4058"/>
      <c r="C1" s="4058"/>
      <c r="D1" s="4058"/>
      <c r="E1" s="4058"/>
      <c r="F1" s="4058"/>
      <c r="G1" s="4059"/>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4056" t="s">
        <v>2866</v>
      </c>
      <c r="B3" s="3227"/>
      <c r="C3" s="3228" t="s">
        <v>2811</v>
      </c>
      <c r="D3" s="3228" t="s">
        <v>2867</v>
      </c>
      <c r="E3" s="3228" t="s">
        <v>2813</v>
      </c>
      <c r="F3" s="3228" t="s">
        <v>2868</v>
      </c>
      <c r="G3" s="3228" t="s">
        <v>2631</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4057"/>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77734375" defaultRowHeight="13.8"/>
  <cols>
    <col min="1" max="1" width="12.6640625" style="3286" customWidth="1"/>
    <col min="2" max="2" width="20" style="3286" customWidth="1"/>
    <col min="3" max="7" width="8.77734375" style="3250"/>
    <col min="8" max="16384" width="8.77734375" style="3251"/>
  </cols>
  <sheetData>
    <row r="1" spans="1:7" ht="14.4">
      <c r="A1" s="4060" t="s">
        <v>3181</v>
      </c>
      <c r="B1" s="4060"/>
    </row>
    <row r="2" spans="1:7" ht="15" thickBot="1">
      <c r="A2" s="3252"/>
      <c r="B2" s="3252"/>
    </row>
    <row r="3" spans="1:7" ht="15" thickBot="1">
      <c r="A3" s="3252"/>
      <c r="B3" s="3252"/>
      <c r="C3" s="3253" t="s">
        <v>2811</v>
      </c>
      <c r="D3" s="3253" t="s">
        <v>2867</v>
      </c>
      <c r="E3" s="3253" t="s">
        <v>2813</v>
      </c>
      <c r="F3" s="3253" t="s">
        <v>2868</v>
      </c>
      <c r="G3" s="3253" t="s">
        <v>2631</v>
      </c>
    </row>
    <row r="4" spans="1:7" ht="14.4"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4"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4"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4"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4"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4"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4"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4"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4"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4"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4"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4"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4"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09375" defaultRowHeight="13.8"/>
  <cols>
    <col min="1" max="16384" width="13.109375" style="3287"/>
  </cols>
  <sheetData>
    <row r="1" spans="1:6" ht="14.4">
      <c r="A1" s="4061" t="s">
        <v>3232</v>
      </c>
      <c r="B1" s="4061"/>
      <c r="C1" s="4061"/>
      <c r="D1" s="4061"/>
      <c r="E1" s="4061"/>
      <c r="F1" s="4062"/>
    </row>
    <row r="2" spans="1:6" ht="14.4">
      <c r="A2" s="3288" t="s">
        <v>3233</v>
      </c>
      <c r="B2" s="3289"/>
      <c r="C2" s="3289"/>
      <c r="D2" s="3289"/>
      <c r="E2" s="3289"/>
      <c r="F2" s="3289"/>
    </row>
    <row r="3" spans="1:6" ht="14.4">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637" t="str">
        <f>IF(项目基本情况!B9="房地产市场价值","估价结果一览表","结果表-2")</f>
        <v>估价结果一览表</v>
      </c>
      <c r="B1" s="3637"/>
      <c r="C1" s="3637"/>
      <c r="D1" s="3637"/>
      <c r="E1" s="3637"/>
      <c r="F1" s="3637"/>
      <c r="G1" s="3637"/>
      <c r="H1" s="3637"/>
      <c r="I1" s="3637"/>
    </row>
    <row r="2" spans="1:9" ht="30" customHeight="1" thickTop="1">
      <c r="A2" s="3638" t="s">
        <v>928</v>
      </c>
      <c r="B2" s="3638" t="s">
        <v>929</v>
      </c>
      <c r="C2" s="3638" t="s">
        <v>930</v>
      </c>
      <c r="D2" s="3638" t="str">
        <f>结果表!D116</f>
        <v>出让国有建设用地使用权价值</v>
      </c>
      <c r="E2" s="3638"/>
      <c r="F2" s="3638" t="str">
        <f>结果表!F116</f>
        <v>在建建筑物价值</v>
      </c>
      <c r="G2" s="3638"/>
      <c r="H2" s="3638" t="str">
        <f>IF(项目基本情况!B9="房地产市场价值","房地产市场价值","房地产价值")</f>
        <v>房地产市场价值</v>
      </c>
      <c r="I2" s="3638"/>
    </row>
    <row r="3" spans="1:9" ht="15.6">
      <c r="A3" s="3639"/>
      <c r="B3" s="3639"/>
      <c r="C3" s="3639"/>
      <c r="D3" s="852" t="s">
        <v>925</v>
      </c>
      <c r="E3" s="852" t="s">
        <v>931</v>
      </c>
      <c r="F3" s="852" t="s">
        <v>925</v>
      </c>
      <c r="G3" s="852" t="s">
        <v>926</v>
      </c>
      <c r="H3" s="852" t="s">
        <v>925</v>
      </c>
      <c r="I3" s="852" t="s">
        <v>926</v>
      </c>
    </row>
    <row r="4" spans="1:9" ht="15">
      <c r="A4" s="1502" t="str">
        <f>项目基本情况!S2</f>
        <v>北京市房地产</v>
      </c>
      <c r="B4" s="852">
        <f>项目基本情况!C17</f>
        <v>41238</v>
      </c>
      <c r="C4" s="852">
        <f>项目基本情况!C18</f>
        <v>14060.635630028937</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639" t="s">
        <v>927</v>
      </c>
      <c r="B5" s="3639"/>
      <c r="C5" s="3639"/>
      <c r="D5" s="3639" t="e">
        <f ca="1">结果表!D119</f>
        <v>#REF!</v>
      </c>
      <c r="E5" s="3639"/>
      <c r="F5" s="3639" t="e">
        <f ca="1">结果表!F119</f>
        <v>#REF!</v>
      </c>
      <c r="G5" s="3639"/>
      <c r="H5" s="3639" t="e">
        <f ca="1">结果表!H119</f>
        <v>#REF!</v>
      </c>
      <c r="I5" s="3639"/>
    </row>
    <row r="6" spans="1:9" ht="15.6">
      <c r="A6" s="3640" t="str">
        <f>结果表!A120</f>
        <v/>
      </c>
      <c r="B6" s="3640"/>
      <c r="C6" s="3640"/>
      <c r="D6" s="3640">
        <f>结果表!D120</f>
        <v>0</v>
      </c>
      <c r="E6" s="3640"/>
      <c r="F6" s="3640"/>
      <c r="G6" s="3640"/>
      <c r="H6" s="3640"/>
      <c r="I6" s="3640"/>
    </row>
    <row r="7" spans="1:9" ht="15">
      <c r="A7" s="3639" t="s">
        <v>927</v>
      </c>
      <c r="B7" s="3639"/>
      <c r="C7" s="3639"/>
      <c r="D7" s="3641" t="str">
        <f>结果表!D121</f>
        <v>零元整</v>
      </c>
      <c r="E7" s="3642"/>
      <c r="F7" s="3642"/>
      <c r="G7" s="3642"/>
      <c r="H7" s="3642"/>
      <c r="I7" s="3643"/>
    </row>
    <row r="8" spans="1:9" ht="15.6">
      <c r="A8" s="3640" t="str">
        <f>结果表!A122</f>
        <v/>
      </c>
      <c r="B8" s="3640"/>
      <c r="C8" s="3640"/>
      <c r="D8" s="3640" t="e">
        <f ca="1">结果表!D122</f>
        <v>#REF!</v>
      </c>
      <c r="E8" s="3640"/>
      <c r="F8" s="3640"/>
      <c r="G8" s="3640"/>
      <c r="H8" s="3640"/>
      <c r="I8" s="3640"/>
    </row>
    <row r="9" spans="1:9" ht="15">
      <c r="A9" s="3639" t="s">
        <v>927</v>
      </c>
      <c r="B9" s="3639"/>
      <c r="C9" s="3639"/>
      <c r="D9" s="3639" t="e">
        <f ca="1">结果表!D123</f>
        <v>#REF!</v>
      </c>
      <c r="E9" s="3639"/>
      <c r="F9" s="3639"/>
      <c r="G9" s="3639"/>
      <c r="H9" s="3639"/>
      <c r="I9" s="3639"/>
    </row>
    <row r="10" spans="1:9" ht="15.6">
      <c r="A10" s="3640" t="str">
        <f>结果表!A124</f>
        <v/>
      </c>
      <c r="B10" s="3640"/>
      <c r="C10" s="3640"/>
      <c r="D10" s="3640" t="str">
        <f>结果表!D124</f>
        <v>——</v>
      </c>
      <c r="E10" s="3640"/>
      <c r="F10" s="3640"/>
      <c r="G10" s="3640"/>
      <c r="H10" s="3640"/>
      <c r="I10" s="3640"/>
    </row>
    <row r="11" spans="1:9" ht="15">
      <c r="A11" s="3639" t="s">
        <v>927</v>
      </c>
      <c r="B11" s="3639"/>
      <c r="C11" s="3639"/>
      <c r="D11" s="3639" t="e">
        <f>结果表!D125</f>
        <v>#VALUE!</v>
      </c>
      <c r="E11" s="3639"/>
      <c r="F11" s="3639"/>
      <c r="G11" s="3639"/>
      <c r="H11" s="3639"/>
      <c r="I11" s="3639"/>
    </row>
    <row r="12" spans="1:9" ht="15.6">
      <c r="A12" s="3640" t="str">
        <f>结果表!A126</f>
        <v/>
      </c>
      <c r="B12" s="3640"/>
      <c r="C12" s="3640"/>
      <c r="D12" s="3640" t="str">
        <f>结果表!D126</f>
        <v>——</v>
      </c>
      <c r="E12" s="3640"/>
      <c r="F12" s="3640"/>
      <c r="G12" s="3640"/>
      <c r="H12" s="3640"/>
      <c r="I12" s="3640"/>
    </row>
    <row r="13" spans="1:9" ht="15.6" thickBot="1">
      <c r="A13" s="3644" t="s">
        <v>927</v>
      </c>
      <c r="B13" s="3644"/>
      <c r="C13" s="3644"/>
      <c r="D13" s="3644" t="e">
        <f>结果表!D127</f>
        <v>#VALUE!</v>
      </c>
      <c r="E13" s="3644"/>
      <c r="F13" s="3644"/>
      <c r="G13" s="3644"/>
      <c r="H13" s="3644"/>
      <c r="I13" s="3644"/>
    </row>
    <row r="14" spans="1:9" ht="14.4" thickTop="1">
      <c r="A14" s="3645" t="s">
        <v>932</v>
      </c>
      <c r="B14" s="3645"/>
      <c r="C14" s="3645"/>
      <c r="D14" s="3645"/>
      <c r="E14" s="3645"/>
      <c r="F14" s="3645"/>
      <c r="G14" s="3645"/>
      <c r="H14" s="3645"/>
      <c r="I14" s="3645"/>
    </row>
    <row r="16" spans="1:9" ht="17.399999999999999">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ColWidth="8.77734375" defaultRowHeight="13.8"/>
  <cols>
    <col min="1" max="1" width="13.77734375" customWidth="1"/>
    <col min="11" max="17" width="0" hidden="1" customWidth="1"/>
    <col min="25" max="30" width="0" hidden="1" customWidth="1"/>
  </cols>
  <sheetData>
    <row r="1" spans="1:30">
      <c r="A1" s="3218">
        <f>基准地价修正!G23</f>
        <v>45511</v>
      </c>
      <c r="B1" s="3207" t="s">
        <v>3371</v>
      </c>
      <c r="C1" s="3208"/>
      <c r="D1" s="3208"/>
      <c r="E1" s="3208"/>
      <c r="F1" s="3208"/>
      <c r="G1" s="3208"/>
      <c r="H1" s="3208"/>
      <c r="I1" s="3208"/>
      <c r="J1" s="3162"/>
      <c r="K1" s="3208" t="s">
        <v>454</v>
      </c>
      <c r="L1" s="3208"/>
      <c r="M1" s="3208"/>
      <c r="N1" s="3208"/>
      <c r="O1" s="3208"/>
      <c r="P1" s="3208"/>
      <c r="Q1" s="3162"/>
      <c r="R1" s="4063" t="s">
        <v>456</v>
      </c>
      <c r="S1" s="4064"/>
      <c r="T1" s="4064"/>
      <c r="U1" s="4064"/>
      <c r="V1" s="4064"/>
      <c r="W1" s="4064"/>
      <c r="X1" s="3162"/>
      <c r="Y1" s="4063" t="s">
        <v>457</v>
      </c>
      <c r="Z1" s="4064"/>
      <c r="AA1" s="4064"/>
      <c r="AB1" s="4064"/>
      <c r="AC1" s="4064"/>
      <c r="AD1" s="4064"/>
    </row>
    <row r="2" spans="1:30" s="3140" customFormat="1" ht="15" thickBot="1">
      <c r="B2" s="3141"/>
      <c r="C2" s="3142"/>
      <c r="D2" s="3143" t="s">
        <v>2810</v>
      </c>
      <c r="E2" s="3144"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3.2">
      <c r="A3" s="3146" t="s">
        <v>2819</v>
      </c>
      <c r="B3" s="3147"/>
      <c r="C3" s="3148"/>
      <c r="D3" s="3148">
        <f>ROUND(AVERAGEIF(D4:D19,"&lt;&gt;0"),2)</f>
        <v>0.59</v>
      </c>
      <c r="E3" s="3148">
        <f>ROUND(AVERAGEIF(E4:E19,"&lt;&gt;0"),2)</f>
        <v>0.36</v>
      </c>
      <c r="F3" s="3148">
        <f>ROUND(AVERAGEIF(F4:F19,"&lt;&gt;0"),2)</f>
        <v>0.06</v>
      </c>
      <c r="G3" s="3148">
        <f>ROUND(AVERAGEIF(G4:G19,"&lt;&gt;0"),2)</f>
        <v>0.6</v>
      </c>
      <c r="H3" s="3148">
        <f>ROUND(AVERAGEIF(H4:H19,"&lt;&gt;0"),2)</f>
        <v>0.6</v>
      </c>
      <c r="I3" s="3148">
        <f>F3</f>
        <v>0.06</v>
      </c>
      <c r="J3" s="3149"/>
      <c r="K3" s="3150">
        <f>ROUND(AVERAGEIF(K4:K19,"&lt;&gt;0"),4)</f>
        <v>5.8999999999999999E-3</v>
      </c>
      <c r="L3" s="3151">
        <f>ROUND(AVERAGEIF(L4:L19,"&lt;&gt;0"),4)</f>
        <v>3.5999999999999999E-3</v>
      </c>
      <c r="M3" s="3151">
        <f>ROUND(AVERAGEIF(M4:M19,"&lt;&gt;0"),4)</f>
        <v>5.9999999999999995E-4</v>
      </c>
      <c r="N3" s="3151">
        <f>ROUND(AVERAGEIF(N4:N19,"&lt;&gt;0"),4)</f>
        <v>6.0000000000000001E-3</v>
      </c>
      <c r="O3" s="3151">
        <f>ROUND(AVERAGEIF(O4:O19,"&lt;&gt;0"),4)</f>
        <v>6.0000000000000001E-3</v>
      </c>
      <c r="P3" s="3151">
        <f>M3</f>
        <v>5.9999999999999995E-4</v>
      </c>
      <c r="Q3" s="3149"/>
      <c r="R3" s="3152">
        <f>ROUND(SUMPRODUCT(PRODUCT(1+K4:K19)),4)</f>
        <v>1.0852999999999999</v>
      </c>
      <c r="S3" s="3153">
        <f>ROUND(SUMPRODUCT(PRODUCT(1+L4:L19)),4)</f>
        <v>1.0513999999999999</v>
      </c>
      <c r="T3" s="3153">
        <f>ROUND(SUMPRODUCT(PRODUCT(1+M4:M19)),4)</f>
        <v>1.0083</v>
      </c>
      <c r="U3" s="3153">
        <f>ROUND(SUMPRODUCT(PRODUCT(1+N4:N19)),4)</f>
        <v>1.0871999999999999</v>
      </c>
      <c r="V3" s="3153">
        <f>ROUND(SUMPRODUCT(PRODUCT(1+O4:O19)),4)</f>
        <v>1.0880000000000001</v>
      </c>
      <c r="W3" s="3152">
        <f>T3</f>
        <v>1.0083</v>
      </c>
      <c r="X3" s="3149"/>
      <c r="Y3" s="3154">
        <f>ROUND(AVERAGEIF(Y6:Y19,"&lt;&gt;0"),4)</f>
        <v>8.3999999999999995E-3</v>
      </c>
      <c r="Z3" s="3155">
        <f>ROUND(AVERAGEIF(Z6:Z19,"&lt;&gt;0"),4)</f>
        <v>3.5000000000000001E-3</v>
      </c>
      <c r="AA3" s="3156">
        <f>ROUND(AVERAGEIF(AA6:AA19,"&lt;&gt;0"),4)</f>
        <v>8.0000000000000004E-4</v>
      </c>
      <c r="AB3" s="3154">
        <f>ROUND(AVERAGEIF(AB6:AB19,"&lt;&gt;0"),4)</f>
        <v>9.1000000000000004E-3</v>
      </c>
      <c r="AC3" s="3157">
        <f>ROUND(AVERAGEIF(AC6:AC19,"&lt;&gt;0"),4)</f>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3377</v>
      </c>
      <c r="B5" s="3174">
        <v>2024</v>
      </c>
      <c r="C5" s="3175">
        <v>3</v>
      </c>
      <c r="D5" s="3176">
        <v>0</v>
      </c>
      <c r="E5" s="3176">
        <v>0</v>
      </c>
      <c r="F5" s="3176">
        <v>0</v>
      </c>
      <c r="G5" s="3176">
        <v>0</v>
      </c>
      <c r="H5" s="3176">
        <v>0</v>
      </c>
      <c r="I5" s="3177">
        <f>F5</f>
        <v>0</v>
      </c>
      <c r="J5" s="3178"/>
      <c r="K5" s="3179">
        <f>D5/100</f>
        <v>0</v>
      </c>
      <c r="L5" s="3169">
        <f>E5/100</f>
        <v>0</v>
      </c>
      <c r="M5" s="3169">
        <f>F5/100</f>
        <v>0</v>
      </c>
      <c r="N5" s="3169">
        <f>G5/100</f>
        <v>0</v>
      </c>
      <c r="O5" s="3169">
        <f>H5/100</f>
        <v>0</v>
      </c>
      <c r="P5" s="3169">
        <f t="shared" ref="P5:P11" si="0">M5</f>
        <v>0</v>
      </c>
      <c r="Q5" s="3178"/>
      <c r="R5" s="3180">
        <f>ROUND(IF(项目基本情况!$B$8="出让",SUMPRODUCT(PRODUCT(1+K5:$K$19)),SUMPRODUCT(PRODUCT(1+K5:$K$18))),4)</f>
        <v>1.0748</v>
      </c>
      <c r="S5" s="3180">
        <f>ROUND(IF(项目基本情况!$B$8="出让",SUMPRODUCT(PRODUCT(1+L5:$L$19)),SUMPRODUCT(PRODUCT(1+L5:$L$18))),4)</f>
        <v>1.0498000000000001</v>
      </c>
      <c r="T5" s="3180">
        <f>ROUND(IF(项目基本情况!$B$8="出让",SUMPRODUCT(PRODUCT(1+M5:$M$19)),SUMPRODUCT(PRODUCT(1+M5:$M$18))),4)</f>
        <v>1.0107999999999999</v>
      </c>
      <c r="U5" s="3180">
        <f>ROUND(IF(项目基本情况!$B$8="出让",SUMPRODUCT(PRODUCT(1+N5:$N$19)),SUMPRODUCT(PRODUCT(1+N5:$N$18))),4)</f>
        <v>1.0752999999999999</v>
      </c>
      <c r="V5" s="3180">
        <f>ROUND(IF(项目基本情况!$B$8="出让",SUMPRODUCT(PRODUCT(1+O5:$O$19)),SUMPRODUCT(PRODUCT(1+O5:$O$18))),4)</f>
        <v>1.0841000000000001</v>
      </c>
      <c r="W5" s="3180">
        <f t="shared" ref="W5:W10" si="1">T5</f>
        <v>1.0107999999999999</v>
      </c>
      <c r="X5" s="3178"/>
      <c r="Y5" s="3181">
        <f t="shared" ref="Y5:AC6" si="2">IF(D5=0,0,ROUND(AVERAGE(D5:D18)/100,4))</f>
        <v>0</v>
      </c>
      <c r="Z5" s="3181">
        <f t="shared" si="2"/>
        <v>0</v>
      </c>
      <c r="AA5" s="3181">
        <f t="shared" si="2"/>
        <v>0</v>
      </c>
      <c r="AB5" s="3181">
        <f t="shared" si="2"/>
        <v>0</v>
      </c>
      <c r="AC5" s="3181">
        <f t="shared" si="2"/>
        <v>0</v>
      </c>
      <c r="AD5" s="3181">
        <f>AA5</f>
        <v>0</v>
      </c>
    </row>
    <row r="6" spans="1:30" s="3192" customFormat="1" ht="13.2">
      <c r="A6" s="3183" t="s">
        <v>3378</v>
      </c>
      <c r="B6" s="3184">
        <v>2024</v>
      </c>
      <c r="C6" s="3185">
        <v>2</v>
      </c>
      <c r="D6" s="3186">
        <v>-0.59</v>
      </c>
      <c r="E6" s="3186">
        <v>-0.21</v>
      </c>
      <c r="F6" s="3186">
        <v>-1.38</v>
      </c>
      <c r="G6" s="3186">
        <v>-1.24</v>
      </c>
      <c r="H6" s="3187">
        <v>0.34</v>
      </c>
      <c r="I6" s="3188">
        <f t="shared" ref="I6:I19" si="3">F6</f>
        <v>-1.38</v>
      </c>
      <c r="J6" s="3189"/>
      <c r="K6" s="3190">
        <f t="shared" ref="K6:O19" si="4">D6/100</f>
        <v>-5.8999999999999999E-3</v>
      </c>
      <c r="L6" s="3191">
        <f t="shared" si="4"/>
        <v>-2.0999999999999999E-3</v>
      </c>
      <c r="M6" s="3191">
        <f t="shared" si="4"/>
        <v>-1.38E-2</v>
      </c>
      <c r="N6" s="3191">
        <f t="shared" si="4"/>
        <v>-1.24E-2</v>
      </c>
      <c r="O6" s="3191">
        <f t="shared" si="4"/>
        <v>3.4000000000000002E-3</v>
      </c>
      <c r="P6" s="3191">
        <f t="shared" si="0"/>
        <v>-1.38E-2</v>
      </c>
      <c r="Q6" s="3189"/>
      <c r="R6" s="3189">
        <f>ROUND(IF(项目基本情况!$B$8="出让",SUMPRODUCT(PRODUCT(1+K6:$K$19)),SUMPRODUCT(PRODUCT(1+K6:$K$18))),4)</f>
        <v>1.0748</v>
      </c>
      <c r="S6" s="3189">
        <f>ROUND(IF(项目基本情况!$B$8="出让",SUMPRODUCT(PRODUCT(1+L6:$L$19)),SUMPRODUCT(PRODUCT(1+L6:$L$18))),4)</f>
        <v>1.0498000000000001</v>
      </c>
      <c r="T6" s="3189">
        <f>ROUND(IF(项目基本情况!$B$8="出让",SUMPRODUCT(PRODUCT(1+M6:$M$19)),SUMPRODUCT(PRODUCT(1+M6:$M$18))),4)</f>
        <v>1.0107999999999999</v>
      </c>
      <c r="U6" s="3189">
        <f>ROUND(IF(项目基本情况!$B$8="出让",SUMPRODUCT(PRODUCT(1+N6:$N$19)),SUMPRODUCT(PRODUCT(1+N6:$N$18))),4)</f>
        <v>1.0752999999999999</v>
      </c>
      <c r="V6" s="3189">
        <f>ROUND(IF(项目基本情况!$B$8="出让",SUMPRODUCT(PRODUCT(1+O6:$O$19)),SUMPRODUCT(PRODUCT(1+O6:$O$18))),4)</f>
        <v>1.0841000000000001</v>
      </c>
      <c r="W6" s="3189">
        <f t="shared" si="1"/>
        <v>1.0107999999999999</v>
      </c>
      <c r="X6" s="3189"/>
      <c r="Y6" s="3191">
        <f t="shared" si="2"/>
        <v>5.8999999999999999E-3</v>
      </c>
      <c r="Z6" s="3191">
        <f t="shared" si="2"/>
        <v>3.5999999999999999E-3</v>
      </c>
      <c r="AA6" s="3191">
        <f t="shared" si="2"/>
        <v>5.9999999999999995E-4</v>
      </c>
      <c r="AB6" s="3191">
        <f t="shared" si="2"/>
        <v>6.0000000000000001E-3</v>
      </c>
      <c r="AC6" s="3191">
        <f t="shared" si="2"/>
        <v>6.0000000000000001E-3</v>
      </c>
      <c r="AD6" s="3191">
        <f t="shared" ref="AD6:AD18" si="5">AA6</f>
        <v>5.9999999999999995E-4</v>
      </c>
    </row>
    <row r="7" spans="1:30" s="3182" customFormat="1" ht="13.2">
      <c r="A7" s="3173" t="s">
        <v>3380</v>
      </c>
      <c r="B7" s="3174">
        <v>2024</v>
      </c>
      <c r="C7" s="3175">
        <v>1</v>
      </c>
      <c r="D7" s="3176">
        <v>0.08</v>
      </c>
      <c r="E7" s="3176">
        <v>0.46</v>
      </c>
      <c r="F7" s="3176">
        <v>-0.16</v>
      </c>
      <c r="G7" s="3176">
        <v>0.26</v>
      </c>
      <c r="H7" s="3193">
        <v>0.59</v>
      </c>
      <c r="I7" s="3177">
        <v>0</v>
      </c>
      <c r="J7" s="3178"/>
      <c r="K7" s="3179">
        <f>D7/100</f>
        <v>8.0000000000000004E-4</v>
      </c>
      <c r="L7" s="3169">
        <f>E7/100</f>
        <v>4.5999999999999999E-3</v>
      </c>
      <c r="M7" s="3169">
        <f>F7/100</f>
        <v>-1.6000000000000001E-3</v>
      </c>
      <c r="N7" s="3169">
        <f>G7/100</f>
        <v>2.5999999999999999E-3</v>
      </c>
      <c r="O7" s="3169">
        <f>H7/100</f>
        <v>5.8999999999999999E-3</v>
      </c>
      <c r="P7" s="3169">
        <f t="shared" si="0"/>
        <v>-1.6000000000000001E-3</v>
      </c>
      <c r="Q7" s="3178"/>
      <c r="R7" s="3180">
        <f>ROUND(IF(项目基本情况!$B$8="出让",SUMPRODUCT(PRODUCT(1+K7:$K$19)),SUMPRODUCT(PRODUCT(1+K7:$K$18))),4)</f>
        <v>1.0811999999999999</v>
      </c>
      <c r="S7" s="3180">
        <f>ROUND(IF(项目基本情况!$B$8="出让",SUMPRODUCT(PRODUCT(1+L7:$L$19)),SUMPRODUCT(PRODUCT(1+L7:$L$18))),4)</f>
        <v>1.052</v>
      </c>
      <c r="T7" s="3180">
        <f>ROUND(IF(项目基本情况!$B$8="出让",SUMPRODUCT(PRODUCT(1+M7:$M$19)),SUMPRODUCT(PRODUCT(1+M7:$M$18))),4)</f>
        <v>1.0249999999999999</v>
      </c>
      <c r="U7" s="3180">
        <f>ROUND(IF(项目基本情况!$B$8="出让",SUMPRODUCT(PRODUCT(1+N7:$N$19)),SUMPRODUCT(PRODUCT(1+N7:$N$18))),4)</f>
        <v>1.0888</v>
      </c>
      <c r="V7" s="3180">
        <f>ROUND(IF(项目基本情况!$B$8="出让",SUMPRODUCT(PRODUCT(1+O7:$O$19)),SUMPRODUCT(PRODUCT(1+O7:$O$18))),4)</f>
        <v>1.0804</v>
      </c>
      <c r="W7" s="3180">
        <f t="shared" si="1"/>
        <v>1.0249999999999999</v>
      </c>
      <c r="X7" s="3178"/>
      <c r="Y7" s="3181"/>
      <c r="Z7" s="3181"/>
      <c r="AA7" s="3181"/>
      <c r="AB7" s="3181"/>
      <c r="AC7" s="3181"/>
      <c r="AD7" s="3181"/>
    </row>
    <row r="8" spans="1:30" s="3182" customFormat="1" ht="13.2">
      <c r="A8" s="3173" t="s">
        <v>3375</v>
      </c>
      <c r="B8" s="3174">
        <v>2023</v>
      </c>
      <c r="C8" s="3175">
        <v>4</v>
      </c>
      <c r="D8" s="3176">
        <v>0.19</v>
      </c>
      <c r="E8" s="3176">
        <v>0.24</v>
      </c>
      <c r="F8" s="3176">
        <v>-0.16</v>
      </c>
      <c r="G8" s="3176">
        <v>0.17</v>
      </c>
      <c r="H8" s="3193">
        <v>0.61</v>
      </c>
      <c r="I8" s="3177">
        <f>F8</f>
        <v>-0.16</v>
      </c>
      <c r="J8" s="3178"/>
      <c r="K8" s="3179">
        <f t="shared" si="4"/>
        <v>1.9E-3</v>
      </c>
      <c r="L8" s="3169">
        <f t="shared" si="4"/>
        <v>2.3999999999999998E-3</v>
      </c>
      <c r="M8" s="3169">
        <f t="shared" si="4"/>
        <v>-1.6000000000000001E-3</v>
      </c>
      <c r="N8" s="3169">
        <f t="shared" si="4"/>
        <v>1.7000000000000001E-3</v>
      </c>
      <c r="O8" s="3169">
        <f t="shared" si="4"/>
        <v>6.0999999999999995E-3</v>
      </c>
      <c r="P8" s="3169">
        <f t="shared" si="0"/>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si="1"/>
        <v>1.0266</v>
      </c>
      <c r="X8" s="3178"/>
      <c r="Y8" s="3181"/>
      <c r="Z8" s="3181"/>
      <c r="AA8" s="3181"/>
      <c r="AB8" s="3181"/>
      <c r="AC8" s="3181"/>
      <c r="AD8" s="3181"/>
    </row>
    <row r="9" spans="1:30" s="3182" customFormat="1" ht="13.2">
      <c r="A9" s="3173" t="s">
        <v>3374</v>
      </c>
      <c r="B9" s="3174">
        <v>2023</v>
      </c>
      <c r="C9" s="3175">
        <v>3</v>
      </c>
      <c r="D9" s="3176">
        <v>0.25</v>
      </c>
      <c r="E9" s="3176">
        <v>0.5</v>
      </c>
      <c r="F9" s="3176">
        <v>0.31</v>
      </c>
      <c r="G9" s="3176">
        <v>0.21</v>
      </c>
      <c r="H9" s="3193">
        <v>0.43</v>
      </c>
      <c r="I9" s="3177">
        <f t="shared" si="3"/>
        <v>0.31</v>
      </c>
      <c r="J9" s="3178"/>
      <c r="K9" s="3179">
        <f t="shared" ref="K9:O11" si="6">D9/100</f>
        <v>2.5000000000000001E-3</v>
      </c>
      <c r="L9" s="3169">
        <f t="shared" si="6"/>
        <v>5.0000000000000001E-3</v>
      </c>
      <c r="M9" s="3169">
        <f t="shared" si="6"/>
        <v>3.0999999999999999E-3</v>
      </c>
      <c r="N9" s="3169">
        <f t="shared" si="6"/>
        <v>2.0999999999999999E-3</v>
      </c>
      <c r="O9" s="3169">
        <f t="shared" si="6"/>
        <v>4.3E-3</v>
      </c>
      <c r="P9" s="3169">
        <f t="shared" si="0"/>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si="1"/>
        <v>1.0282</v>
      </c>
      <c r="X9" s="3178"/>
      <c r="Y9" s="3181"/>
      <c r="Z9" s="3181"/>
      <c r="AA9" s="3181"/>
      <c r="AB9" s="3181"/>
      <c r="AC9" s="3181"/>
      <c r="AD9" s="3181"/>
    </row>
    <row r="10" spans="1:30" s="3182" customFormat="1" ht="13.2">
      <c r="A10" s="3173" t="s">
        <v>3370</v>
      </c>
      <c r="B10" s="3174">
        <v>2023</v>
      </c>
      <c r="C10" s="3175">
        <v>2</v>
      </c>
      <c r="D10" s="3176">
        <v>0.91</v>
      </c>
      <c r="E10" s="3176">
        <v>0.66</v>
      </c>
      <c r="F10" s="3176">
        <v>0.47</v>
      </c>
      <c r="G10" s="3176">
        <v>0.96</v>
      </c>
      <c r="H10" s="3193">
        <v>0.71</v>
      </c>
      <c r="I10" s="3177">
        <f t="shared" si="3"/>
        <v>0.47</v>
      </c>
      <c r="J10" s="3178"/>
      <c r="K10" s="3179">
        <f t="shared" si="6"/>
        <v>9.1000000000000004E-3</v>
      </c>
      <c r="L10" s="3169">
        <f t="shared" si="6"/>
        <v>6.6E-3</v>
      </c>
      <c r="M10" s="3169">
        <f t="shared" si="6"/>
        <v>4.6999999999999993E-3</v>
      </c>
      <c r="N10" s="3169">
        <f t="shared" si="6"/>
        <v>9.5999999999999992E-3</v>
      </c>
      <c r="O10" s="3169">
        <f t="shared" si="6"/>
        <v>7.0999999999999995E-3</v>
      </c>
      <c r="P10" s="3169">
        <f t="shared" si="0"/>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1"/>
        <v>1.0250999999999999</v>
      </c>
      <c r="X10" s="3178"/>
      <c r="Y10" s="3181"/>
      <c r="Z10" s="3181"/>
      <c r="AA10" s="3181"/>
      <c r="AB10" s="3181"/>
      <c r="AC10" s="3181"/>
      <c r="AD10" s="3181"/>
    </row>
    <row r="11" spans="1:30" s="3182" customFormat="1" ht="13.2">
      <c r="A11" s="3173" t="s">
        <v>3369</v>
      </c>
      <c r="B11" s="3174">
        <v>2023</v>
      </c>
      <c r="C11" s="3175">
        <v>1</v>
      </c>
      <c r="D11" s="3176">
        <v>0.89</v>
      </c>
      <c r="E11" s="3176">
        <v>0.74</v>
      </c>
      <c r="F11" s="3176">
        <v>0.56999999999999995</v>
      </c>
      <c r="G11" s="3176">
        <v>0.92</v>
      </c>
      <c r="H11" s="3193">
        <v>0.5</v>
      </c>
      <c r="I11" s="3177">
        <f t="shared" si="3"/>
        <v>0.56999999999999995</v>
      </c>
      <c r="J11" s="3178"/>
      <c r="K11" s="3179">
        <f t="shared" si="6"/>
        <v>8.8999999999999999E-3</v>
      </c>
      <c r="L11" s="3169">
        <f t="shared" si="6"/>
        <v>7.4000000000000003E-3</v>
      </c>
      <c r="M11" s="3169">
        <f t="shared" si="6"/>
        <v>5.6999999999999993E-3</v>
      </c>
      <c r="N11" s="3169">
        <f t="shared" si="6"/>
        <v>9.1999999999999998E-3</v>
      </c>
      <c r="O11" s="3169">
        <f t="shared" si="6"/>
        <v>5.0000000000000001E-3</v>
      </c>
      <c r="P11" s="3169">
        <f t="shared" si="0"/>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7">T11</f>
        <v>1.0203</v>
      </c>
      <c r="X11" s="3178"/>
      <c r="Y11" s="3181"/>
      <c r="Z11" s="3181"/>
      <c r="AA11" s="3181"/>
      <c r="AB11" s="3181"/>
      <c r="AC11" s="3181"/>
      <c r="AD11" s="3181"/>
    </row>
    <row r="12" spans="1:30" s="3182" customFormat="1" ht="13.2">
      <c r="A12" s="3173" t="s">
        <v>3368</v>
      </c>
      <c r="B12" s="3174">
        <v>2022</v>
      </c>
      <c r="C12" s="3175">
        <v>4</v>
      </c>
      <c r="D12" s="3176">
        <v>0.62</v>
      </c>
      <c r="E12" s="3176">
        <v>0.2</v>
      </c>
      <c r="F12" s="3176">
        <v>0.11</v>
      </c>
      <c r="G12" s="3176">
        <v>0.69</v>
      </c>
      <c r="H12" s="3193">
        <v>0.53</v>
      </c>
      <c r="I12" s="3177">
        <f t="shared" si="3"/>
        <v>0.11</v>
      </c>
      <c r="J12" s="3178"/>
      <c r="K12" s="3179">
        <f t="shared" si="4"/>
        <v>6.1999999999999998E-3</v>
      </c>
      <c r="L12" s="3169">
        <f t="shared" si="4"/>
        <v>2E-3</v>
      </c>
      <c r="M12" s="3169">
        <f t="shared" si="4"/>
        <v>1.1000000000000001E-3</v>
      </c>
      <c r="N12" s="3169">
        <f t="shared" si="4"/>
        <v>6.8999999999999999E-3</v>
      </c>
      <c r="O12" s="3169">
        <f t="shared" si="4"/>
        <v>5.3E-3</v>
      </c>
      <c r="P12" s="3169">
        <f t="shared" ref="P12:P19" si="8">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7"/>
        <v>1.0145</v>
      </c>
      <c r="X12" s="3178"/>
      <c r="Y12" s="3181">
        <f>IF(D12=0,0,ROUND(AVERAGE(D12:D20)/100,4))</f>
        <v>8.0999999999999996E-3</v>
      </c>
      <c r="Z12" s="3181">
        <f>IF(E12=0,0,ROUND(AVERAGE(E12:E19)/100,4))</f>
        <v>3.3E-3</v>
      </c>
      <c r="AA12" s="3181">
        <f>IF(F12=0,0,ROUND(AVERAGE(F12:F19)/100,4))</f>
        <v>1.5E-3</v>
      </c>
      <c r="AB12" s="3181">
        <f>IF(G12=0,0,ROUND(AVERAGE(G12:G19)/100,4))</f>
        <v>8.8999999999999999E-3</v>
      </c>
      <c r="AC12" s="3181">
        <f>IF(H12=0,0,ROUND(AVERAGE(H12:H19)/100,4))</f>
        <v>6.6E-3</v>
      </c>
      <c r="AD12" s="3181">
        <f t="shared" si="5"/>
        <v>1.5E-3</v>
      </c>
    </row>
    <row r="13" spans="1:30" s="3182" customFormat="1" ht="13.2">
      <c r="A13" s="3173" t="s">
        <v>3364</v>
      </c>
      <c r="B13" s="3174">
        <v>2022</v>
      </c>
      <c r="C13" s="3175">
        <v>3</v>
      </c>
      <c r="D13" s="3176">
        <v>0.66</v>
      </c>
      <c r="E13" s="3176">
        <v>0.32</v>
      </c>
      <c r="F13" s="3176">
        <v>0.23</v>
      </c>
      <c r="G13" s="3176">
        <v>0.72</v>
      </c>
      <c r="H13" s="3193">
        <v>0.63</v>
      </c>
      <c r="I13" s="3177">
        <f t="shared" si="3"/>
        <v>0.23</v>
      </c>
      <c r="J13" s="3178"/>
      <c r="K13" s="3179">
        <f t="shared" si="4"/>
        <v>6.6E-3</v>
      </c>
      <c r="L13" s="3169">
        <f t="shared" si="4"/>
        <v>3.2000000000000002E-3</v>
      </c>
      <c r="M13" s="3169">
        <f t="shared" si="4"/>
        <v>2.3E-3</v>
      </c>
      <c r="N13" s="3169">
        <f t="shared" si="4"/>
        <v>7.1999999999999998E-3</v>
      </c>
      <c r="O13" s="3169">
        <f t="shared" si="4"/>
        <v>6.3E-3</v>
      </c>
      <c r="P13" s="3169">
        <f t="shared" si="8"/>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7"/>
        <v>1.0134000000000001</v>
      </c>
      <c r="X13" s="3178"/>
      <c r="Y13" s="3181">
        <f>IF(D13=0,0,ROUND(AVERAGE(D13:D19)/100,4))</f>
        <v>8.3999999999999995E-3</v>
      </c>
      <c r="Z13" s="3181">
        <f>IF(E13=0,0,ROUND(AVERAGE(E13:E19)/100,4))</f>
        <v>3.5000000000000001E-3</v>
      </c>
      <c r="AA13" s="3181">
        <f>IF(F13=0,0,ROUND(AVERAGE(F13:F19)/100,4))</f>
        <v>1.5E-3</v>
      </c>
      <c r="AB13" s="3181">
        <f>IF(G13=0,0,ROUND(AVERAGE(G13:G19)/100,4))</f>
        <v>9.1999999999999998E-3</v>
      </c>
      <c r="AC13" s="3181">
        <f>IF(H13=0,0,ROUND(AVERAGE(H13:H19)/100,4))</f>
        <v>6.7999999999999996E-3</v>
      </c>
      <c r="AD13" s="3181">
        <f t="shared" si="5"/>
        <v>1.5E-3</v>
      </c>
    </row>
    <row r="14" spans="1:30" s="3182" customFormat="1" ht="13.2">
      <c r="A14" s="3173" t="s">
        <v>3355</v>
      </c>
      <c r="B14" s="3174">
        <v>2022</v>
      </c>
      <c r="C14" s="3175">
        <v>2</v>
      </c>
      <c r="D14" s="3176">
        <v>0.93</v>
      </c>
      <c r="E14" s="3176">
        <v>0.15</v>
      </c>
      <c r="F14" s="3176">
        <v>0.01</v>
      </c>
      <c r="G14" s="3176">
        <v>1.05</v>
      </c>
      <c r="H14" s="3193">
        <v>1.08</v>
      </c>
      <c r="I14" s="3177">
        <f t="shared" si="3"/>
        <v>0.01</v>
      </c>
      <c r="J14" s="3178"/>
      <c r="K14" s="3179">
        <f t="shared" si="4"/>
        <v>9.300000000000001E-3</v>
      </c>
      <c r="L14" s="3169">
        <f t="shared" si="4"/>
        <v>1.5E-3</v>
      </c>
      <c r="M14" s="3169">
        <f t="shared" si="4"/>
        <v>1E-4</v>
      </c>
      <c r="N14" s="3169">
        <f t="shared" si="4"/>
        <v>1.0500000000000001E-2</v>
      </c>
      <c r="O14" s="3169">
        <f t="shared" si="4"/>
        <v>1.0800000000000001E-2</v>
      </c>
      <c r="P14" s="3169">
        <f t="shared" si="8"/>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7"/>
        <v>1.0109999999999999</v>
      </c>
      <c r="X14" s="3178"/>
      <c r="Y14" s="3181">
        <f>IF(D14=0,0,ROUND(AVERAGE(D14:D19)/100,4))</f>
        <v>8.6999999999999994E-3</v>
      </c>
      <c r="Z14" s="3181">
        <f>IF(E14=0,0,ROUND(AVERAGE(E14:E19)/100,4))</f>
        <v>3.5000000000000001E-3</v>
      </c>
      <c r="AA14" s="3181">
        <f>IF(F14=0,0,ROUND(AVERAGE(F14:F19)/100,4))</f>
        <v>1.4E-3</v>
      </c>
      <c r="AB14" s="3181">
        <f>IF(G14=0,0,ROUND(AVERAGE(G14:G19)/100,4))</f>
        <v>9.4999999999999998E-3</v>
      </c>
      <c r="AC14" s="3181">
        <f>IF(H14=0,0,ROUND(AVERAGE(H14:H19)/100,4))</f>
        <v>6.8999999999999999E-3</v>
      </c>
      <c r="AD14" s="3181">
        <f t="shared" si="5"/>
        <v>1.4E-3</v>
      </c>
    </row>
    <row r="15" spans="1:30" s="3182" customFormat="1" ht="13.2">
      <c r="A15" s="3173" t="s">
        <v>2820</v>
      </c>
      <c r="B15" s="3174">
        <v>2022</v>
      </c>
      <c r="C15" s="3175">
        <v>1</v>
      </c>
      <c r="D15" s="3176">
        <v>0.89</v>
      </c>
      <c r="E15" s="3176">
        <v>0.44</v>
      </c>
      <c r="F15" s="3176">
        <v>0.37</v>
      </c>
      <c r="G15" s="3176">
        <v>0.96</v>
      </c>
      <c r="H15" s="3193">
        <v>0.64</v>
      </c>
      <c r="I15" s="3177">
        <f t="shared" si="3"/>
        <v>0.37</v>
      </c>
      <c r="J15" s="3178"/>
      <c r="K15" s="3179">
        <f t="shared" si="4"/>
        <v>8.8999999999999999E-3</v>
      </c>
      <c r="L15" s="3169">
        <f t="shared" si="4"/>
        <v>4.4000000000000003E-3</v>
      </c>
      <c r="M15" s="3169">
        <f t="shared" si="4"/>
        <v>3.7000000000000002E-3</v>
      </c>
      <c r="N15" s="3169">
        <f t="shared" si="4"/>
        <v>9.5999999999999992E-3</v>
      </c>
      <c r="O15" s="3169">
        <f t="shared" si="4"/>
        <v>6.4000000000000003E-3</v>
      </c>
      <c r="P15" s="3169">
        <f t="shared" si="8"/>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7"/>
        <v>1.0108999999999999</v>
      </c>
      <c r="X15" s="3178"/>
      <c r="Y15" s="3181">
        <f>IF(D15=0,0,ROUND(AVERAGE(D15:D19)/100,4))</f>
        <v>8.6E-3</v>
      </c>
      <c r="Z15" s="3181">
        <f>IF(E15=0,0,ROUND(AVERAGE(E15:E19)/100,4))</f>
        <v>3.8999999999999998E-3</v>
      </c>
      <c r="AA15" s="3181">
        <f>IF(F15=0,0,ROUND(AVERAGE(F15:F19)/100,4))</f>
        <v>1.6999999999999999E-3</v>
      </c>
      <c r="AB15" s="3181">
        <f>IF(G15=0,0,ROUND(AVERAGE(G15:G19)/100,4))</f>
        <v>9.2999999999999992E-3</v>
      </c>
      <c r="AC15" s="3181">
        <f>IF(H15=0,0,ROUND(AVERAGE(H15:H19)/100,4))</f>
        <v>6.1000000000000004E-3</v>
      </c>
      <c r="AD15" s="3181">
        <f t="shared" si="5"/>
        <v>1.6999999999999999E-3</v>
      </c>
    </row>
    <row r="16" spans="1:30" s="3182" customFormat="1" ht="13.2">
      <c r="A16" s="3173" t="s">
        <v>2821</v>
      </c>
      <c r="B16" s="3174">
        <v>2021</v>
      </c>
      <c r="C16" s="3175">
        <v>4</v>
      </c>
      <c r="D16" s="3176">
        <v>1.03</v>
      </c>
      <c r="E16" s="3176">
        <v>0.24</v>
      </c>
      <c r="F16" s="3176">
        <v>7.0000000000000007E-2</v>
      </c>
      <c r="G16" s="3176">
        <v>1.17</v>
      </c>
      <c r="H16" s="3193">
        <v>0.55000000000000004</v>
      </c>
      <c r="I16" s="3177">
        <f t="shared" si="3"/>
        <v>7.0000000000000007E-2</v>
      </c>
      <c r="J16" s="3178"/>
      <c r="K16" s="3179">
        <f t="shared" si="4"/>
        <v>1.03E-2</v>
      </c>
      <c r="L16" s="3169">
        <f t="shared" si="4"/>
        <v>2.3999999999999998E-3</v>
      </c>
      <c r="M16" s="3169">
        <f t="shared" si="4"/>
        <v>7.000000000000001E-4</v>
      </c>
      <c r="N16" s="3169">
        <f t="shared" si="4"/>
        <v>1.1699999999999999E-2</v>
      </c>
      <c r="O16" s="3169">
        <f t="shared" si="4"/>
        <v>5.5000000000000005E-3</v>
      </c>
      <c r="P16" s="3169">
        <f t="shared" si="8"/>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7"/>
        <v>1.0072000000000001</v>
      </c>
      <c r="X16" s="3178"/>
      <c r="Y16" s="3181">
        <f>IF(D16=0,0,ROUND(AVERAGE(D16:D19)/100,4))</f>
        <v>8.5000000000000006E-3</v>
      </c>
      <c r="Z16" s="3181">
        <f>IF(E16=0,0,ROUND(AVERAGE(E16:E19)/100,4))</f>
        <v>3.8E-3</v>
      </c>
      <c r="AA16" s="3181">
        <f>IF(F16=0,0,ROUND(AVERAGE(F16:F19)/100,4))</f>
        <v>1.1999999999999999E-3</v>
      </c>
      <c r="AB16" s="3181">
        <f>IF(G16=0,0,ROUND(AVERAGE(G16:G19)/100,4))</f>
        <v>9.2999999999999992E-3</v>
      </c>
      <c r="AC16" s="3181">
        <f>IF(H16=0,0,ROUND(AVERAGE(H16:H19)/100,4))</f>
        <v>6.0000000000000001E-3</v>
      </c>
      <c r="AD16" s="3181">
        <f t="shared" si="5"/>
        <v>1.1999999999999999E-3</v>
      </c>
    </row>
    <row r="17" spans="1:30" s="3182" customFormat="1" ht="13.2">
      <c r="A17" s="3173" t="s">
        <v>2822</v>
      </c>
      <c r="B17" s="3174">
        <v>2021</v>
      </c>
      <c r="C17" s="3175">
        <v>3</v>
      </c>
      <c r="D17" s="3176">
        <v>0.47</v>
      </c>
      <c r="E17" s="3176">
        <v>0.41</v>
      </c>
      <c r="F17" s="3176">
        <v>0.24</v>
      </c>
      <c r="G17" s="3176">
        <v>0.48</v>
      </c>
      <c r="H17" s="3193">
        <v>0.48</v>
      </c>
      <c r="I17" s="3177">
        <f t="shared" si="3"/>
        <v>0.24</v>
      </c>
      <c r="J17" s="3178"/>
      <c r="K17" s="3179">
        <f t="shared" si="4"/>
        <v>4.6999999999999993E-3</v>
      </c>
      <c r="L17" s="3169">
        <f t="shared" si="4"/>
        <v>4.0999999999999995E-3</v>
      </c>
      <c r="M17" s="3169">
        <f t="shared" si="4"/>
        <v>2.3999999999999998E-3</v>
      </c>
      <c r="N17" s="3169">
        <f t="shared" si="4"/>
        <v>4.7999999999999996E-3</v>
      </c>
      <c r="O17" s="3169">
        <f t="shared" si="4"/>
        <v>4.7999999999999996E-3</v>
      </c>
      <c r="P17" s="3169">
        <f t="shared" si="8"/>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7"/>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5"/>
        <v>1.2999999999999999E-3</v>
      </c>
    </row>
    <row r="18" spans="1:30" s="3182" customFormat="1" ht="13.2">
      <c r="A18" s="3173" t="s">
        <v>2823</v>
      </c>
      <c r="B18" s="3174">
        <v>2021</v>
      </c>
      <c r="C18" s="3175">
        <v>2</v>
      </c>
      <c r="D18" s="3176">
        <v>0.92</v>
      </c>
      <c r="E18" s="3176">
        <v>0.72</v>
      </c>
      <c r="F18" s="3176">
        <v>0.41</v>
      </c>
      <c r="G18" s="3176">
        <v>0.95</v>
      </c>
      <c r="H18" s="3193">
        <v>1.01</v>
      </c>
      <c r="I18" s="3177">
        <f t="shared" si="3"/>
        <v>0.41</v>
      </c>
      <c r="J18" s="3178"/>
      <c r="K18" s="3179">
        <f t="shared" si="4"/>
        <v>9.1999999999999998E-3</v>
      </c>
      <c r="L18" s="3169">
        <f t="shared" si="4"/>
        <v>7.1999999999999998E-3</v>
      </c>
      <c r="M18" s="3169">
        <f t="shared" si="4"/>
        <v>4.0999999999999995E-3</v>
      </c>
      <c r="N18" s="3169">
        <f t="shared" si="4"/>
        <v>9.4999999999999998E-3</v>
      </c>
      <c r="O18" s="3169">
        <f t="shared" si="4"/>
        <v>1.01E-2</v>
      </c>
      <c r="P18" s="3169">
        <f t="shared" si="8"/>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7"/>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5"/>
        <v>8.0000000000000004E-4</v>
      </c>
    </row>
    <row r="19" spans="1:30" s="3204" customFormat="1" thickBot="1">
      <c r="A19" s="3194" t="s">
        <v>2824</v>
      </c>
      <c r="B19" s="3195">
        <v>2021</v>
      </c>
      <c r="C19" s="3196">
        <v>1</v>
      </c>
      <c r="D19" s="3197">
        <v>0.97</v>
      </c>
      <c r="E19" s="3197">
        <v>0.16</v>
      </c>
      <c r="F19" s="3197">
        <v>-0.25</v>
      </c>
      <c r="G19" s="3197">
        <v>1.1100000000000001</v>
      </c>
      <c r="H19" s="3198">
        <v>0.36</v>
      </c>
      <c r="I19" s="3199">
        <f t="shared" si="3"/>
        <v>-0.25</v>
      </c>
      <c r="J19" s="3200"/>
      <c r="K19" s="3201">
        <f t="shared" si="4"/>
        <v>9.7000000000000003E-3</v>
      </c>
      <c r="L19" s="3202">
        <f t="shared" si="4"/>
        <v>1.6000000000000001E-3</v>
      </c>
      <c r="M19" s="3202">
        <f>F19/100</f>
        <v>-2.5000000000000001E-3</v>
      </c>
      <c r="N19" s="3202">
        <f t="shared" si="4"/>
        <v>1.11E-2</v>
      </c>
      <c r="O19" s="3202">
        <f t="shared" si="4"/>
        <v>3.5999999999999999E-3</v>
      </c>
      <c r="P19" s="3202">
        <f t="shared" si="8"/>
        <v>-2.5000000000000001E-3</v>
      </c>
      <c r="Q19" s="3200"/>
      <c r="R19" s="3203">
        <v>1</v>
      </c>
      <c r="S19" s="3203">
        <v>1</v>
      </c>
      <c r="T19" s="3203">
        <v>1</v>
      </c>
      <c r="U19" s="3203">
        <v>1</v>
      </c>
      <c r="V19" s="3203">
        <v>1</v>
      </c>
      <c r="W19" s="3203">
        <f>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4.4" thickTop="1"/>
    <row r="21" spans="1:30" s="3006" customFormat="1">
      <c r="A21" s="3445" t="s">
        <v>3366</v>
      </c>
    </row>
    <row r="22" spans="1:30" s="3006" customFormat="1">
      <c r="I22" s="3205" t="s">
        <v>2825</v>
      </c>
    </row>
    <row r="23" spans="1:30" s="3006" customFormat="1"/>
    <row r="24" spans="1:30" s="3206" customFormat="1" ht="13.2">
      <c r="B24" s="3207" t="s">
        <v>3372</v>
      </c>
      <c r="C24" s="3208"/>
      <c r="D24" s="3208"/>
      <c r="E24" s="3208"/>
      <c r="F24" s="3208"/>
      <c r="G24" s="3208"/>
      <c r="H24" s="3208"/>
      <c r="I24" s="3208"/>
      <c r="J24" s="3162"/>
      <c r="K24" s="3208" t="s">
        <v>2826</v>
      </c>
      <c r="L24" s="3208"/>
      <c r="M24" s="3208"/>
      <c r="N24" s="3208"/>
      <c r="O24" s="3208"/>
      <c r="P24" s="3208"/>
      <c r="Q24" s="3162"/>
      <c r="R24" s="4063" t="s">
        <v>2827</v>
      </c>
      <c r="S24" s="4064"/>
      <c r="T24" s="4064"/>
      <c r="U24" s="4064"/>
      <c r="V24" s="4064"/>
      <c r="W24" s="4064"/>
      <c r="X24" s="3162"/>
      <c r="Y24" s="4063" t="s">
        <v>2828</v>
      </c>
      <c r="Z24" s="4064"/>
      <c r="AA24" s="4064"/>
      <c r="AB24" s="4064"/>
      <c r="AC24" s="4064"/>
      <c r="AD24" s="4064"/>
    </row>
    <row r="25" spans="1:30" s="3140" customFormat="1" ht="15" thickBot="1">
      <c r="B25" s="3141"/>
      <c r="C25" s="3142"/>
      <c r="D25" s="3143" t="s">
        <v>2829</v>
      </c>
      <c r="E25" s="3144" t="s">
        <v>2830</v>
      </c>
      <c r="F25" s="3144" t="s">
        <v>2831</v>
      </c>
      <c r="G25" s="3144" t="s">
        <v>2832</v>
      </c>
      <c r="H25" s="3144"/>
      <c r="I25" s="3144" t="s">
        <v>2833</v>
      </c>
      <c r="J25" s="3145"/>
      <c r="K25" s="3143" t="s">
        <v>2829</v>
      </c>
      <c r="L25" s="3144" t="s">
        <v>2830</v>
      </c>
      <c r="M25" s="3144" t="s">
        <v>2831</v>
      </c>
      <c r="N25" s="3144" t="s">
        <v>2832</v>
      </c>
      <c r="O25" s="3144"/>
      <c r="P25" s="3144" t="s">
        <v>2833</v>
      </c>
      <c r="Q25" s="3145"/>
      <c r="R25" s="3143" t="s">
        <v>2829</v>
      </c>
      <c r="S25" s="3144" t="s">
        <v>2830</v>
      </c>
      <c r="T25" s="3144" t="s">
        <v>2831</v>
      </c>
      <c r="U25" s="3144" t="s">
        <v>2832</v>
      </c>
      <c r="V25" s="3144"/>
      <c r="W25" s="3144" t="s">
        <v>2833</v>
      </c>
      <c r="X25" s="3145"/>
      <c r="Y25" s="3143" t="s">
        <v>2829</v>
      </c>
      <c r="Z25" s="3144" t="s">
        <v>2830</v>
      </c>
      <c r="AA25" s="3144" t="s">
        <v>2831</v>
      </c>
      <c r="AB25" s="3144" t="s">
        <v>2832</v>
      </c>
      <c r="AC25" s="3144"/>
      <c r="AD25" s="3144" t="s">
        <v>2833</v>
      </c>
    </row>
    <row r="26" spans="1:30" s="3158" customFormat="1" ht="13.2">
      <c r="A26" s="3146" t="s">
        <v>2834</v>
      </c>
      <c r="B26" s="3147"/>
      <c r="C26" s="3148"/>
      <c r="D26" s="3148"/>
      <c r="E26" s="3148">
        <f>ROUND(AVERAGEIF(E27:E42,"&lt;&gt;0"),2)</f>
        <v>0.33</v>
      </c>
      <c r="F26" s="3148">
        <f>ROUND(AVERAGEIF(F27:F42,"&lt;&gt;0"),2)</f>
        <v>0.24</v>
      </c>
      <c r="G26" s="3148">
        <f>ROUND(AVERAGEIF(G27:G42,"&lt;&gt;0"),2)</f>
        <v>0.62</v>
      </c>
      <c r="H26" s="3148"/>
      <c r="I26" s="3148">
        <f>F26</f>
        <v>0.24</v>
      </c>
      <c r="J26" s="3149"/>
      <c r="K26" s="3150"/>
      <c r="L26" s="3151">
        <f>ROUND(AVERAGEIF(L27:L42,"&lt;&gt;0"),4)</f>
        <v>3.3E-3</v>
      </c>
      <c r="M26" s="3151">
        <f>ROUND(AVERAGEIF(M27:M42,"&lt;&gt;0"),4)</f>
        <v>2.3999999999999998E-3</v>
      </c>
      <c r="N26" s="3151">
        <f>ROUND(AVERAGEIF(N27:N42,"&lt;&gt;0"),4)</f>
        <v>6.1999999999999998E-3</v>
      </c>
      <c r="O26" s="3151"/>
      <c r="P26" s="3151">
        <f>M26</f>
        <v>2.3999999999999998E-3</v>
      </c>
      <c r="Q26" s="3149"/>
      <c r="R26" s="3152"/>
      <c r="S26" s="3153">
        <f>ROUND(SUMPRODUCT(PRODUCT(1+L27:L42)),4)</f>
        <v>1.0468999999999999</v>
      </c>
      <c r="T26" s="3153">
        <f>ROUND(SUMPRODUCT(PRODUCT(1+M27:M42)),4)</f>
        <v>1.0347</v>
      </c>
      <c r="U26" s="3153">
        <f>ROUND(SUMPRODUCT(PRODUCT(1+N27:N42)),4)</f>
        <v>1.0895999999999999</v>
      </c>
      <c r="V26" s="3153"/>
      <c r="W26" s="3152">
        <f>T26</f>
        <v>1.0347</v>
      </c>
      <c r="X26" s="3149"/>
      <c r="Y26" s="3154"/>
      <c r="Z26" s="3155">
        <f>ROUND(AVERAGEIF(Z27:Z42,"&lt;&gt;0"),4)</f>
        <v>4.1999999999999997E-3</v>
      </c>
      <c r="AA26" s="3156">
        <f>ROUND(AVERAGEIF(AA27:AA42,"&lt;&gt;0"),4)</f>
        <v>3.3999999999999998E-3</v>
      </c>
      <c r="AB26" s="3154">
        <f>ROUND(AVERAGEIF(AB27:AB42,"&lt;&gt;0"),4)</f>
        <v>8.6E-3</v>
      </c>
      <c r="AC26" s="3157"/>
      <c r="AD26" s="3154">
        <f>AA26</f>
        <v>3.3999999999999998E-3</v>
      </c>
    </row>
    <row r="27" spans="1:30" s="3159" customFormat="1" ht="13.2">
      <c r="B27" s="3160"/>
      <c r="C27" s="3161"/>
      <c r="D27" s="3161"/>
      <c r="E27" s="316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3.2">
      <c r="A28" s="2202" t="s">
        <v>3377</v>
      </c>
      <c r="B28" s="3174">
        <v>2024</v>
      </c>
      <c r="C28" s="3175">
        <v>3</v>
      </c>
      <c r="D28" s="3176"/>
      <c r="E28" s="3176">
        <v>0</v>
      </c>
      <c r="F28" s="3176">
        <v>0</v>
      </c>
      <c r="G28" s="3176">
        <v>0</v>
      </c>
      <c r="H28" s="3176"/>
      <c r="I28" s="3177">
        <f>F28</f>
        <v>0</v>
      </c>
      <c r="J28" s="3178"/>
      <c r="K28" s="3179"/>
      <c r="L28" s="3169">
        <f>E28/100</f>
        <v>0</v>
      </c>
      <c r="M28" s="3169">
        <f>F28/100</f>
        <v>0</v>
      </c>
      <c r="N28" s="3169">
        <f>G28/100</f>
        <v>0</v>
      </c>
      <c r="O28" s="3169"/>
      <c r="P28" s="3169">
        <f t="shared" ref="P28:P34" si="9">M28</f>
        <v>0</v>
      </c>
      <c r="Q28" s="3178"/>
      <c r="R28" s="3180"/>
      <c r="S28" s="3180">
        <f>ROUND(IF(项目基本情况!$B$8="出让",SUMPRODUCT(PRODUCT(1+L28:L$42)),SUMPRODUCT(PRODUCT(1+L28:L$41))),4)</f>
        <v>1.0432999999999999</v>
      </c>
      <c r="T28" s="3180">
        <f>ROUND(IF(项目基本情况!$B$8="出让",SUMPRODUCT(PRODUCT(1+M28:M$42)),SUMPRODUCT(PRODUCT(1+M28:M$41))),4)</f>
        <v>1.0298</v>
      </c>
      <c r="U28" s="3180">
        <f>ROUND(IF(项目基本情况!$B$8="出让",SUMPRODUCT(PRODUCT(1+N28:N$42)),SUMPRODUCT(PRODUCT(1+N28:N$41))),4)</f>
        <v>1.079</v>
      </c>
      <c r="V28" s="3180"/>
      <c r="W28" s="3180">
        <f t="shared" ref="W28:W34" si="10">T28</f>
        <v>1.0298</v>
      </c>
      <c r="X28" s="3178"/>
      <c r="Y28" s="3181"/>
      <c r="Z28" s="3209">
        <f t="shared" ref="Z28:AB29" si="11">IF(E28=0,0,ROUND(AVERAGE(E28:E41)/100,4))</f>
        <v>0</v>
      </c>
      <c r="AA28" s="3209">
        <f t="shared" si="11"/>
        <v>0</v>
      </c>
      <c r="AB28" s="3209">
        <f t="shared" si="11"/>
        <v>0</v>
      </c>
      <c r="AC28" s="3210"/>
      <c r="AD28" s="3181">
        <f>IF(I28=0,0,ROUND(AVERAGE(I28:I41)/100,4))</f>
        <v>0</v>
      </c>
    </row>
    <row r="29" spans="1:30" s="3192" customFormat="1" ht="13.2">
      <c r="A29" s="3183" t="s">
        <v>3378</v>
      </c>
      <c r="B29" s="3184">
        <v>2024</v>
      </c>
      <c r="C29" s="3185">
        <v>2</v>
      </c>
      <c r="D29" s="3186"/>
      <c r="E29" s="3186">
        <v>-0.31</v>
      </c>
      <c r="F29" s="3186">
        <v>-0.39</v>
      </c>
      <c r="G29" s="3186">
        <v>1.23</v>
      </c>
      <c r="H29" s="3187"/>
      <c r="I29" s="3188">
        <f t="shared" ref="I29:I42" si="12">F29</f>
        <v>-0.39</v>
      </c>
      <c r="J29" s="3189"/>
      <c r="K29" s="3190"/>
      <c r="L29" s="3191">
        <f t="shared" ref="L29:N42" si="13">E29/100</f>
        <v>-3.0999999999999999E-3</v>
      </c>
      <c r="M29" s="3191">
        <f t="shared" si="13"/>
        <v>-3.9000000000000003E-3</v>
      </c>
      <c r="N29" s="3191">
        <f t="shared" si="13"/>
        <v>1.23E-2</v>
      </c>
      <c r="O29" s="3191"/>
      <c r="P29" s="3191">
        <f t="shared" si="9"/>
        <v>-3.9000000000000003E-3</v>
      </c>
      <c r="Q29" s="3189"/>
      <c r="R29" s="3189"/>
      <c r="S29" s="3189">
        <f>ROUND(IF(项目基本情况!$B$8="出让",SUMPRODUCT(PRODUCT(1+L29:L$42)),SUMPRODUCT(PRODUCT(1+L29:L$41))),4)</f>
        <v>1.0432999999999999</v>
      </c>
      <c r="T29" s="3189">
        <f>ROUND(IF(项目基本情况!$B$8="出让",SUMPRODUCT(PRODUCT(1+M29:M$42)),SUMPRODUCT(PRODUCT(1+M29:M$41))),4)</f>
        <v>1.0298</v>
      </c>
      <c r="U29" s="3189">
        <f>ROUND(IF(项目基本情况!$B$8="出让",SUMPRODUCT(PRODUCT(1+N29:N$42)),SUMPRODUCT(PRODUCT(1+N29:N$41))),4)</f>
        <v>1.079</v>
      </c>
      <c r="V29" s="3189"/>
      <c r="W29" s="3189">
        <f t="shared" si="10"/>
        <v>1.0298</v>
      </c>
      <c r="X29" s="3189"/>
      <c r="Y29" s="3191"/>
      <c r="Z29" s="3212">
        <f t="shared" si="11"/>
        <v>3.3E-3</v>
      </c>
      <c r="AA29" s="3213">
        <f t="shared" si="11"/>
        <v>2.3999999999999998E-3</v>
      </c>
      <c r="AB29" s="3191">
        <f t="shared" si="11"/>
        <v>6.1999999999999998E-3</v>
      </c>
      <c r="AC29" s="3214"/>
      <c r="AD29" s="3191">
        <f>IF(I29=0,0,ROUND(AVERAGE(I29:I42)/100,4))</f>
        <v>2.3999999999999998E-3</v>
      </c>
    </row>
    <row r="30" spans="1:30" s="3182" customFormat="1" ht="13.2">
      <c r="A30" s="3173" t="s">
        <v>3379</v>
      </c>
      <c r="B30" s="3174">
        <v>2024</v>
      </c>
      <c r="C30" s="3175">
        <v>1</v>
      </c>
      <c r="D30" s="3176"/>
      <c r="E30" s="3176">
        <v>0.25</v>
      </c>
      <c r="F30" s="3176">
        <v>0.4</v>
      </c>
      <c r="G30" s="3176">
        <v>-0.63</v>
      </c>
      <c r="H30" s="3193"/>
      <c r="I30" s="3177">
        <f>F30</f>
        <v>0.4</v>
      </c>
      <c r="J30" s="3178"/>
      <c r="K30" s="3179"/>
      <c r="L30" s="3169">
        <f>E30/100</f>
        <v>2.5000000000000001E-3</v>
      </c>
      <c r="M30" s="3169">
        <f>F30/100</f>
        <v>4.0000000000000001E-3</v>
      </c>
      <c r="N30" s="3169">
        <f>G30/100</f>
        <v>-6.3E-3</v>
      </c>
      <c r="O30" s="3169"/>
      <c r="P30" s="3169">
        <f t="shared" si="9"/>
        <v>4.0000000000000001E-3</v>
      </c>
      <c r="Q30" s="3178"/>
      <c r="R30" s="3180"/>
      <c r="S30" s="3180">
        <f>ROUND(IF(项目基本情况!$B$8="出让",SUMPRODUCT(PRODUCT(1+L30:L$42)),SUMPRODUCT(PRODUCT(1+L30:L$41))),4)</f>
        <v>1.0465</v>
      </c>
      <c r="T30" s="3180">
        <f>ROUND(IF(项目基本情况!$B$8="出让",SUMPRODUCT(PRODUCT(1+M30:M$42)),SUMPRODUCT(PRODUCT(1+M30:M$41))),4)</f>
        <v>1.0338000000000001</v>
      </c>
      <c r="U30" s="3180">
        <f>ROUND(IF(项目基本情况!$B$8="出让",SUMPRODUCT(PRODUCT(1+N30:N$42)),SUMPRODUCT(PRODUCT(1+N30:N$41))),4)</f>
        <v>1.0659000000000001</v>
      </c>
      <c r="V30" s="3180"/>
      <c r="W30" s="3180">
        <f t="shared" si="10"/>
        <v>1.0338000000000001</v>
      </c>
      <c r="X30" s="3178"/>
      <c r="Y30" s="3181"/>
      <c r="Z30" s="3209"/>
      <c r="AA30" s="3211"/>
      <c r="AB30" s="3181"/>
      <c r="AC30" s="3210"/>
      <c r="AD30" s="3181"/>
    </row>
    <row r="31" spans="1:30" s="3182" customFormat="1" ht="13.2">
      <c r="A31" s="3173" t="s">
        <v>3376</v>
      </c>
      <c r="B31" s="3174">
        <v>2023</v>
      </c>
      <c r="C31" s="3175">
        <v>4</v>
      </c>
      <c r="D31" s="3176"/>
      <c r="E31" s="3176">
        <v>7.0000000000000007E-2</v>
      </c>
      <c r="F31" s="3176">
        <v>0.09</v>
      </c>
      <c r="G31" s="3176">
        <v>0.03</v>
      </c>
      <c r="H31" s="3193"/>
      <c r="I31" s="3177">
        <f>F31</f>
        <v>0.09</v>
      </c>
      <c r="J31" s="3178"/>
      <c r="K31" s="3179"/>
      <c r="L31" s="3169">
        <f t="shared" si="13"/>
        <v>7.000000000000001E-4</v>
      </c>
      <c r="M31" s="3169">
        <f t="shared" si="13"/>
        <v>8.9999999999999998E-4</v>
      </c>
      <c r="N31" s="3169">
        <f t="shared" si="13"/>
        <v>2.9999999999999997E-4</v>
      </c>
      <c r="O31" s="3169"/>
      <c r="P31" s="3169">
        <f t="shared" si="9"/>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si="10"/>
        <v>1.0297000000000001</v>
      </c>
      <c r="X31" s="3178"/>
      <c r="Y31" s="3181"/>
      <c r="Z31" s="3209"/>
      <c r="AA31" s="3211"/>
      <c r="AB31" s="3181"/>
      <c r="AC31" s="3210"/>
      <c r="AD31" s="3181"/>
    </row>
    <row r="32" spans="1:30" s="3182" customFormat="1" ht="13.2">
      <c r="A32" s="3173" t="s">
        <v>3374</v>
      </c>
      <c r="B32" s="3174">
        <v>2023</v>
      </c>
      <c r="C32" s="3175">
        <v>3</v>
      </c>
      <c r="D32" s="3176"/>
      <c r="E32" s="3176">
        <v>0.35</v>
      </c>
      <c r="F32" s="3176">
        <v>0.17</v>
      </c>
      <c r="G32" s="3176">
        <v>0.52</v>
      </c>
      <c r="H32" s="3193"/>
      <c r="I32" s="3177">
        <f t="shared" si="12"/>
        <v>0.17</v>
      </c>
      <c r="J32" s="3178"/>
      <c r="K32" s="3179"/>
      <c r="L32" s="3169">
        <f t="shared" ref="L32:N34" si="14">E32/100</f>
        <v>3.4999999999999996E-3</v>
      </c>
      <c r="M32" s="3169">
        <f t="shared" si="14"/>
        <v>1.7000000000000001E-3</v>
      </c>
      <c r="N32" s="3169">
        <f t="shared" si="14"/>
        <v>5.1999999999999998E-3</v>
      </c>
      <c r="O32" s="3169"/>
      <c r="P32" s="3169">
        <f t="shared" si="9"/>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si="10"/>
        <v>1.0286999999999999</v>
      </c>
      <c r="X32" s="3178"/>
      <c r="Y32" s="3181"/>
      <c r="Z32" s="3209"/>
      <c r="AA32" s="3211"/>
      <c r="AB32" s="3181"/>
      <c r="AC32" s="3210"/>
      <c r="AD32" s="3181"/>
    </row>
    <row r="33" spans="1:30" s="3182" customFormat="1" ht="13.2">
      <c r="A33" s="3173" t="s">
        <v>3373</v>
      </c>
      <c r="B33" s="3174">
        <v>2023</v>
      </c>
      <c r="C33" s="3175">
        <v>2</v>
      </c>
      <c r="D33" s="3176"/>
      <c r="E33" s="3176">
        <v>0.5</v>
      </c>
      <c r="F33" s="3176">
        <v>0.45</v>
      </c>
      <c r="G33" s="3176">
        <v>0.89</v>
      </c>
      <c r="H33" s="3193"/>
      <c r="I33" s="3177">
        <f t="shared" si="12"/>
        <v>0.45</v>
      </c>
      <c r="J33" s="3178"/>
      <c r="K33" s="3179"/>
      <c r="L33" s="3169">
        <f t="shared" si="14"/>
        <v>5.0000000000000001E-3</v>
      </c>
      <c r="M33" s="3169">
        <f t="shared" si="14"/>
        <v>4.5000000000000005E-3</v>
      </c>
      <c r="N33" s="3169">
        <f t="shared" si="14"/>
        <v>8.8999999999999999E-3</v>
      </c>
      <c r="O33" s="3169"/>
      <c r="P33" s="3169">
        <f t="shared" si="9"/>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10"/>
        <v>1.0269999999999999</v>
      </c>
      <c r="X33" s="3178"/>
      <c r="Y33" s="3181"/>
      <c r="Z33" s="3209"/>
      <c r="AA33" s="3211"/>
      <c r="AB33" s="3181"/>
      <c r="AC33" s="3210"/>
      <c r="AD33" s="3181"/>
    </row>
    <row r="34" spans="1:30" s="3182" customFormat="1" ht="13.2">
      <c r="A34" s="3173" t="s">
        <v>3369</v>
      </c>
      <c r="B34" s="3174">
        <v>2023</v>
      </c>
      <c r="C34" s="3175">
        <v>1</v>
      </c>
      <c r="D34" s="3176"/>
      <c r="E34" s="3176">
        <v>0.55000000000000004</v>
      </c>
      <c r="F34" s="3176">
        <v>0.59</v>
      </c>
      <c r="G34" s="3176">
        <v>0.64</v>
      </c>
      <c r="H34" s="3193"/>
      <c r="I34" s="3177">
        <f t="shared" si="12"/>
        <v>0.59</v>
      </c>
      <c r="J34" s="3178"/>
      <c r="K34" s="3179"/>
      <c r="L34" s="3169">
        <f t="shared" si="14"/>
        <v>5.5000000000000005E-3</v>
      </c>
      <c r="M34" s="3169">
        <f t="shared" si="14"/>
        <v>5.8999999999999999E-3</v>
      </c>
      <c r="N34" s="3169">
        <f t="shared" si="14"/>
        <v>6.4000000000000003E-3</v>
      </c>
      <c r="O34" s="3169"/>
      <c r="P34" s="3169">
        <f t="shared" si="9"/>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10"/>
        <v>1.0224</v>
      </c>
      <c r="X34" s="3178"/>
      <c r="Y34" s="3181"/>
      <c r="Z34" s="3209"/>
      <c r="AA34" s="3211"/>
      <c r="AB34" s="3181"/>
      <c r="AC34" s="3210"/>
      <c r="AD34" s="3181"/>
    </row>
    <row r="35" spans="1:30" s="3182" customFormat="1" ht="13.2">
      <c r="A35" s="3173" t="s">
        <v>3368</v>
      </c>
      <c r="B35" s="3174">
        <v>2022</v>
      </c>
      <c r="C35" s="3175">
        <v>4</v>
      </c>
      <c r="D35" s="3176"/>
      <c r="E35" s="3176">
        <v>0.45</v>
      </c>
      <c r="F35" s="3176">
        <v>0.2</v>
      </c>
      <c r="G35" s="3176">
        <v>0.38</v>
      </c>
      <c r="H35" s="3193"/>
      <c r="I35" s="3177">
        <f t="shared" si="12"/>
        <v>0.2</v>
      </c>
      <c r="J35" s="3178"/>
      <c r="K35" s="3179"/>
      <c r="L35" s="3169">
        <f t="shared" si="13"/>
        <v>4.5000000000000005E-3</v>
      </c>
      <c r="M35" s="3169">
        <f t="shared" si="13"/>
        <v>2E-3</v>
      </c>
      <c r="N35" s="3169">
        <f t="shared" si="13"/>
        <v>3.8E-3</v>
      </c>
      <c r="O35" s="3169"/>
      <c r="P35" s="3169">
        <f t="shared" ref="P35:P42" si="15">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16">T35</f>
        <v>1.0164</v>
      </c>
      <c r="X35" s="3178"/>
      <c r="Y35" s="3181"/>
      <c r="Z35" s="3209">
        <f t="shared" ref="Z35:AD42" si="17">IF(E35=0,0,ROUND(AVERAGE(E35:E43)/100,4))</f>
        <v>4.0000000000000001E-3</v>
      </c>
      <c r="AA35" s="3211">
        <f t="shared" si="17"/>
        <v>2.5999999999999999E-3</v>
      </c>
      <c r="AB35" s="3181">
        <f t="shared" si="17"/>
        <v>7.4000000000000003E-3</v>
      </c>
      <c r="AC35" s="3210"/>
      <c r="AD35" s="3181">
        <f t="shared" si="17"/>
        <v>2.5999999999999999E-3</v>
      </c>
    </row>
    <row r="36" spans="1:30" s="3182" customFormat="1" ht="13.2">
      <c r="A36" s="3173" t="s">
        <v>3365</v>
      </c>
      <c r="B36" s="3174">
        <v>2022</v>
      </c>
      <c r="C36" s="3175">
        <v>3</v>
      </c>
      <c r="D36" s="3176"/>
      <c r="E36" s="3176">
        <v>0.3</v>
      </c>
      <c r="F36" s="3176">
        <v>0.28999999999999998</v>
      </c>
      <c r="G36" s="3176">
        <v>0.83</v>
      </c>
      <c r="H36" s="3193"/>
      <c r="I36" s="3177">
        <f t="shared" si="12"/>
        <v>0.28999999999999998</v>
      </c>
      <c r="J36" s="3178"/>
      <c r="K36" s="3179"/>
      <c r="L36" s="3169">
        <f t="shared" si="13"/>
        <v>3.0000000000000001E-3</v>
      </c>
      <c r="M36" s="3169">
        <f t="shared" si="13"/>
        <v>2.8999999999999998E-3</v>
      </c>
      <c r="N36" s="3169">
        <f t="shared" si="13"/>
        <v>8.3000000000000001E-3</v>
      </c>
      <c r="O36" s="3169"/>
      <c r="P36" s="3169">
        <f t="shared" si="15"/>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16"/>
        <v>1.0144</v>
      </c>
      <c r="X36" s="3178"/>
      <c r="Y36" s="3181"/>
      <c r="Z36" s="3209">
        <f t="shared" si="17"/>
        <v>3.8999999999999998E-3</v>
      </c>
      <c r="AA36" s="3211">
        <f t="shared" si="17"/>
        <v>2.7000000000000001E-3</v>
      </c>
      <c r="AB36" s="3181">
        <f t="shared" si="17"/>
        <v>7.9000000000000008E-3</v>
      </c>
      <c r="AC36" s="3210"/>
      <c r="AD36" s="3181">
        <f t="shared" si="17"/>
        <v>2.7000000000000001E-3</v>
      </c>
    </row>
    <row r="37" spans="1:30" s="3182" customFormat="1" ht="13.2">
      <c r="A37" s="3173" t="s">
        <v>3355</v>
      </c>
      <c r="B37" s="3174">
        <v>2022</v>
      </c>
      <c r="C37" s="3175">
        <v>2</v>
      </c>
      <c r="D37" s="3176"/>
      <c r="E37" s="3176">
        <v>-0.11</v>
      </c>
      <c r="F37" s="3176">
        <v>-0.13</v>
      </c>
      <c r="G37" s="3176">
        <v>0.53</v>
      </c>
      <c r="H37" s="3193"/>
      <c r="I37" s="3177">
        <f t="shared" si="12"/>
        <v>-0.13</v>
      </c>
      <c r="J37" s="3178"/>
      <c r="K37" s="3179"/>
      <c r="L37" s="3169">
        <f t="shared" si="13"/>
        <v>-1.1000000000000001E-3</v>
      </c>
      <c r="M37" s="3169">
        <f t="shared" si="13"/>
        <v>-1.2999999999999999E-3</v>
      </c>
      <c r="N37" s="3169">
        <f t="shared" si="13"/>
        <v>5.3E-3</v>
      </c>
      <c r="O37" s="3169"/>
      <c r="P37" s="3169">
        <f t="shared" si="15"/>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16"/>
        <v>1.0114000000000001</v>
      </c>
      <c r="X37" s="3178"/>
      <c r="Y37" s="3181"/>
      <c r="Z37" s="3209">
        <f t="shared" si="17"/>
        <v>4.1000000000000003E-3</v>
      </c>
      <c r="AA37" s="3211">
        <f t="shared" si="17"/>
        <v>2.7000000000000001E-3</v>
      </c>
      <c r="AB37" s="3181">
        <f t="shared" si="17"/>
        <v>7.9000000000000008E-3</v>
      </c>
      <c r="AC37" s="3210"/>
      <c r="AD37" s="3181">
        <f t="shared" si="17"/>
        <v>2.7000000000000001E-3</v>
      </c>
    </row>
    <row r="38" spans="1:30" s="3182" customFormat="1" ht="13.2">
      <c r="A38" s="3173" t="s">
        <v>2835</v>
      </c>
      <c r="B38" s="3174">
        <v>2022</v>
      </c>
      <c r="C38" s="3175">
        <v>1</v>
      </c>
      <c r="D38" s="3176"/>
      <c r="E38" s="3176">
        <v>0.6</v>
      </c>
      <c r="F38" s="3176">
        <v>0.45</v>
      </c>
      <c r="G38" s="3176">
        <v>0.53</v>
      </c>
      <c r="H38" s="3193"/>
      <c r="I38" s="3177">
        <f t="shared" si="12"/>
        <v>0.45</v>
      </c>
      <c r="J38" s="3178"/>
      <c r="K38" s="3179"/>
      <c r="L38" s="3169">
        <f t="shared" si="13"/>
        <v>6.0000000000000001E-3</v>
      </c>
      <c r="M38" s="3169">
        <f t="shared" si="13"/>
        <v>4.5000000000000005E-3</v>
      </c>
      <c r="N38" s="3169">
        <f t="shared" si="13"/>
        <v>5.3E-3</v>
      </c>
      <c r="O38" s="3169"/>
      <c r="P38" s="3169">
        <f t="shared" si="15"/>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16"/>
        <v>1.0127999999999999</v>
      </c>
      <c r="X38" s="3178"/>
      <c r="Y38" s="3181"/>
      <c r="Z38" s="3209">
        <f t="shared" si="17"/>
        <v>5.1000000000000004E-3</v>
      </c>
      <c r="AA38" s="3211">
        <f t="shared" si="17"/>
        <v>3.5000000000000001E-3</v>
      </c>
      <c r="AB38" s="3181">
        <f t="shared" si="17"/>
        <v>8.3999999999999995E-3</v>
      </c>
      <c r="AC38" s="3210"/>
      <c r="AD38" s="3181">
        <f t="shared" si="17"/>
        <v>3.5000000000000001E-3</v>
      </c>
    </row>
    <row r="39" spans="1:30" s="3182" customFormat="1" ht="13.2">
      <c r="A39" s="3173" t="s">
        <v>2836</v>
      </c>
      <c r="B39" s="3174">
        <v>2021</v>
      </c>
      <c r="C39" s="3175">
        <v>4</v>
      </c>
      <c r="D39" s="3176"/>
      <c r="E39" s="3176">
        <v>0.57999999999999996</v>
      </c>
      <c r="F39" s="3176">
        <v>0.08</v>
      </c>
      <c r="G39" s="3176">
        <v>0.68</v>
      </c>
      <c r="H39" s="3193"/>
      <c r="I39" s="3177">
        <f t="shared" si="12"/>
        <v>0.08</v>
      </c>
      <c r="J39" s="3178"/>
      <c r="K39" s="3179"/>
      <c r="L39" s="3169">
        <f t="shared" si="13"/>
        <v>5.7999999999999996E-3</v>
      </c>
      <c r="M39" s="3169">
        <f t="shared" si="13"/>
        <v>8.0000000000000004E-4</v>
      </c>
      <c r="N39" s="3169">
        <f t="shared" si="13"/>
        <v>6.8000000000000005E-3</v>
      </c>
      <c r="O39" s="3169"/>
      <c r="P39" s="3169">
        <f t="shared" si="15"/>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16"/>
        <v>1.0082</v>
      </c>
      <c r="X39" s="3178"/>
      <c r="Y39" s="3181"/>
      <c r="Z39" s="3209">
        <f t="shared" si="17"/>
        <v>4.8999999999999998E-3</v>
      </c>
      <c r="AA39" s="3211">
        <f t="shared" si="17"/>
        <v>3.3E-3</v>
      </c>
      <c r="AB39" s="3181">
        <f t="shared" si="17"/>
        <v>9.1999999999999998E-3</v>
      </c>
      <c r="AC39" s="3210"/>
      <c r="AD39" s="3181">
        <f t="shared" si="17"/>
        <v>3.3E-3</v>
      </c>
    </row>
    <row r="40" spans="1:30" s="3182" customFormat="1" ht="13.2">
      <c r="A40" s="3173" t="s">
        <v>2837</v>
      </c>
      <c r="B40" s="3174">
        <v>2021</v>
      </c>
      <c r="C40" s="3175">
        <v>3</v>
      </c>
      <c r="D40" s="3176"/>
      <c r="E40" s="3176">
        <v>0.47</v>
      </c>
      <c r="F40" s="3176">
        <v>0.28000000000000003</v>
      </c>
      <c r="G40" s="3176">
        <v>0.91</v>
      </c>
      <c r="H40" s="3193"/>
      <c r="I40" s="3177">
        <f t="shared" si="12"/>
        <v>0.28000000000000003</v>
      </c>
      <c r="J40" s="3178"/>
      <c r="K40" s="3179"/>
      <c r="L40" s="3169">
        <f t="shared" si="13"/>
        <v>4.6999999999999993E-3</v>
      </c>
      <c r="M40" s="3169">
        <f t="shared" si="13"/>
        <v>2.8000000000000004E-3</v>
      </c>
      <c r="N40" s="3169">
        <f t="shared" si="13"/>
        <v>9.1000000000000004E-3</v>
      </c>
      <c r="O40" s="3169"/>
      <c r="P40" s="3169">
        <f t="shared" si="15"/>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16"/>
        <v>1.0074000000000001</v>
      </c>
      <c r="X40" s="3178"/>
      <c r="Y40" s="3181"/>
      <c r="Z40" s="3209">
        <f t="shared" si="17"/>
        <v>4.5999999999999999E-3</v>
      </c>
      <c r="AA40" s="3211">
        <f t="shared" si="17"/>
        <v>4.1000000000000003E-3</v>
      </c>
      <c r="AB40" s="3181">
        <f t="shared" si="17"/>
        <v>0.01</v>
      </c>
      <c r="AC40" s="3210"/>
      <c r="AD40" s="3181">
        <f t="shared" si="17"/>
        <v>4.1000000000000003E-3</v>
      </c>
    </row>
    <row r="41" spans="1:30" s="3182" customFormat="1" ht="13.2">
      <c r="A41" s="3173" t="s">
        <v>2838</v>
      </c>
      <c r="B41" s="3174">
        <v>2021</v>
      </c>
      <c r="C41" s="3175">
        <v>2</v>
      </c>
      <c r="D41" s="3176"/>
      <c r="E41" s="3176">
        <v>0.55000000000000004</v>
      </c>
      <c r="F41" s="3176">
        <v>0.46</v>
      </c>
      <c r="G41" s="3176">
        <v>1.1000000000000001</v>
      </c>
      <c r="H41" s="3193"/>
      <c r="I41" s="3177">
        <f t="shared" si="12"/>
        <v>0.46</v>
      </c>
      <c r="J41" s="3178"/>
      <c r="K41" s="3179"/>
      <c r="L41" s="3169">
        <f t="shared" si="13"/>
        <v>5.5000000000000005E-3</v>
      </c>
      <c r="M41" s="3169">
        <f t="shared" si="13"/>
        <v>4.5999999999999999E-3</v>
      </c>
      <c r="N41" s="3169">
        <f t="shared" si="13"/>
        <v>1.1000000000000001E-2</v>
      </c>
      <c r="O41" s="3169"/>
      <c r="P41" s="3169">
        <f t="shared" si="15"/>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16"/>
        <v>1.0045999999999999</v>
      </c>
      <c r="X41" s="3178"/>
      <c r="Y41" s="3181"/>
      <c r="Z41" s="3209">
        <f t="shared" si="17"/>
        <v>4.4999999999999997E-3</v>
      </c>
      <c r="AA41" s="3211">
        <f t="shared" si="17"/>
        <v>4.7000000000000002E-3</v>
      </c>
      <c r="AB41" s="3181">
        <f t="shared" si="17"/>
        <v>1.04E-2</v>
      </c>
      <c r="AC41" s="3210"/>
      <c r="AD41" s="3181">
        <f t="shared" si="17"/>
        <v>4.7000000000000002E-3</v>
      </c>
    </row>
    <row r="42" spans="1:30" s="3204" customFormat="1" thickBot="1">
      <c r="A42" s="3194" t="s">
        <v>2824</v>
      </c>
      <c r="B42" s="3195">
        <v>2021</v>
      </c>
      <c r="C42" s="3196">
        <v>1</v>
      </c>
      <c r="D42" s="3197"/>
      <c r="E42" s="3197">
        <v>0.35</v>
      </c>
      <c r="F42" s="3197">
        <v>0.48</v>
      </c>
      <c r="G42" s="3197">
        <v>0.98</v>
      </c>
      <c r="H42" s="3198"/>
      <c r="I42" s="3199">
        <f t="shared" si="12"/>
        <v>0.48</v>
      </c>
      <c r="J42" s="3200"/>
      <c r="K42" s="3201"/>
      <c r="L42" s="3202">
        <f t="shared" si="13"/>
        <v>3.4999999999999996E-3</v>
      </c>
      <c r="M42" s="3202">
        <f>F42/100</f>
        <v>4.7999999999999996E-3</v>
      </c>
      <c r="N42" s="3202">
        <f t="shared" si="13"/>
        <v>9.7999999999999997E-3</v>
      </c>
      <c r="O42" s="3202"/>
      <c r="P42" s="3202">
        <f t="shared" si="15"/>
        <v>4.7999999999999996E-3</v>
      </c>
      <c r="Q42" s="3200"/>
      <c r="R42" s="3203"/>
      <c r="S42" s="3203">
        <v>1</v>
      </c>
      <c r="T42" s="3203">
        <v>1</v>
      </c>
      <c r="U42" s="3203">
        <v>1</v>
      </c>
      <c r="V42" s="3203"/>
      <c r="W42" s="3203">
        <f t="shared" si="16"/>
        <v>1</v>
      </c>
      <c r="X42" s="3200"/>
      <c r="Y42" s="3202"/>
      <c r="Z42" s="3215">
        <f t="shared" si="17"/>
        <v>3.5000000000000001E-3</v>
      </c>
      <c r="AA42" s="3216">
        <f t="shared" si="17"/>
        <v>4.7999999999999996E-3</v>
      </c>
      <c r="AB42" s="3202">
        <f t="shared" si="17"/>
        <v>9.7999999999999997E-3</v>
      </c>
      <c r="AC42" s="3217"/>
      <c r="AD42" s="3202">
        <f t="shared" si="17"/>
        <v>4.7999999999999996E-3</v>
      </c>
    </row>
    <row r="43" spans="1:30" ht="14.4" thickTop="1"/>
    <row r="44" spans="1:30">
      <c r="A44" s="3445"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1093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1093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4070" t="s">
        <v>452</v>
      </c>
      <c r="C1" s="4070"/>
      <c r="D1" s="4070"/>
      <c r="E1" s="4070"/>
      <c r="F1" s="4070"/>
      <c r="G1" s="4066" t="s">
        <v>453</v>
      </c>
      <c r="H1" s="4066"/>
      <c r="I1" s="4066"/>
      <c r="J1" s="4066"/>
      <c r="K1" s="4066"/>
      <c r="L1" s="4066"/>
      <c r="N1" s="4066" t="s">
        <v>454</v>
      </c>
      <c r="O1" s="4066"/>
      <c r="P1" s="4066"/>
      <c r="Q1" s="4066"/>
      <c r="S1" s="4066" t="s">
        <v>455</v>
      </c>
      <c r="T1" s="4066"/>
      <c r="U1" s="4066"/>
      <c r="V1" s="4066"/>
      <c r="X1" s="4065" t="s">
        <v>456</v>
      </c>
      <c r="Y1" s="4066"/>
      <c r="Z1" s="4066"/>
      <c r="AA1" s="4066"/>
      <c r="AB1" s="4066"/>
      <c r="AD1" s="4065" t="s">
        <v>457</v>
      </c>
      <c r="AE1" s="4066"/>
      <c r="AF1" s="4066"/>
      <c r="AG1" s="4066"/>
      <c r="AH1" s="4066"/>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B24" si="0">B6*(1+N5)</f>
        <v>510.07089659554606</v>
      </c>
      <c r="C5" s="2203">
        <f t="shared" ref="C5:C24" si="1">C6*(1+O5)</f>
        <v>352.55593185737411</v>
      </c>
      <c r="D5" s="2203">
        <f t="shared" ref="D5:D29" si="2">C5</f>
        <v>352.55593185737411</v>
      </c>
      <c r="E5" s="2203">
        <f t="shared" ref="E5:E24" si="3">E6*(1+P5)</f>
        <v>737.27992463403655</v>
      </c>
      <c r="F5" s="2203">
        <f t="shared" ref="F5:F24" si="4">F6*(1+Q5)</f>
        <v>335.88319198297864</v>
      </c>
      <c r="G5" s="3433">
        <v>2022</v>
      </c>
      <c r="H5" s="2204">
        <v>1</v>
      </c>
      <c r="I5" s="2166">
        <v>0</v>
      </c>
      <c r="J5" s="2166">
        <v>0</v>
      </c>
      <c r="K5" s="2166">
        <v>0</v>
      </c>
      <c r="L5" s="2167">
        <v>0</v>
      </c>
      <c r="M5" s="2189"/>
      <c r="N5" s="2205">
        <f t="shared" ref="N5:N16" si="5">I5/100</f>
        <v>0</v>
      </c>
      <c r="O5" s="2190">
        <f t="shared" ref="O5:O16" si="6">J5/100</f>
        <v>0</v>
      </c>
      <c r="P5" s="2190">
        <f t="shared" ref="P5:P16" si="7">K5/100</f>
        <v>0</v>
      </c>
      <c r="Q5" s="2190">
        <f t="shared" ref="Q5:Q16" si="8">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Z39" si="9">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AF40" si="10">AE5</f>
        <v>9.7000000000000003E-3</v>
      </c>
      <c r="AG5" s="2208">
        <f>ROUND(AVERAGE(K5:K$40)/100,4)</f>
        <v>1.66E-2</v>
      </c>
      <c r="AH5" s="2208">
        <f>ROUND(AVERAGE(L5:L$40)/100,4)</f>
        <v>1.0999999999999999E-2</v>
      </c>
    </row>
    <row r="6" spans="1:34" s="2196" customFormat="1">
      <c r="A6" s="2191" t="s">
        <v>3360</v>
      </c>
      <c r="B6" s="2192">
        <f t="shared" si="0"/>
        <v>510.07089659554606</v>
      </c>
      <c r="C6" s="2192">
        <f t="shared" si="1"/>
        <v>352.55593185737411</v>
      </c>
      <c r="D6" s="2192">
        <f t="shared" si="2"/>
        <v>352.55593185737411</v>
      </c>
      <c r="E6" s="2192">
        <f t="shared" si="3"/>
        <v>737.27992463403655</v>
      </c>
      <c r="F6" s="2192">
        <f t="shared" si="4"/>
        <v>335.88319198297864</v>
      </c>
      <c r="G6" s="3433">
        <v>2022</v>
      </c>
      <c r="H6" s="2194">
        <v>1</v>
      </c>
      <c r="I6" s="2195">
        <v>0</v>
      </c>
      <c r="J6" s="2195">
        <v>0</v>
      </c>
      <c r="K6" s="2195">
        <v>0</v>
      </c>
      <c r="L6" s="2195">
        <v>0</v>
      </c>
      <c r="N6" s="2197">
        <f t="shared" si="5"/>
        <v>0</v>
      </c>
      <c r="O6" s="2197">
        <f t="shared" si="6"/>
        <v>0</v>
      </c>
      <c r="P6" s="2197">
        <f t="shared" si="7"/>
        <v>0</v>
      </c>
      <c r="Q6" s="2197">
        <f t="shared" si="8"/>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si="9"/>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si="10"/>
        <v>0.01</v>
      </c>
      <c r="AG6" s="2201">
        <f>ROUND(AVERAGE(K6:K$40)/100,4)</f>
        <v>1.7100000000000001E-2</v>
      </c>
      <c r="AH6" s="2201">
        <f>ROUND(AVERAGE(L6:L$40)/100,4)</f>
        <v>1.1299999999999999E-2</v>
      </c>
    </row>
    <row r="7" spans="1:34" s="2209" customFormat="1">
      <c r="A7" s="2202" t="s">
        <v>3361</v>
      </c>
      <c r="B7" s="2203">
        <f t="shared" si="0"/>
        <v>510.07089659554606</v>
      </c>
      <c r="C7" s="2203">
        <f t="shared" si="1"/>
        <v>352.55593185737411</v>
      </c>
      <c r="D7" s="2203">
        <f t="shared" si="2"/>
        <v>352.55593185737411</v>
      </c>
      <c r="E7" s="2203">
        <f t="shared" si="3"/>
        <v>737.27992463403655</v>
      </c>
      <c r="F7" s="2203">
        <f t="shared" si="4"/>
        <v>335.88319198297864</v>
      </c>
      <c r="G7" s="3433">
        <v>2022</v>
      </c>
      <c r="H7" s="2204">
        <v>1</v>
      </c>
      <c r="I7" s="2166">
        <v>0</v>
      </c>
      <c r="J7" s="2166">
        <v>0</v>
      </c>
      <c r="K7" s="2166">
        <v>0</v>
      </c>
      <c r="L7" s="2167">
        <v>0</v>
      </c>
      <c r="M7" s="2189"/>
      <c r="N7" s="2205">
        <f t="shared" si="5"/>
        <v>0</v>
      </c>
      <c r="O7" s="2190">
        <f t="shared" si="6"/>
        <v>0</v>
      </c>
      <c r="P7" s="2190">
        <f t="shared" si="7"/>
        <v>0</v>
      </c>
      <c r="Q7" s="2190">
        <f t="shared" si="8"/>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si="9"/>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si="10"/>
        <v>1.03E-2</v>
      </c>
      <c r="AG7" s="2208">
        <f>ROUND(AVERAGE(K7:K$40)/100,4)</f>
        <v>1.7600000000000001E-2</v>
      </c>
      <c r="AH7" s="2208">
        <f>ROUND(AVERAGE(L7:L$40)/100,4)</f>
        <v>1.1599999999999999E-2</v>
      </c>
    </row>
    <row r="8" spans="1:34" s="2209" customFormat="1">
      <c r="A8" s="2202" t="s">
        <v>3362</v>
      </c>
      <c r="B8" s="2203">
        <f t="shared" si="0"/>
        <v>510.07089659554606</v>
      </c>
      <c r="C8" s="2203">
        <f t="shared" si="1"/>
        <v>352.55593185737411</v>
      </c>
      <c r="D8" s="2203">
        <f t="shared" si="2"/>
        <v>352.55593185737411</v>
      </c>
      <c r="E8" s="2203">
        <f t="shared" si="3"/>
        <v>737.27992463403655</v>
      </c>
      <c r="F8" s="2203">
        <f t="shared" si="4"/>
        <v>335.88319198297864</v>
      </c>
      <c r="G8" s="3433">
        <v>2022</v>
      </c>
      <c r="H8" s="2204">
        <v>1</v>
      </c>
      <c r="I8" s="2166"/>
      <c r="J8" s="2166"/>
      <c r="K8" s="2166">
        <v>0</v>
      </c>
      <c r="L8" s="2167">
        <v>0</v>
      </c>
      <c r="M8" s="2189"/>
      <c r="N8" s="2205">
        <f t="shared" si="5"/>
        <v>0</v>
      </c>
      <c r="O8" s="2190">
        <f t="shared" si="6"/>
        <v>0</v>
      </c>
      <c r="P8" s="2190">
        <f t="shared" si="7"/>
        <v>0</v>
      </c>
      <c r="Q8" s="2190">
        <f t="shared" si="8"/>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si="9"/>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si="10"/>
        <v>1.06E-2</v>
      </c>
      <c r="AG8" s="2208">
        <f>ROUND(AVERAGE(K8:K$40)/100,4)</f>
        <v>1.8100000000000002E-2</v>
      </c>
      <c r="AH8" s="2208">
        <f>ROUND(AVERAGE(L8:L$40)/100,4)</f>
        <v>1.2E-2</v>
      </c>
    </row>
    <row r="9" spans="1:34" s="2209" customFormat="1">
      <c r="A9" s="2202" t="s">
        <v>2436</v>
      </c>
      <c r="B9" s="2203">
        <f t="shared" si="0"/>
        <v>510.07089659554606</v>
      </c>
      <c r="C9" s="2203">
        <f t="shared" si="1"/>
        <v>352.55593185737411</v>
      </c>
      <c r="D9" s="2203">
        <f t="shared" si="2"/>
        <v>352.55593185737411</v>
      </c>
      <c r="E9" s="2203">
        <f t="shared" si="3"/>
        <v>737.27992463403655</v>
      </c>
      <c r="F9" s="2203">
        <f t="shared" si="4"/>
        <v>335.88319198297864</v>
      </c>
      <c r="G9" s="3002">
        <v>2021</v>
      </c>
      <c r="H9" s="2204">
        <v>4</v>
      </c>
      <c r="I9" s="2166">
        <v>1.03</v>
      </c>
      <c r="J9" s="2166">
        <v>0.24</v>
      </c>
      <c r="K9" s="2166">
        <v>1.17</v>
      </c>
      <c r="L9" s="2167">
        <v>0.55000000000000004</v>
      </c>
      <c r="M9" s="2189"/>
      <c r="N9" s="2205">
        <f t="shared" si="5"/>
        <v>1.03E-2</v>
      </c>
      <c r="O9" s="2190">
        <f t="shared" si="6"/>
        <v>2.3999999999999998E-3</v>
      </c>
      <c r="P9" s="2190">
        <f t="shared" si="7"/>
        <v>1.1699999999999999E-2</v>
      </c>
      <c r="Q9" s="2190">
        <f t="shared" si="8"/>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si="9"/>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si="10"/>
        <v>1.06E-2</v>
      </c>
      <c r="AG9" s="2208">
        <f>ROUND(AVERAGE(K9:K$40)/100,4)</f>
        <v>1.8700000000000001E-2</v>
      </c>
      <c r="AH9" s="2208">
        <f>ROUND(AVERAGE(L9:L$40)/100,4)</f>
        <v>1.24E-2</v>
      </c>
    </row>
    <row r="10" spans="1:34" s="2209" customFormat="1">
      <c r="A10" s="2202" t="s">
        <v>2313</v>
      </c>
      <c r="B10" s="2203">
        <f t="shared" si="0"/>
        <v>504.87072809615569</v>
      </c>
      <c r="C10" s="2203">
        <f t="shared" si="1"/>
        <v>351.71182348101968</v>
      </c>
      <c r="D10" s="2203">
        <f t="shared" si="2"/>
        <v>351.71182348101968</v>
      </c>
      <c r="E10" s="2203">
        <f t="shared" si="3"/>
        <v>728.75350858360832</v>
      </c>
      <c r="F10" s="2203">
        <f t="shared" si="4"/>
        <v>334.04593931673656</v>
      </c>
      <c r="G10" s="2827">
        <v>2021</v>
      </c>
      <c r="H10" s="2204">
        <v>3</v>
      </c>
      <c r="I10" s="2166">
        <v>0.47</v>
      </c>
      <c r="J10" s="2166">
        <v>0.41</v>
      </c>
      <c r="K10" s="2166">
        <v>0.48</v>
      </c>
      <c r="L10" s="2167">
        <v>0.48</v>
      </c>
      <c r="M10" s="2189"/>
      <c r="N10" s="2205">
        <f t="shared" si="5"/>
        <v>4.6999999999999993E-3</v>
      </c>
      <c r="O10" s="2190">
        <f t="shared" si="6"/>
        <v>4.0999999999999995E-3</v>
      </c>
      <c r="P10" s="2190">
        <f t="shared" si="7"/>
        <v>4.7999999999999996E-3</v>
      </c>
      <c r="Q10" s="2190">
        <f t="shared" si="8"/>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si="9"/>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si="10"/>
        <v>1.09E-2</v>
      </c>
      <c r="AG10" s="2208">
        <f>ROUND(AVERAGE(K10:K$40)/100,4)</f>
        <v>1.89E-2</v>
      </c>
      <c r="AH10" s="2208">
        <f>ROUND(AVERAGE(L10:L$40)/100,4)</f>
        <v>1.26E-2</v>
      </c>
    </row>
    <row r="11" spans="1:34" s="2209" customFormat="1">
      <c r="A11" s="2202" t="s">
        <v>2312</v>
      </c>
      <c r="B11" s="2203">
        <f t="shared" si="0"/>
        <v>502.50893609650217</v>
      </c>
      <c r="C11" s="2203">
        <f t="shared" si="1"/>
        <v>350.27569313914915</v>
      </c>
      <c r="D11" s="2203">
        <f t="shared" si="2"/>
        <v>350.27569313914915</v>
      </c>
      <c r="E11" s="2203">
        <f t="shared" si="3"/>
        <v>725.27220201394141</v>
      </c>
      <c r="F11" s="2203">
        <f t="shared" si="4"/>
        <v>332.45017846012797</v>
      </c>
      <c r="G11" s="2826">
        <v>2021</v>
      </c>
      <c r="H11" s="2204">
        <v>2</v>
      </c>
      <c r="I11" s="2166">
        <v>0.92</v>
      </c>
      <c r="J11" s="2166">
        <v>0.72</v>
      </c>
      <c r="K11" s="2166">
        <v>0.95</v>
      </c>
      <c r="L11" s="2167">
        <v>1.01</v>
      </c>
      <c r="M11" s="2189"/>
      <c r="N11" s="2205">
        <f t="shared" si="5"/>
        <v>9.1999999999999998E-3</v>
      </c>
      <c r="O11" s="2190">
        <f t="shared" si="6"/>
        <v>7.1999999999999998E-3</v>
      </c>
      <c r="P11" s="2190">
        <f t="shared" si="7"/>
        <v>9.4999999999999998E-3</v>
      </c>
      <c r="Q11" s="2190">
        <f t="shared" si="8"/>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si="9"/>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si="10"/>
        <v>1.11E-2</v>
      </c>
      <c r="AG11" s="2208">
        <f>ROUND(AVERAGE(K11:K$40)/100,4)</f>
        <v>1.9400000000000001E-2</v>
      </c>
      <c r="AH11" s="2208">
        <f>ROUND(AVERAGE(L11:L$40)/100,4)</f>
        <v>1.2800000000000001E-2</v>
      </c>
    </row>
    <row r="12" spans="1:34" s="2209" customFormat="1">
      <c r="A12" s="2202" t="s">
        <v>2311</v>
      </c>
      <c r="B12" s="2203">
        <f t="shared" si="0"/>
        <v>497.92799851020823</v>
      </c>
      <c r="C12" s="2203">
        <f t="shared" si="1"/>
        <v>347.77173663537445</v>
      </c>
      <c r="D12" s="2203">
        <f t="shared" si="2"/>
        <v>347.77173663537445</v>
      </c>
      <c r="E12" s="2203">
        <f t="shared" si="3"/>
        <v>718.44695593258189</v>
      </c>
      <c r="F12" s="2203">
        <f t="shared" si="4"/>
        <v>329.12600580153247</v>
      </c>
      <c r="G12" s="2810">
        <v>2021</v>
      </c>
      <c r="H12" s="2204">
        <v>1</v>
      </c>
      <c r="I12" s="2166">
        <v>0.97</v>
      </c>
      <c r="J12" s="2166">
        <v>0.16</v>
      </c>
      <c r="K12" s="2166">
        <v>1.1100000000000001</v>
      </c>
      <c r="L12" s="2167">
        <v>0.36</v>
      </c>
      <c r="M12" s="2189"/>
      <c r="N12" s="2205">
        <f t="shared" si="5"/>
        <v>9.7000000000000003E-3</v>
      </c>
      <c r="O12" s="2190">
        <f t="shared" si="6"/>
        <v>1.6000000000000001E-3</v>
      </c>
      <c r="P12" s="2190">
        <f t="shared" si="7"/>
        <v>1.11E-2</v>
      </c>
      <c r="Q12" s="2190">
        <f t="shared" si="8"/>
        <v>3.5999999999999999E-3</v>
      </c>
      <c r="R12" s="2206"/>
      <c r="S12" s="2205">
        <f>B12/B13-1</f>
        <v>9.7000000000000419E-3</v>
      </c>
      <c r="T12" s="2190">
        <f>C12/C13-1</f>
        <v>1.6000000000000458E-3</v>
      </c>
      <c r="U12" s="2190">
        <f>D12/D13-1</f>
        <v>1.6000000000000458E-3</v>
      </c>
      <c r="V12" s="2190">
        <f>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si="9"/>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si="10"/>
        <v>1.12E-2</v>
      </c>
      <c r="AG12" s="2208">
        <f>ROUND(AVERAGE(K12:K$40)/100,4)</f>
        <v>1.9699999999999999E-2</v>
      </c>
      <c r="AH12" s="2208">
        <f>ROUND(AVERAGE(L12:L$40)/100,4)</f>
        <v>1.29E-2</v>
      </c>
    </row>
    <row r="13" spans="1:34" s="2209" customFormat="1">
      <c r="A13" s="2202" t="s">
        <v>2309</v>
      </c>
      <c r="B13" s="2203">
        <f t="shared" si="0"/>
        <v>493.14449689037161</v>
      </c>
      <c r="C13" s="2203">
        <f t="shared" si="1"/>
        <v>347.21619073020611</v>
      </c>
      <c r="D13" s="2203">
        <f t="shared" si="2"/>
        <v>347.21619073020611</v>
      </c>
      <c r="E13" s="2203">
        <f t="shared" si="3"/>
        <v>710.55974278763904</v>
      </c>
      <c r="F13" s="2203">
        <f t="shared" si="4"/>
        <v>327.94540235306141</v>
      </c>
      <c r="G13" s="2809">
        <v>2020</v>
      </c>
      <c r="H13" s="2204">
        <v>4</v>
      </c>
      <c r="I13" s="2166">
        <v>2.0699999999999998</v>
      </c>
      <c r="J13" s="2166">
        <v>0.37</v>
      </c>
      <c r="K13" s="2166">
        <v>2.35</v>
      </c>
      <c r="L13" s="2167">
        <v>2.69</v>
      </c>
      <c r="M13" s="2189"/>
      <c r="N13" s="2205">
        <f t="shared" si="5"/>
        <v>2.07E-2</v>
      </c>
      <c r="O13" s="2190">
        <f t="shared" si="6"/>
        <v>3.7000000000000002E-3</v>
      </c>
      <c r="P13" s="2190">
        <f t="shared" si="7"/>
        <v>2.35E-2</v>
      </c>
      <c r="Q13" s="2190">
        <f t="shared" si="8"/>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si="9"/>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si="10"/>
        <v>1.1599999999999999E-2</v>
      </c>
      <c r="AG13" s="2208">
        <f>ROUND(AVERAGE(K13:K$40)/100,4)</f>
        <v>0.02</v>
      </c>
      <c r="AH13" s="2208">
        <f>ROUND(AVERAGE(L13:L$40)/100,4)</f>
        <v>1.3299999999999999E-2</v>
      </c>
    </row>
    <row r="14" spans="1:34" s="2209" customFormat="1">
      <c r="A14" s="2202" t="s">
        <v>2308</v>
      </c>
      <c r="B14" s="2203">
        <f t="shared" si="0"/>
        <v>483.1434279321756</v>
      </c>
      <c r="C14" s="2203">
        <f t="shared" si="1"/>
        <v>345.93622669144776</v>
      </c>
      <c r="D14" s="2203">
        <f t="shared" si="2"/>
        <v>345.93622669144776</v>
      </c>
      <c r="E14" s="2203">
        <f t="shared" si="3"/>
        <v>694.24498562544113</v>
      </c>
      <c r="F14" s="2203">
        <f t="shared" si="4"/>
        <v>319.35475932716082</v>
      </c>
      <c r="G14" s="2806">
        <v>2020</v>
      </c>
      <c r="H14" s="2204">
        <v>3</v>
      </c>
      <c r="I14" s="2166">
        <v>0.36</v>
      </c>
      <c r="J14" s="2166">
        <v>-0.39</v>
      </c>
      <c r="K14" s="2166">
        <v>0.49</v>
      </c>
      <c r="L14" s="2167">
        <v>7.0000000000000007E-2</v>
      </c>
      <c r="M14" s="2189"/>
      <c r="N14" s="2205">
        <f t="shared" si="5"/>
        <v>3.5999999999999999E-3</v>
      </c>
      <c r="O14" s="2190">
        <f t="shared" si="6"/>
        <v>-3.9000000000000003E-3</v>
      </c>
      <c r="P14" s="2190">
        <f t="shared" si="7"/>
        <v>4.8999999999999998E-3</v>
      </c>
      <c r="Q14" s="2190">
        <f t="shared" si="8"/>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si="9"/>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si="10"/>
        <v>1.1900000000000001E-2</v>
      </c>
      <c r="AG14" s="2208">
        <f>ROUND(AVERAGE(K14:K$40)/100,4)</f>
        <v>1.9900000000000001E-2</v>
      </c>
      <c r="AH14" s="2208">
        <f>ROUND(AVERAGE(L14:L$40)/100,4)</f>
        <v>1.2800000000000001E-2</v>
      </c>
    </row>
    <row r="15" spans="1:34" s="2209" customFormat="1">
      <c r="A15" s="2202" t="s">
        <v>2129</v>
      </c>
      <c r="B15" s="2203">
        <f t="shared" si="0"/>
        <v>481.4103506697644</v>
      </c>
      <c r="C15" s="2203">
        <f t="shared" si="1"/>
        <v>347.29066026648707</v>
      </c>
      <c r="D15" s="2203">
        <f t="shared" si="2"/>
        <v>347.29066026648707</v>
      </c>
      <c r="E15" s="2203">
        <f t="shared" si="3"/>
        <v>690.85977273901995</v>
      </c>
      <c r="F15" s="2203">
        <f t="shared" si="4"/>
        <v>319.13136737000184</v>
      </c>
      <c r="G15" s="2193">
        <v>2020</v>
      </c>
      <c r="H15" s="2204">
        <v>2</v>
      </c>
      <c r="I15" s="2166">
        <v>0.31</v>
      </c>
      <c r="J15" s="2166">
        <v>-0.78</v>
      </c>
      <c r="K15" s="2166">
        <v>0.5</v>
      </c>
      <c r="L15" s="2167">
        <v>0.47</v>
      </c>
      <c r="M15" s="2189"/>
      <c r="N15" s="2205">
        <f t="shared" si="5"/>
        <v>3.0999999999999999E-3</v>
      </c>
      <c r="O15" s="2190">
        <f t="shared" si="6"/>
        <v>-7.8000000000000005E-3</v>
      </c>
      <c r="P15" s="2190">
        <f t="shared" si="7"/>
        <v>5.0000000000000001E-3</v>
      </c>
      <c r="Q15" s="2190">
        <f t="shared" si="8"/>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si="9"/>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si="10"/>
        <v>1.2500000000000001E-2</v>
      </c>
      <c r="AG15" s="2208">
        <f>ROUND(AVERAGE(K15:K$40)/100,4)</f>
        <v>2.0400000000000001E-2</v>
      </c>
      <c r="AH15" s="2208">
        <f>ROUND(AVERAGE(L15:L$40)/100,4)</f>
        <v>1.32E-2</v>
      </c>
    </row>
    <row r="16" spans="1:34" s="2209" customFormat="1">
      <c r="A16" s="2202" t="s">
        <v>2127</v>
      </c>
      <c r="B16" s="2203">
        <f t="shared" si="0"/>
        <v>479.92259063878413</v>
      </c>
      <c r="C16" s="2203">
        <f t="shared" si="1"/>
        <v>350.02082268341775</v>
      </c>
      <c r="D16" s="2203">
        <f t="shared" si="2"/>
        <v>350.02082268341775</v>
      </c>
      <c r="E16" s="2203">
        <f t="shared" si="3"/>
        <v>687.42265944181099</v>
      </c>
      <c r="F16" s="2203">
        <f t="shared" si="4"/>
        <v>317.63846657708956</v>
      </c>
      <c r="G16" s="2193">
        <v>2020</v>
      </c>
      <c r="H16" s="2204">
        <v>1</v>
      </c>
      <c r="I16" s="2166">
        <v>0.12</v>
      </c>
      <c r="J16" s="2166">
        <v>-0.4</v>
      </c>
      <c r="K16" s="2166">
        <v>0.21</v>
      </c>
      <c r="L16" s="2167">
        <v>0.27</v>
      </c>
      <c r="M16" s="2189"/>
      <c r="N16" s="2205">
        <f t="shared" si="5"/>
        <v>1.1999999999999999E-3</v>
      </c>
      <c r="O16" s="2190">
        <f t="shared" si="6"/>
        <v>-4.0000000000000001E-3</v>
      </c>
      <c r="P16" s="2190">
        <f t="shared" si="7"/>
        <v>2.0999999999999999E-3</v>
      </c>
      <c r="Q16" s="2190">
        <f t="shared" si="8"/>
        <v>2.7000000000000001E-3</v>
      </c>
      <c r="R16" s="2206"/>
      <c r="S16" s="2205">
        <f>B16/B17-1</f>
        <v>1.2000000000000899E-3</v>
      </c>
      <c r="T16" s="2190">
        <f>C16/C17-1</f>
        <v>-4.0000000000000036E-3</v>
      </c>
      <c r="U16" s="2190">
        <f>D16/D17-1</f>
        <v>-4.0000000000000036E-3</v>
      </c>
      <c r="V16" s="2190">
        <f>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si="9"/>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si="10"/>
        <v>1.3299999999999999E-2</v>
      </c>
      <c r="AG16" s="2208">
        <f>ROUND(AVERAGE(K16:K$40)/100,4)</f>
        <v>2.1100000000000001E-2</v>
      </c>
      <c r="AH16" s="2208">
        <f>ROUND(AVERAGE(L16:L$40)/100,4)</f>
        <v>1.3599999999999999E-2</v>
      </c>
    </row>
    <row r="17" spans="1:34" s="2209" customFormat="1">
      <c r="A17" s="2202" t="s">
        <v>2126</v>
      </c>
      <c r="B17" s="2203">
        <f t="shared" si="0"/>
        <v>479.34737379023579</v>
      </c>
      <c r="C17" s="2203">
        <f t="shared" si="1"/>
        <v>351.4265287986122</v>
      </c>
      <c r="D17" s="2203">
        <f t="shared" si="2"/>
        <v>351.4265287986122</v>
      </c>
      <c r="E17" s="2203">
        <f t="shared" si="3"/>
        <v>685.98209703803116</v>
      </c>
      <c r="F17" s="2203">
        <f t="shared" si="4"/>
        <v>316.78315206651001</v>
      </c>
      <c r="G17" s="2193">
        <v>2019</v>
      </c>
      <c r="H17" s="2204">
        <v>4</v>
      </c>
      <c r="I17" s="2204">
        <v>0.45</v>
      </c>
      <c r="J17" s="2204">
        <v>-0.12</v>
      </c>
      <c r="K17" s="2204">
        <v>0.54</v>
      </c>
      <c r="L17" s="2210">
        <v>0.48</v>
      </c>
      <c r="M17" s="2189"/>
      <c r="N17" s="2205">
        <f t="shared" ref="N17:N22" si="11">I17/100</f>
        <v>4.5000000000000005E-3</v>
      </c>
      <c r="O17" s="2190">
        <f t="shared" ref="O17:O27" si="12">J17/100</f>
        <v>-1.1999999999999999E-3</v>
      </c>
      <c r="P17" s="2190">
        <f t="shared" ref="P17:P27" si="13">K17/100</f>
        <v>5.4000000000000003E-3</v>
      </c>
      <c r="Q17" s="2190">
        <f t="shared" ref="Q17:Q27" si="14">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si="9"/>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si="10"/>
        <v>1.4E-2</v>
      </c>
      <c r="AG17" s="2208">
        <f>ROUND(AVERAGE(K17:K$40)/100,4)</f>
        <v>2.1899999999999999E-2</v>
      </c>
      <c r="AH17" s="2208">
        <f>ROUND(AVERAGE(L17:L$40)/100,4)</f>
        <v>1.4E-2</v>
      </c>
    </row>
    <row r="18" spans="1:34" s="2209" customFormat="1" ht="13.8" thickBot="1">
      <c r="A18" s="2202" t="s">
        <v>2125</v>
      </c>
      <c r="B18" s="2203">
        <f t="shared" si="0"/>
        <v>477.19997390765138</v>
      </c>
      <c r="C18" s="2203">
        <f t="shared" si="1"/>
        <v>351.84874729536665</v>
      </c>
      <c r="D18" s="2203">
        <f t="shared" si="2"/>
        <v>351.84874729536665</v>
      </c>
      <c r="E18" s="2203">
        <f t="shared" si="3"/>
        <v>682.29768951465201</v>
      </c>
      <c r="F18" s="2203">
        <f t="shared" si="4"/>
        <v>315.26985675409043</v>
      </c>
      <c r="G18" s="2193">
        <v>2019</v>
      </c>
      <c r="H18" s="2204">
        <v>3</v>
      </c>
      <c r="I18" s="2204">
        <v>0.61</v>
      </c>
      <c r="J18" s="2204">
        <v>0.67</v>
      </c>
      <c r="K18" s="2204">
        <v>0.6</v>
      </c>
      <c r="L18" s="2210">
        <v>1.03</v>
      </c>
      <c r="M18" s="2189"/>
      <c r="N18" s="2205">
        <f t="shared" si="11"/>
        <v>6.0999999999999995E-3</v>
      </c>
      <c r="O18" s="2190">
        <f t="shared" si="12"/>
        <v>6.7000000000000002E-3</v>
      </c>
      <c r="P18" s="2190">
        <f t="shared" si="13"/>
        <v>6.0000000000000001E-3</v>
      </c>
      <c r="Q18" s="2190">
        <f t="shared" si="14"/>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si="9"/>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si="10"/>
        <v>1.47E-2</v>
      </c>
      <c r="AG18" s="2208">
        <f>ROUND(AVERAGE(K18:K$40)/100,4)</f>
        <v>2.2599999999999999E-2</v>
      </c>
      <c r="AH18" s="2208">
        <f>ROUND(AVERAGE(L18:L$40)/100,4)</f>
        <v>1.44E-2</v>
      </c>
    </row>
    <row r="19" spans="1:34" s="2209" customFormat="1">
      <c r="A19" s="2202" t="s">
        <v>2123</v>
      </c>
      <c r="B19" s="2203">
        <f t="shared" si="0"/>
        <v>474.30670301923408</v>
      </c>
      <c r="C19" s="2203">
        <f t="shared" si="1"/>
        <v>349.50705005996491</v>
      </c>
      <c r="D19" s="2203">
        <f t="shared" si="2"/>
        <v>349.50705005996491</v>
      </c>
      <c r="E19" s="2203">
        <f t="shared" si="3"/>
        <v>678.22831959706957</v>
      </c>
      <c r="F19" s="2203">
        <f t="shared" si="4"/>
        <v>312.0556832169558</v>
      </c>
      <c r="G19" s="2193">
        <v>2019</v>
      </c>
      <c r="H19" s="2211">
        <v>2</v>
      </c>
      <c r="I19" s="2211">
        <v>1.53</v>
      </c>
      <c r="J19" s="2211">
        <v>1.01</v>
      </c>
      <c r="K19" s="2211">
        <v>1.62</v>
      </c>
      <c r="L19" s="2212">
        <v>1.25</v>
      </c>
      <c r="M19" s="2189"/>
      <c r="N19" s="2205">
        <f t="shared" si="11"/>
        <v>1.5300000000000001E-2</v>
      </c>
      <c r="O19" s="2190">
        <f t="shared" si="12"/>
        <v>1.01E-2</v>
      </c>
      <c r="P19" s="2190">
        <f t="shared" si="13"/>
        <v>1.6200000000000003E-2</v>
      </c>
      <c r="Q19" s="2190">
        <f t="shared" si="14"/>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si="9"/>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si="10"/>
        <v>1.4999999999999999E-2</v>
      </c>
      <c r="AG19" s="2208">
        <f>ROUND(AVERAGE(K19:K$40)/100,4)</f>
        <v>2.3300000000000001E-2</v>
      </c>
      <c r="AH19" s="2208">
        <f>ROUND(AVERAGE(L19:L$40)/100,4)</f>
        <v>1.46E-2</v>
      </c>
    </row>
    <row r="20" spans="1:34" s="2209" customFormat="1" ht="13.8" thickBot="1">
      <c r="A20" s="2202" t="s">
        <v>2122</v>
      </c>
      <c r="B20" s="2203">
        <f t="shared" si="0"/>
        <v>467.15916775261894</v>
      </c>
      <c r="C20" s="2203">
        <f t="shared" si="1"/>
        <v>346.01232557169084</v>
      </c>
      <c r="D20" s="2203">
        <f t="shared" si="2"/>
        <v>346.01232557169084</v>
      </c>
      <c r="E20" s="2203">
        <f t="shared" si="3"/>
        <v>667.41617752122568</v>
      </c>
      <c r="F20" s="2203">
        <f t="shared" si="4"/>
        <v>308.20314391798104</v>
      </c>
      <c r="G20" s="2193">
        <v>2019</v>
      </c>
      <c r="H20" s="2204">
        <v>1</v>
      </c>
      <c r="I20" s="2204">
        <v>0.6</v>
      </c>
      <c r="J20" s="2204">
        <v>0.37</v>
      </c>
      <c r="K20" s="2204">
        <v>0.63</v>
      </c>
      <c r="L20" s="2210">
        <v>1.1299999999999999</v>
      </c>
      <c r="M20" s="2189"/>
      <c r="N20" s="2205">
        <f t="shared" si="11"/>
        <v>6.0000000000000001E-3</v>
      </c>
      <c r="O20" s="2190">
        <f t="shared" si="12"/>
        <v>3.7000000000000002E-3</v>
      </c>
      <c r="P20" s="2190">
        <f t="shared" si="13"/>
        <v>6.3E-3</v>
      </c>
      <c r="Q20" s="2190">
        <f t="shared" si="14"/>
        <v>1.1299999999999999E-2</v>
      </c>
      <c r="R20" s="2206"/>
      <c r="S20" s="2205">
        <f>B20/B21-1</f>
        <v>6.0000000000000053E-3</v>
      </c>
      <c r="T20" s="2190">
        <f>C20/C21-1</f>
        <v>3.7000000000000366E-3</v>
      </c>
      <c r="U20" s="2190">
        <f>D20/D21-1</f>
        <v>3.7000000000000366E-3</v>
      </c>
      <c r="V20" s="2190">
        <f>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si="9"/>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si="10"/>
        <v>1.5299999999999999E-2</v>
      </c>
      <c r="AG20" s="2208">
        <f>ROUND(AVERAGE(K20:K$40)/100,4)</f>
        <v>2.3699999999999999E-2</v>
      </c>
      <c r="AH20" s="2208">
        <f>ROUND(AVERAGE(L20:L$40)/100,4)</f>
        <v>1.47E-2</v>
      </c>
    </row>
    <row r="21" spans="1:34" s="2209" customFormat="1">
      <c r="A21" s="2202" t="s">
        <v>2124</v>
      </c>
      <c r="B21" s="2213">
        <f t="shared" si="0"/>
        <v>464.37293017158942</v>
      </c>
      <c r="C21" s="2213">
        <f t="shared" si="1"/>
        <v>344.73679941385956</v>
      </c>
      <c r="D21" s="2213">
        <f t="shared" si="2"/>
        <v>344.73679941385956</v>
      </c>
      <c r="E21" s="2213">
        <f t="shared" si="3"/>
        <v>663.2377795103107</v>
      </c>
      <c r="F21" s="2214">
        <f t="shared" si="4"/>
        <v>304.75936311478398</v>
      </c>
      <c r="G21" s="4068">
        <v>2018</v>
      </c>
      <c r="H21" s="2211">
        <v>4</v>
      </c>
      <c r="I21" s="2211">
        <v>0.96</v>
      </c>
      <c r="J21" s="2211">
        <v>1.03</v>
      </c>
      <c r="K21" s="2211">
        <v>0.92</v>
      </c>
      <c r="L21" s="2212">
        <v>1.29</v>
      </c>
      <c r="M21" s="2189"/>
      <c r="N21" s="2205">
        <f t="shared" si="11"/>
        <v>9.5999999999999992E-3</v>
      </c>
      <c r="O21" s="2190">
        <f t="shared" si="12"/>
        <v>1.03E-2</v>
      </c>
      <c r="P21" s="2190">
        <f t="shared" si="13"/>
        <v>9.1999999999999998E-3</v>
      </c>
      <c r="Q21" s="2190">
        <f t="shared" si="14"/>
        <v>1.29E-2</v>
      </c>
      <c r="R21" s="2206"/>
      <c r="S21" s="2205"/>
      <c r="T21" s="2190"/>
      <c r="U21" s="2190"/>
      <c r="V21" s="2190"/>
      <c r="W21" s="2207"/>
      <c r="X21" s="2207">
        <f>ROUND(SUMPRODUCT(PRODUCT(1+N21:N$39)),4)</f>
        <v>1.5099</v>
      </c>
      <c r="Y21" s="2207">
        <f>ROUND(SUMPRODUCT(PRODUCT(1+O21:O$39)),4)</f>
        <v>1.3372999999999999</v>
      </c>
      <c r="Z21" s="2207">
        <f t="shared" si="9"/>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si="10"/>
        <v>1.5800000000000002E-2</v>
      </c>
      <c r="AG21" s="2208">
        <f>ROUND(AVERAGE(K21:K$40)/100,4)</f>
        <v>2.4500000000000001E-2</v>
      </c>
      <c r="AH21" s="2208">
        <f>ROUND(AVERAGE(L21:L$40)/100,4)</f>
        <v>1.49E-2</v>
      </c>
    </row>
    <row r="22" spans="1:34" s="2209" customFormat="1" ht="14.55" customHeight="1">
      <c r="A22" s="2202" t="s">
        <v>2120</v>
      </c>
      <c r="B22" s="2203">
        <f t="shared" si="0"/>
        <v>459.95733971036987</v>
      </c>
      <c r="C22" s="2203">
        <f t="shared" si="1"/>
        <v>341.22221064422405</v>
      </c>
      <c r="D22" s="2203">
        <f t="shared" si="2"/>
        <v>341.22221064422405</v>
      </c>
      <c r="E22" s="2203">
        <f t="shared" si="3"/>
        <v>657.19161663724799</v>
      </c>
      <c r="F22" s="2203">
        <f t="shared" si="4"/>
        <v>300.87803644464805</v>
      </c>
      <c r="G22" s="4068"/>
      <c r="H22" s="2204">
        <v>3</v>
      </c>
      <c r="I22" s="2204">
        <v>1.51</v>
      </c>
      <c r="J22" s="2204">
        <v>1.41</v>
      </c>
      <c r="K22" s="2204">
        <v>1.52</v>
      </c>
      <c r="L22" s="2210">
        <v>1.74</v>
      </c>
      <c r="M22" s="2189"/>
      <c r="N22" s="2205">
        <f t="shared" si="11"/>
        <v>1.5100000000000001E-2</v>
      </c>
      <c r="O22" s="2190">
        <f t="shared" si="12"/>
        <v>1.41E-2</v>
      </c>
      <c r="P22" s="2190">
        <f t="shared" si="13"/>
        <v>1.52E-2</v>
      </c>
      <c r="Q22" s="2190">
        <f t="shared" si="14"/>
        <v>1.7399999999999999E-2</v>
      </c>
      <c r="R22" s="2206"/>
      <c r="S22" s="2205"/>
      <c r="T22" s="2190"/>
      <c r="U22" s="2190"/>
      <c r="V22" s="2190"/>
      <c r="W22" s="2207"/>
      <c r="X22" s="2207">
        <f>ROUND(SUMPRODUCT(PRODUCT(1+N22:N$39)),4)</f>
        <v>1.4956</v>
      </c>
      <c r="Y22" s="2207">
        <f>ROUND(SUMPRODUCT(PRODUCT(1+O22:O$39)),4)</f>
        <v>1.3237000000000001</v>
      </c>
      <c r="Z22" s="2207">
        <f t="shared" si="9"/>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si="10"/>
        <v>1.61E-2</v>
      </c>
      <c r="AG22" s="2208">
        <f>ROUND(AVERAGE(K22:K$40)/100,4)</f>
        <v>2.53E-2</v>
      </c>
      <c r="AH22" s="2208">
        <f>ROUND(AVERAGE(L22:L$40)/100,4)</f>
        <v>1.4999999999999999E-2</v>
      </c>
    </row>
    <row r="23" spans="1:34" s="2209" customFormat="1" ht="14.55" customHeight="1">
      <c r="A23" s="2202" t="s">
        <v>2119</v>
      </c>
      <c r="B23" s="2203">
        <f t="shared" si="0"/>
        <v>453.11529869999993</v>
      </c>
      <c r="C23" s="2203">
        <f t="shared" si="1"/>
        <v>336.47787264000004</v>
      </c>
      <c r="D23" s="2203">
        <f t="shared" si="2"/>
        <v>336.47787264000004</v>
      </c>
      <c r="E23" s="2203">
        <f t="shared" si="3"/>
        <v>647.35186823999993</v>
      </c>
      <c r="F23" s="2203">
        <f t="shared" si="4"/>
        <v>295.73229452000004</v>
      </c>
      <c r="G23" s="4068"/>
      <c r="H23" s="2215">
        <v>2</v>
      </c>
      <c r="I23" s="2215">
        <v>1.49</v>
      </c>
      <c r="J23" s="2215">
        <v>0.96</v>
      </c>
      <c r="K23" s="2215">
        <v>1.58</v>
      </c>
      <c r="L23" s="2216">
        <v>2.44</v>
      </c>
      <c r="M23" s="2189"/>
      <c r="N23" s="2205">
        <f>I23/100</f>
        <v>1.49E-2</v>
      </c>
      <c r="O23" s="2190">
        <f t="shared" si="12"/>
        <v>9.5999999999999992E-3</v>
      </c>
      <c r="P23" s="2190">
        <f t="shared" si="13"/>
        <v>1.5800000000000002E-2</v>
      </c>
      <c r="Q23" s="2190">
        <f t="shared" si="14"/>
        <v>2.4399999999999998E-2</v>
      </c>
      <c r="R23" s="2206"/>
      <c r="S23" s="2205"/>
      <c r="T23" s="2190"/>
      <c r="U23" s="2190"/>
      <c r="V23" s="2190"/>
      <c r="W23" s="2207"/>
      <c r="X23" s="2207">
        <f>ROUND(SUMPRODUCT(PRODUCT(1+N23:N$39)),4)</f>
        <v>1.4733000000000001</v>
      </c>
      <c r="Y23" s="2207">
        <f>ROUND(SUMPRODUCT(PRODUCT(1+O23:O$39)),4)</f>
        <v>1.3052999999999999</v>
      </c>
      <c r="Z23" s="2207">
        <f t="shared" si="9"/>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si="10"/>
        <v>1.6199999999999999E-2</v>
      </c>
      <c r="AG23" s="2208">
        <f>ROUND(AVERAGE(K23:K$40)/100,4)</f>
        <v>2.5899999999999999E-2</v>
      </c>
      <c r="AH23" s="2208">
        <f>ROUND(AVERAGE(L23:L$40)/100,4)</f>
        <v>1.49E-2</v>
      </c>
    </row>
    <row r="24" spans="1:34" s="2209" customFormat="1" ht="15" customHeight="1" thickBot="1">
      <c r="A24" s="2202" t="s">
        <v>2112</v>
      </c>
      <c r="B24" s="2203">
        <f t="shared" si="0"/>
        <v>446.46299999999997</v>
      </c>
      <c r="C24" s="2203">
        <f t="shared" si="1"/>
        <v>333.27840000000003</v>
      </c>
      <c r="D24" s="2203">
        <f t="shared" si="2"/>
        <v>333.27840000000003</v>
      </c>
      <c r="E24" s="2203">
        <f t="shared" si="3"/>
        <v>637.28279999999995</v>
      </c>
      <c r="F24" s="2203">
        <f t="shared" si="4"/>
        <v>288.68830000000003</v>
      </c>
      <c r="G24" s="4075"/>
      <c r="H24" s="2204">
        <v>1</v>
      </c>
      <c r="I24" s="2204">
        <v>1.7</v>
      </c>
      <c r="J24" s="2204">
        <v>1.92</v>
      </c>
      <c r="K24" s="2204">
        <v>1.64</v>
      </c>
      <c r="L24" s="2210">
        <v>2.0099999999999998</v>
      </c>
      <c r="M24" s="2189"/>
      <c r="N24" s="2205">
        <f t="shared" ref="N24:N29" si="15">I24/100</f>
        <v>1.7000000000000001E-2</v>
      </c>
      <c r="O24" s="2190">
        <f t="shared" si="12"/>
        <v>1.9199999999999998E-2</v>
      </c>
      <c r="P24" s="2190">
        <f t="shared" si="13"/>
        <v>1.6399999999999998E-2</v>
      </c>
      <c r="Q24" s="2190">
        <f t="shared" si="14"/>
        <v>2.0099999999999996E-2</v>
      </c>
      <c r="R24" s="2206"/>
      <c r="S24" s="2205">
        <f>B24/B25-1</f>
        <v>1.6999999999999904E-2</v>
      </c>
      <c r="T24" s="2190">
        <f>C24/C25-1</f>
        <v>1.9200000000000106E-2</v>
      </c>
      <c r="U24" s="2190">
        <f>D24/D25-1</f>
        <v>1.9200000000000106E-2</v>
      </c>
      <c r="V24" s="2190">
        <f>E24/E25-1</f>
        <v>1.639999999999997E-2</v>
      </c>
      <c r="W24" s="2207"/>
      <c r="X24" s="2207">
        <f>ROUND(SUMPRODUCT(PRODUCT(1+N24:N$39)),4)</f>
        <v>1.4517</v>
      </c>
      <c r="Y24" s="2207">
        <f>ROUND(SUMPRODUCT(PRODUCT(1+O24:O$39)),4)</f>
        <v>1.2928999999999999</v>
      </c>
      <c r="Z24" s="2207">
        <f t="shared" si="9"/>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si="10"/>
        <v>1.66E-2</v>
      </c>
      <c r="AG24" s="2208">
        <f>ROUND(AVERAGE(K24:K$40)/100,4)</f>
        <v>2.6499999999999999E-2</v>
      </c>
      <c r="AH24" s="2208">
        <f>ROUND(AVERAGE(L24:L$40)/100,4)</f>
        <v>1.43E-2</v>
      </c>
    </row>
    <row r="25" spans="1:34">
      <c r="A25" s="2202" t="s">
        <v>2110</v>
      </c>
      <c r="B25" s="2217">
        <v>439</v>
      </c>
      <c r="C25" s="2217">
        <v>327</v>
      </c>
      <c r="D25" s="2217">
        <f t="shared" si="2"/>
        <v>327</v>
      </c>
      <c r="E25" s="2217">
        <v>627</v>
      </c>
      <c r="F25" s="2218">
        <v>283</v>
      </c>
      <c r="G25" s="4071">
        <v>2017</v>
      </c>
      <c r="H25" s="2211">
        <v>4</v>
      </c>
      <c r="I25" s="2211">
        <v>1.71</v>
      </c>
      <c r="J25" s="2211">
        <v>1.78</v>
      </c>
      <c r="K25" s="2211">
        <v>1.71</v>
      </c>
      <c r="L25" s="2212">
        <v>1.43</v>
      </c>
      <c r="N25" s="2205">
        <f t="shared" si="15"/>
        <v>1.7100000000000001E-2</v>
      </c>
      <c r="O25" s="2190">
        <f t="shared" si="12"/>
        <v>1.78E-2</v>
      </c>
      <c r="P25" s="2190">
        <f t="shared" si="13"/>
        <v>1.7100000000000001E-2</v>
      </c>
      <c r="Q25" s="2190">
        <f t="shared" si="14"/>
        <v>1.43E-2</v>
      </c>
      <c r="R25" s="2206"/>
      <c r="S25" s="2219"/>
      <c r="T25" s="2220"/>
      <c r="U25" s="2220"/>
      <c r="V25" s="2220"/>
      <c r="X25" s="2189">
        <f>ROUND(SUMPRODUCT(PRODUCT(1+N25:N$39)),4)</f>
        <v>1.4274</v>
      </c>
      <c r="Y25" s="2189">
        <f>ROUND(SUMPRODUCT(PRODUCT(1+O25:O$39)),4)</f>
        <v>1.2685</v>
      </c>
      <c r="Z25" s="2189">
        <f t="shared" si="9"/>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0"/>
        <v>1.6500000000000001E-2</v>
      </c>
      <c r="AG25" s="2190">
        <f>ROUND(AVERAGE(K25:K$40)/100,4)</f>
        <v>2.7099999999999999E-2</v>
      </c>
      <c r="AH25" s="2190">
        <f>ROUND(AVERAGE(L25:L$40)/100,4)</f>
        <v>1.3899999999999999E-2</v>
      </c>
    </row>
    <row r="26" spans="1:34" s="2209" customFormat="1" ht="14.55" customHeight="1">
      <c r="A26" s="2202" t="s">
        <v>2111</v>
      </c>
      <c r="B26" s="2203">
        <f t="shared" ref="B26:C28" si="16">B27*(1+N26)</f>
        <v>431.80730811680002</v>
      </c>
      <c r="C26" s="2203">
        <f t="shared" si="16"/>
        <v>320.57880516480003</v>
      </c>
      <c r="D26" s="2203">
        <f t="shared" si="2"/>
        <v>320.57880516480003</v>
      </c>
      <c r="E26" s="2203">
        <f t="shared" ref="E26:F28" si="17">E27*(1+P26)</f>
        <v>615.96110553196797</v>
      </c>
      <c r="F26" s="2203">
        <f t="shared" si="17"/>
        <v>279.46777300108801</v>
      </c>
      <c r="G26" s="4068"/>
      <c r="H26" s="2204">
        <v>3</v>
      </c>
      <c r="I26" s="2204">
        <v>2.98</v>
      </c>
      <c r="J26" s="2204">
        <v>2.11</v>
      </c>
      <c r="K26" s="2204">
        <v>3.24</v>
      </c>
      <c r="L26" s="2210">
        <v>1.72</v>
      </c>
      <c r="M26" s="2189"/>
      <c r="N26" s="2205">
        <f t="shared" si="15"/>
        <v>2.98E-2</v>
      </c>
      <c r="O26" s="2190">
        <f t="shared" si="12"/>
        <v>2.1099999999999997E-2</v>
      </c>
      <c r="P26" s="2190">
        <f t="shared" si="13"/>
        <v>3.2400000000000005E-2</v>
      </c>
      <c r="Q26" s="2190">
        <f t="shared" si="14"/>
        <v>1.72E-2</v>
      </c>
      <c r="R26" s="2206"/>
      <c r="S26" s="2205"/>
      <c r="T26" s="2190"/>
      <c r="U26" s="2190"/>
      <c r="V26" s="2190"/>
      <c r="W26" s="2207"/>
      <c r="X26" s="2207">
        <f>ROUND(SUMPRODUCT(PRODUCT(1+N26:N$39)),4)</f>
        <v>1.4034</v>
      </c>
      <c r="Y26" s="2207">
        <f>ROUND(SUMPRODUCT(PRODUCT(1+O26:O$39)),4)</f>
        <v>1.2463</v>
      </c>
      <c r="Z26" s="2207">
        <f t="shared" si="9"/>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0"/>
        <v>1.6400000000000001E-2</v>
      </c>
      <c r="AG26" s="2208">
        <f>ROUND(AVERAGE(K26:K$40)/100,4)</f>
        <v>2.7799999999999998E-2</v>
      </c>
      <c r="AH26" s="2208">
        <f>ROUND(AVERAGE(L26:L$40)/100,4)</f>
        <v>1.3899999999999999E-2</v>
      </c>
    </row>
    <row r="27" spans="1:34" s="2196" customFormat="1" ht="14.55" customHeight="1">
      <c r="A27" s="2202" t="s">
        <v>677</v>
      </c>
      <c r="B27" s="2203">
        <f t="shared" si="16"/>
        <v>419.31181600000002</v>
      </c>
      <c r="C27" s="2203">
        <f t="shared" si="16"/>
        <v>313.95436800000004</v>
      </c>
      <c r="D27" s="2203">
        <f t="shared" si="2"/>
        <v>313.95436800000004</v>
      </c>
      <c r="E27" s="2203">
        <f t="shared" si="17"/>
        <v>596.63028431999999</v>
      </c>
      <c r="F27" s="2203">
        <f t="shared" si="17"/>
        <v>274.74220703999998</v>
      </c>
      <c r="G27" s="4068"/>
      <c r="H27" s="2215">
        <v>2</v>
      </c>
      <c r="I27" s="2215">
        <v>3.4</v>
      </c>
      <c r="J27" s="2215">
        <v>2</v>
      </c>
      <c r="K27" s="2215">
        <v>3.82</v>
      </c>
      <c r="L27" s="2216">
        <v>1.68</v>
      </c>
      <c r="M27" s="2189"/>
      <c r="N27" s="2205">
        <f t="shared" si="15"/>
        <v>3.4000000000000002E-2</v>
      </c>
      <c r="O27" s="2190">
        <f t="shared" si="12"/>
        <v>0.02</v>
      </c>
      <c r="P27" s="2190">
        <f t="shared" si="13"/>
        <v>3.8199999999999998E-2</v>
      </c>
      <c r="Q27" s="2190">
        <f t="shared" si="14"/>
        <v>1.6799999999999999E-2</v>
      </c>
      <c r="R27" s="2206"/>
      <c r="S27" s="2219"/>
      <c r="T27" s="2220"/>
      <c r="U27" s="2220"/>
      <c r="V27" s="2220"/>
      <c r="W27" s="2183"/>
      <c r="X27" s="2207">
        <f>ROUND(SUMPRODUCT(PRODUCT(1+N27:N$39)),4)</f>
        <v>1.3628</v>
      </c>
      <c r="Y27" s="2207">
        <f>ROUND(SUMPRODUCT(PRODUCT(1+O27:O$39)),4)</f>
        <v>1.2205999999999999</v>
      </c>
      <c r="Z27" s="2207">
        <f t="shared" si="9"/>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0"/>
        <v>1.6E-2</v>
      </c>
      <c r="AG27" s="2208">
        <f>ROUND(AVERAGE(K27:K$40)/100,4)</f>
        <v>2.75E-2</v>
      </c>
      <c r="AH27" s="2208">
        <f>ROUND(AVERAGE(L27:L$40)/100,4)</f>
        <v>1.37E-2</v>
      </c>
    </row>
    <row r="28" spans="1:34" s="2209" customFormat="1" ht="15" customHeight="1" thickBot="1">
      <c r="A28" s="2202" t="s">
        <v>463</v>
      </c>
      <c r="B28" s="2203">
        <f t="shared" si="16"/>
        <v>405.524</v>
      </c>
      <c r="C28" s="2203">
        <f t="shared" si="16"/>
        <v>307.79840000000002</v>
      </c>
      <c r="D28" s="2203">
        <f t="shared" si="2"/>
        <v>307.79840000000002</v>
      </c>
      <c r="E28" s="2203">
        <f t="shared" si="17"/>
        <v>574.67759999999998</v>
      </c>
      <c r="F28" s="2203">
        <f t="shared" si="17"/>
        <v>270.20280000000002</v>
      </c>
      <c r="G28" s="4075"/>
      <c r="H28" s="2204">
        <v>1</v>
      </c>
      <c r="I28" s="2204">
        <v>3.45</v>
      </c>
      <c r="J28" s="2204">
        <v>1.92</v>
      </c>
      <c r="K28" s="2204">
        <v>3.92</v>
      </c>
      <c r="L28" s="2210">
        <v>1.58</v>
      </c>
      <c r="M28" s="2189"/>
      <c r="N28" s="2205">
        <f t="shared" si="15"/>
        <v>3.4500000000000003E-2</v>
      </c>
      <c r="O28" s="2190">
        <f t="shared" ref="O28:Q43" si="18">J28/100</f>
        <v>1.9199999999999998E-2</v>
      </c>
      <c r="P28" s="2190">
        <f t="shared" si="18"/>
        <v>3.9199999999999999E-2</v>
      </c>
      <c r="Q28" s="2190">
        <f t="shared" si="18"/>
        <v>1.5800000000000002E-2</v>
      </c>
      <c r="R28" s="2206"/>
      <c r="S28" s="2205">
        <f>B28/B29-1</f>
        <v>3.4499999999999975E-2</v>
      </c>
      <c r="T28" s="2190">
        <f>C28/C29-1</f>
        <v>1.9200000000000106E-2</v>
      </c>
      <c r="U28" s="2190">
        <f>D28/D29-1</f>
        <v>1.9200000000000106E-2</v>
      </c>
      <c r="V28" s="2190">
        <f>E28/E29-1</f>
        <v>3.9199999999999902E-2</v>
      </c>
      <c r="W28" s="2207"/>
      <c r="X28" s="2207">
        <f>ROUND(SUMPRODUCT(PRODUCT(1+N28:N$39)),4)</f>
        <v>1.3180000000000001</v>
      </c>
      <c r="Y28" s="2207">
        <f>ROUND(SUMPRODUCT(PRODUCT(1+O28:O$39)),4)</f>
        <v>1.1966000000000001</v>
      </c>
      <c r="Z28" s="2207">
        <f t="shared" si="9"/>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0"/>
        <v>1.5699999999999999E-2</v>
      </c>
      <c r="AG28" s="2208">
        <f>ROUND(AVERAGE(K28:K$40)/100,4)</f>
        <v>2.6599999999999999E-2</v>
      </c>
      <c r="AH28" s="2208">
        <f>ROUND(AVERAGE(L28:L$40)/100,4)</f>
        <v>1.34E-2</v>
      </c>
    </row>
    <row r="29" spans="1:34">
      <c r="A29" s="2202" t="s">
        <v>127</v>
      </c>
      <c r="B29" s="2217">
        <v>392</v>
      </c>
      <c r="C29" s="2217">
        <v>302</v>
      </c>
      <c r="D29" s="2217">
        <f t="shared" si="2"/>
        <v>302</v>
      </c>
      <c r="E29" s="2217">
        <v>553</v>
      </c>
      <c r="F29" s="2218">
        <v>266</v>
      </c>
      <c r="G29" s="4071">
        <v>2016</v>
      </c>
      <c r="H29" s="2211">
        <v>4</v>
      </c>
      <c r="I29" s="2211">
        <v>4.5599999999999996</v>
      </c>
      <c r="J29" s="2211">
        <v>2.15</v>
      </c>
      <c r="K29" s="2211">
        <v>5.32</v>
      </c>
      <c r="L29" s="2212">
        <v>1.57</v>
      </c>
      <c r="N29" s="2205">
        <f t="shared" si="15"/>
        <v>4.5599999999999995E-2</v>
      </c>
      <c r="O29" s="2190">
        <f t="shared" si="18"/>
        <v>2.1499999999999998E-2</v>
      </c>
      <c r="P29" s="2190">
        <f t="shared" si="18"/>
        <v>5.3200000000000004E-2</v>
      </c>
      <c r="Q29" s="2190">
        <f t="shared" si="18"/>
        <v>1.5700000000000002E-2</v>
      </c>
      <c r="R29" s="2206"/>
      <c r="S29" s="2219"/>
      <c r="T29" s="2220"/>
      <c r="U29" s="2220"/>
      <c r="V29" s="2220"/>
      <c r="X29" s="2189">
        <f>ROUND(SUMPRODUCT(PRODUCT(1+N29:N$39)),4)</f>
        <v>1.274</v>
      </c>
      <c r="Y29" s="2189">
        <f>ROUND(SUMPRODUCT(PRODUCT(1+O29:O$39)),4)</f>
        <v>1.1740999999999999</v>
      </c>
      <c r="Z29" s="2189">
        <f t="shared" si="9"/>
        <v>1.1740999999999999</v>
      </c>
      <c r="AA29" s="2189">
        <f>ROUND(SUMPRODUCT(PRODUCT(1+P29:P$39)),4)</f>
        <v>1.3087</v>
      </c>
      <c r="AB29" s="2189">
        <f>ROUND(SUMPRODUCT(PRODUCT(1+Q29:Q$39)),4)</f>
        <v>1.1551</v>
      </c>
      <c r="AD29" s="2190">
        <f>ROUND(AVERAGE(I29:I$40)/100,4)</f>
        <v>2.3E-2</v>
      </c>
      <c r="AE29" s="2190">
        <f>ROUND(AVERAGE(J29:J$40)/100,4)</f>
        <v>1.55E-2</v>
      </c>
      <c r="AF29" s="2190">
        <f t="shared" si="10"/>
        <v>1.55E-2</v>
      </c>
      <c r="AG29" s="2190">
        <f>ROUND(AVERAGE(K29:K$40)/100,4)</f>
        <v>2.5600000000000001E-2</v>
      </c>
      <c r="AH29" s="2190">
        <f>ROUND(AVERAGE(L29:L$40)/100,4)</f>
        <v>1.32E-2</v>
      </c>
    </row>
    <row r="30" spans="1:34">
      <c r="A30" s="2202" t="s">
        <v>126</v>
      </c>
      <c r="B30" s="2203">
        <f t="shared" ref="B30:C32" si="19">B29/(1+N29)</f>
        <v>374.90436113236416</v>
      </c>
      <c r="C30" s="2203">
        <f t="shared" si="19"/>
        <v>295.64366128242779</v>
      </c>
      <c r="D30" s="2203">
        <f t="shared" ref="D30:D89" si="20">C30</f>
        <v>295.64366128242779</v>
      </c>
      <c r="E30" s="2203">
        <f t="shared" ref="E30:F32" si="21">E29/(1+P29)</f>
        <v>525.06646410938095</v>
      </c>
      <c r="F30" s="2203">
        <f t="shared" si="21"/>
        <v>261.88835286009646</v>
      </c>
      <c r="G30" s="4068"/>
      <c r="H30" s="2204">
        <v>3</v>
      </c>
      <c r="I30" s="2204">
        <v>4.12</v>
      </c>
      <c r="J30" s="2204">
        <v>2</v>
      </c>
      <c r="K30" s="2204">
        <v>4.79</v>
      </c>
      <c r="L30" s="2210">
        <v>1.97</v>
      </c>
      <c r="N30" s="2205">
        <f t="shared" ref="N30:Q64" si="22">I30/100</f>
        <v>4.1200000000000001E-2</v>
      </c>
      <c r="O30" s="2190">
        <f t="shared" si="18"/>
        <v>0.02</v>
      </c>
      <c r="P30" s="2190">
        <f t="shared" si="18"/>
        <v>4.7899999999999998E-2</v>
      </c>
      <c r="Q30" s="2190">
        <f t="shared" si="18"/>
        <v>1.9699999999999999E-2</v>
      </c>
      <c r="R30" s="2206"/>
      <c r="S30" s="2205"/>
      <c r="T30" s="2190"/>
      <c r="U30" s="2190"/>
      <c r="V30" s="2190"/>
      <c r="X30" s="2189">
        <f>ROUND(SUMPRODUCT(PRODUCT(1+N30:N$39)),4)</f>
        <v>1.2184999999999999</v>
      </c>
      <c r="Y30" s="2189">
        <f>ROUND(SUMPRODUCT(PRODUCT(1+O30:O$39)),4)</f>
        <v>1.1494</v>
      </c>
      <c r="Z30" s="2189">
        <f t="shared" si="9"/>
        <v>1.1494</v>
      </c>
      <c r="AA30" s="2189">
        <f>ROUND(SUMPRODUCT(PRODUCT(1+P30:P$39)),4)</f>
        <v>1.2425999999999999</v>
      </c>
      <c r="AB30" s="2189">
        <f>ROUND(SUMPRODUCT(PRODUCT(1+Q30:Q$39)),4)</f>
        <v>1.1372</v>
      </c>
      <c r="AD30" s="2190">
        <f>ROUND(AVERAGE(I30:I$40)/100,4)</f>
        <v>2.0899999999999998E-2</v>
      </c>
      <c r="AE30" s="2190">
        <f>ROUND(AVERAGE(J30:J$40)/100,4)</f>
        <v>1.49E-2</v>
      </c>
      <c r="AF30" s="2190">
        <f t="shared" si="10"/>
        <v>1.49E-2</v>
      </c>
      <c r="AG30" s="2190">
        <f>ROUND(AVERAGE(K30:K$40)/100,4)</f>
        <v>2.3099999999999999E-2</v>
      </c>
      <c r="AH30" s="2190">
        <f>ROUND(AVERAGE(L30:L$40)/100,4)</f>
        <v>1.2999999999999999E-2</v>
      </c>
    </row>
    <row r="31" spans="1:34">
      <c r="A31" s="2202" t="s">
        <v>116</v>
      </c>
      <c r="B31" s="2203">
        <f t="shared" si="19"/>
        <v>360.06949782209392</v>
      </c>
      <c r="C31" s="2203">
        <f t="shared" si="19"/>
        <v>289.84672674747821</v>
      </c>
      <c r="D31" s="2203">
        <f t="shared" si="20"/>
        <v>289.84672674747821</v>
      </c>
      <c r="E31" s="2203">
        <f t="shared" si="21"/>
        <v>501.06543001181495</v>
      </c>
      <c r="F31" s="2203">
        <f t="shared" si="21"/>
        <v>256.82882500744967</v>
      </c>
      <c r="G31" s="4068"/>
      <c r="H31" s="2215">
        <v>2</v>
      </c>
      <c r="I31" s="2215">
        <v>3.85</v>
      </c>
      <c r="J31" s="2215">
        <v>1.95</v>
      </c>
      <c r="K31" s="2215">
        <v>4.4800000000000004</v>
      </c>
      <c r="L31" s="2216">
        <v>1.41</v>
      </c>
      <c r="N31" s="2205">
        <f t="shared" si="22"/>
        <v>3.85E-2</v>
      </c>
      <c r="O31" s="2190">
        <f t="shared" si="18"/>
        <v>1.95E-2</v>
      </c>
      <c r="P31" s="2190">
        <f t="shared" si="18"/>
        <v>4.4800000000000006E-2</v>
      </c>
      <c r="Q31" s="2190">
        <f t="shared" si="18"/>
        <v>1.41E-2</v>
      </c>
      <c r="R31" s="2206"/>
      <c r="S31" s="2205"/>
      <c r="T31" s="2190"/>
      <c r="U31" s="2190"/>
      <c r="V31" s="2190"/>
      <c r="X31" s="2189">
        <f>ROUND(SUMPRODUCT(PRODUCT(1+N31:N$39)),4)</f>
        <v>1.1702999999999999</v>
      </c>
      <c r="Y31" s="2189">
        <f>ROUND(SUMPRODUCT(PRODUCT(1+O31:O$39)),4)</f>
        <v>1.1269</v>
      </c>
      <c r="Z31" s="2189">
        <f t="shared" si="9"/>
        <v>1.1269</v>
      </c>
      <c r="AA31" s="2189">
        <f>ROUND(SUMPRODUCT(PRODUCT(1+P31:P$39)),4)</f>
        <v>1.1858</v>
      </c>
      <c r="AB31" s="2189">
        <f>ROUND(SUMPRODUCT(PRODUCT(1+Q31:Q$39)),4)</f>
        <v>1.1152</v>
      </c>
      <c r="AD31" s="2190">
        <f>ROUND(AVERAGE(I31:I$40)/100,4)</f>
        <v>1.89E-2</v>
      </c>
      <c r="AE31" s="2190">
        <f>ROUND(AVERAGE(J31:J$40)/100,4)</f>
        <v>1.44E-2</v>
      </c>
      <c r="AF31" s="2190">
        <f t="shared" si="10"/>
        <v>1.44E-2</v>
      </c>
      <c r="AG31" s="2190">
        <f>ROUND(AVERAGE(K31:K$40)/100,4)</f>
        <v>2.06E-2</v>
      </c>
      <c r="AH31" s="2190">
        <f>ROUND(AVERAGE(L31:L$40)/100,4)</f>
        <v>1.23E-2</v>
      </c>
    </row>
    <row r="32" spans="1:34" ht="13.8" thickBot="1">
      <c r="A32" s="2202" t="s">
        <v>125</v>
      </c>
      <c r="B32" s="2203">
        <f t="shared" si="19"/>
        <v>346.720748986128</v>
      </c>
      <c r="C32" s="2203">
        <f t="shared" si="19"/>
        <v>284.30282172386285</v>
      </c>
      <c r="D32" s="2203">
        <f t="shared" si="20"/>
        <v>284.30282172386285</v>
      </c>
      <c r="E32" s="2203">
        <f t="shared" si="21"/>
        <v>479.58023546306947</v>
      </c>
      <c r="F32" s="2203">
        <f t="shared" si="21"/>
        <v>253.25788877571213</v>
      </c>
      <c r="G32" s="4069"/>
      <c r="H32" s="2204">
        <v>1</v>
      </c>
      <c r="I32" s="2204">
        <v>4.09</v>
      </c>
      <c r="J32" s="2204">
        <v>2.93</v>
      </c>
      <c r="K32" s="2204">
        <v>4.54</v>
      </c>
      <c r="L32" s="2210">
        <v>1.48</v>
      </c>
      <c r="N32" s="2205">
        <f t="shared" si="22"/>
        <v>4.0899999999999999E-2</v>
      </c>
      <c r="O32" s="2190">
        <f t="shared" si="18"/>
        <v>2.9300000000000003E-2</v>
      </c>
      <c r="P32" s="2190">
        <f t="shared" si="18"/>
        <v>4.5400000000000003E-2</v>
      </c>
      <c r="Q32" s="2190">
        <f t="shared" si="18"/>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9"/>
        <v>1.1052999999999999</v>
      </c>
      <c r="AA32" s="2189">
        <f>ROUND(SUMPRODUCT(PRODUCT(1+P32:P$39)),4)</f>
        <v>1.1349</v>
      </c>
      <c r="AB32" s="2189">
        <f>ROUND(SUMPRODUCT(PRODUCT(1+Q32:Q$39)),4)</f>
        <v>1.0996999999999999</v>
      </c>
      <c r="AD32" s="2190">
        <f>ROUND(AVERAGE(I32:I$40)/100,4)</f>
        <v>1.67E-2</v>
      </c>
      <c r="AE32" s="2190">
        <f>ROUND(AVERAGE(J32:J$40)/100,4)</f>
        <v>1.38E-2</v>
      </c>
      <c r="AF32" s="2190">
        <f t="shared" si="10"/>
        <v>1.38E-2</v>
      </c>
      <c r="AG32" s="2190">
        <f>ROUND(AVERAGE(K32:K$40)/100,4)</f>
        <v>1.7899999999999999E-2</v>
      </c>
      <c r="AH32" s="2190">
        <f>ROUND(AVERAGE(L32:L$40)/100,4)</f>
        <v>1.21E-2</v>
      </c>
    </row>
    <row r="33" spans="1:34" ht="13.8" thickBot="1">
      <c r="A33" s="2202" t="s">
        <v>124</v>
      </c>
      <c r="B33" s="2217">
        <v>333</v>
      </c>
      <c r="C33" s="2217">
        <v>277</v>
      </c>
      <c r="D33" s="2217">
        <f t="shared" si="20"/>
        <v>277</v>
      </c>
      <c r="E33" s="2217">
        <v>459</v>
      </c>
      <c r="F33" s="2218">
        <v>249</v>
      </c>
      <c r="G33" s="4067">
        <v>2015</v>
      </c>
      <c r="H33" s="2223">
        <v>4</v>
      </c>
      <c r="I33" s="2223">
        <v>1.63</v>
      </c>
      <c r="J33" s="2223">
        <v>1.1100000000000001</v>
      </c>
      <c r="K33" s="2223">
        <v>1.77</v>
      </c>
      <c r="L33" s="2224">
        <v>1.89</v>
      </c>
      <c r="N33" s="2225">
        <f t="shared" si="22"/>
        <v>1.6299999999999999E-2</v>
      </c>
      <c r="O33" s="2226">
        <f t="shared" si="18"/>
        <v>1.11E-2</v>
      </c>
      <c r="P33" s="2226">
        <f t="shared" si="18"/>
        <v>1.77E-2</v>
      </c>
      <c r="Q33" s="2226">
        <f t="shared" si="18"/>
        <v>1.89E-2</v>
      </c>
      <c r="R33" s="2206"/>
      <c r="X33" s="2189">
        <f>ROUND(SUMPRODUCT(PRODUCT(1+N33:N$39)),4)</f>
        <v>1.0826</v>
      </c>
      <c r="Y33" s="2189">
        <f>ROUND(SUMPRODUCT(PRODUCT(1+O33:O$39)),4)</f>
        <v>1.0738000000000001</v>
      </c>
      <c r="Z33" s="2189">
        <f t="shared" si="9"/>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0"/>
        <v>1.1900000000000001E-2</v>
      </c>
      <c r="AG33" s="2190">
        <f>ROUND(AVERAGE(K33:K$40)/100,4)</f>
        <v>1.4500000000000001E-2</v>
      </c>
      <c r="AH33" s="2190">
        <f>ROUND(AVERAGE(L33:L$40)/100,4)</f>
        <v>1.18E-2</v>
      </c>
    </row>
    <row r="34" spans="1:34">
      <c r="A34" s="2202" t="s">
        <v>123</v>
      </c>
      <c r="B34" s="2203">
        <f t="shared" ref="B34:C36" si="23">B33/(1+N33)</f>
        <v>327.65915576109415</v>
      </c>
      <c r="C34" s="2203">
        <f t="shared" si="23"/>
        <v>273.95905449510434</v>
      </c>
      <c r="D34" s="2203">
        <f t="shared" si="20"/>
        <v>273.95905449510434</v>
      </c>
      <c r="E34" s="2203">
        <f t="shared" ref="E34:F36" si="24">E33/(1+P33)</f>
        <v>451.01699911565294</v>
      </c>
      <c r="F34" s="2203">
        <f t="shared" si="24"/>
        <v>244.38119540681129</v>
      </c>
      <c r="G34" s="4068"/>
      <c r="H34" s="2228">
        <v>3</v>
      </c>
      <c r="I34" s="2228">
        <v>1.65</v>
      </c>
      <c r="J34" s="2228">
        <v>0.92</v>
      </c>
      <c r="K34" s="2228">
        <v>1.88</v>
      </c>
      <c r="L34" s="2229">
        <v>1.26</v>
      </c>
      <c r="N34" s="2205">
        <f t="shared" si="22"/>
        <v>1.6500000000000001E-2</v>
      </c>
      <c r="O34" s="2230">
        <f t="shared" si="18"/>
        <v>9.1999999999999998E-3</v>
      </c>
      <c r="P34" s="2230">
        <f t="shared" si="18"/>
        <v>1.8799999999999997E-2</v>
      </c>
      <c r="Q34" s="2230">
        <f t="shared" si="18"/>
        <v>1.26E-2</v>
      </c>
      <c r="R34" s="2206"/>
      <c r="S34" s="2205"/>
      <c r="T34" s="2190"/>
      <c r="U34" s="2190"/>
      <c r="V34" s="2190"/>
      <c r="X34" s="2189">
        <f>ROUND(SUMPRODUCT(PRODUCT(1+N34:N$39)),4)</f>
        <v>1.0651999999999999</v>
      </c>
      <c r="Y34" s="2189">
        <f>ROUND(SUMPRODUCT(PRODUCT(1+O34:O$39)),4)</f>
        <v>1.0621</v>
      </c>
      <c r="Z34" s="2189">
        <f t="shared" si="9"/>
        <v>1.0621</v>
      </c>
      <c r="AA34" s="2189">
        <f>ROUND(SUMPRODUCT(PRODUCT(1+P34:P$39)),4)</f>
        <v>1.0668</v>
      </c>
      <c r="AB34" s="2189">
        <f>ROUND(SUMPRODUCT(PRODUCT(1+Q34:Q$39)),4)</f>
        <v>1.0636000000000001</v>
      </c>
      <c r="AD34" s="2190">
        <f>ROUND(AVERAGE(I34:I$40)/100,4)</f>
        <v>1.3299999999999999E-2</v>
      </c>
      <c r="AE34" s="2190">
        <f>ROUND(AVERAGE(J34:J$40)/100,4)</f>
        <v>1.2E-2</v>
      </c>
      <c r="AF34" s="2190">
        <f t="shared" si="10"/>
        <v>1.2E-2</v>
      </c>
      <c r="AG34" s="2190">
        <f>ROUND(AVERAGE(K34:K$40)/100,4)</f>
        <v>1.4E-2</v>
      </c>
      <c r="AH34" s="2190">
        <f>ROUND(AVERAGE(L34:L$40)/100,4)</f>
        <v>1.0800000000000001E-2</v>
      </c>
    </row>
    <row r="35" spans="1:34">
      <c r="A35" s="2202" t="s">
        <v>122</v>
      </c>
      <c r="B35" s="2203">
        <f t="shared" si="23"/>
        <v>322.34053690220776</v>
      </c>
      <c r="C35" s="2203">
        <f t="shared" si="23"/>
        <v>271.46160770422546</v>
      </c>
      <c r="D35" s="2203">
        <f t="shared" si="20"/>
        <v>271.46160770422546</v>
      </c>
      <c r="E35" s="2203">
        <f t="shared" si="24"/>
        <v>442.69434542172456</v>
      </c>
      <c r="F35" s="2203">
        <f t="shared" si="24"/>
        <v>241.34030753190925</v>
      </c>
      <c r="G35" s="4068"/>
      <c r="H35" s="2215">
        <v>2</v>
      </c>
      <c r="I35" s="2215">
        <v>0.77</v>
      </c>
      <c r="J35" s="2215">
        <v>0.69</v>
      </c>
      <c r="K35" s="2215">
        <v>0.8</v>
      </c>
      <c r="L35" s="2216">
        <v>0.88</v>
      </c>
      <c r="N35" s="2205">
        <f t="shared" si="22"/>
        <v>7.7000000000000002E-3</v>
      </c>
      <c r="O35" s="2230">
        <f t="shared" si="18"/>
        <v>6.8999999999999999E-3</v>
      </c>
      <c r="P35" s="2230">
        <f t="shared" si="18"/>
        <v>8.0000000000000002E-3</v>
      </c>
      <c r="Q35" s="2230">
        <f t="shared" si="18"/>
        <v>8.8000000000000005E-3</v>
      </c>
      <c r="R35" s="2206"/>
      <c r="S35" s="2205"/>
      <c r="T35" s="2190"/>
      <c r="U35" s="2190"/>
      <c r="V35" s="2190"/>
      <c r="X35" s="2189">
        <f>ROUND(SUMPRODUCT(PRODUCT(1+N35:N$39)),4)</f>
        <v>1.048</v>
      </c>
      <c r="Y35" s="2189">
        <f>ROUND(SUMPRODUCT(PRODUCT(1+O35:O$39)),4)</f>
        <v>1.0524</v>
      </c>
      <c r="Z35" s="2189">
        <f t="shared" si="9"/>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0"/>
        <v>1.2500000000000001E-2</v>
      </c>
      <c r="AG35" s="2190">
        <f>ROUND(AVERAGE(K35:K$40)/100,4)</f>
        <v>1.32E-2</v>
      </c>
      <c r="AH35" s="2190">
        <f>ROUND(AVERAGE(L35:L$40)/100,4)</f>
        <v>1.0500000000000001E-2</v>
      </c>
    </row>
    <row r="36" spans="1:34">
      <c r="A36" s="2202" t="s">
        <v>121</v>
      </c>
      <c r="B36" s="2203">
        <f t="shared" si="23"/>
        <v>319.87748030386797</v>
      </c>
      <c r="C36" s="2203">
        <f t="shared" si="23"/>
        <v>269.60135833173649</v>
      </c>
      <c r="D36" s="2203">
        <f t="shared" si="20"/>
        <v>269.60135833173649</v>
      </c>
      <c r="E36" s="2203">
        <f t="shared" si="24"/>
        <v>439.18089823583784</v>
      </c>
      <c r="F36" s="2203">
        <f t="shared" si="24"/>
        <v>239.23503918706311</v>
      </c>
      <c r="G36" s="4069"/>
      <c r="H36" s="2204">
        <v>1</v>
      </c>
      <c r="I36" s="2204">
        <v>0.51</v>
      </c>
      <c r="J36" s="2204">
        <v>0.54</v>
      </c>
      <c r="K36" s="2204">
        <v>0.48</v>
      </c>
      <c r="L36" s="2210">
        <v>0.93</v>
      </c>
      <c r="N36" s="2221">
        <f t="shared" si="22"/>
        <v>5.1000000000000004E-3</v>
      </c>
      <c r="O36" s="2222">
        <f t="shared" si="18"/>
        <v>5.4000000000000003E-3</v>
      </c>
      <c r="P36" s="2222">
        <f t="shared" si="18"/>
        <v>4.7999999999999996E-3</v>
      </c>
      <c r="Q36" s="2222">
        <f t="shared" si="18"/>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9"/>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0"/>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0"/>
        <v>268</v>
      </c>
      <c r="E37" s="2231">
        <v>437</v>
      </c>
      <c r="F37" s="2232">
        <v>237</v>
      </c>
      <c r="G37" s="4067">
        <v>2014</v>
      </c>
      <c r="H37" s="2223">
        <v>4</v>
      </c>
      <c r="I37" s="2223">
        <v>0.21</v>
      </c>
      <c r="J37" s="2223">
        <v>0.41</v>
      </c>
      <c r="K37" s="2223">
        <v>0.12</v>
      </c>
      <c r="L37" s="2224">
        <v>0.89</v>
      </c>
      <c r="N37" s="2205">
        <f t="shared" si="22"/>
        <v>2.0999999999999999E-3</v>
      </c>
      <c r="O37" s="2190">
        <f t="shared" si="18"/>
        <v>4.0999999999999995E-3</v>
      </c>
      <c r="P37" s="2190">
        <f t="shared" si="18"/>
        <v>1.1999999999999999E-3</v>
      </c>
      <c r="Q37" s="2190">
        <f t="shared" si="18"/>
        <v>8.8999999999999999E-3</v>
      </c>
      <c r="R37" s="2206"/>
      <c r="S37" s="2219"/>
      <c r="T37" s="2220"/>
      <c r="U37" s="2220"/>
      <c r="V37" s="2220"/>
      <c r="X37" s="2189">
        <f>ROUND(SUMPRODUCT(PRODUCT(1+N37:N$39)),4)</f>
        <v>1.0347</v>
      </c>
      <c r="Y37" s="2189">
        <f>ROUND(SUMPRODUCT(PRODUCT(1+O37:O$39)),4)</f>
        <v>1.0395000000000001</v>
      </c>
      <c r="Z37" s="2189">
        <f t="shared" si="9"/>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0"/>
        <v>1.5599999999999999E-2</v>
      </c>
      <c r="AG37" s="2190">
        <f>ROUND(AVERAGE(K37:K$40)/100,4)</f>
        <v>1.66E-2</v>
      </c>
      <c r="AH37" s="2190">
        <f>ROUND(AVERAGE(L37:L$40)/100,4)</f>
        <v>1.12E-2</v>
      </c>
    </row>
    <row r="38" spans="1:34">
      <c r="A38" s="2202" t="s">
        <v>119</v>
      </c>
      <c r="B38" s="2203">
        <f t="shared" ref="B38:C40" si="25">B37/(1+N37)</f>
        <v>317.33359944117353</v>
      </c>
      <c r="C38" s="2203">
        <f t="shared" si="25"/>
        <v>266.90568668459315</v>
      </c>
      <c r="D38" s="2203">
        <f t="shared" si="20"/>
        <v>266.90568668459315</v>
      </c>
      <c r="E38" s="2203">
        <f t="shared" ref="E38:F40" si="26">E37/(1+P37)</f>
        <v>436.47622852576905</v>
      </c>
      <c r="F38" s="2203">
        <f t="shared" si="26"/>
        <v>234.90930716622066</v>
      </c>
      <c r="G38" s="4068"/>
      <c r="H38" s="2233">
        <v>3</v>
      </c>
      <c r="I38" s="2233">
        <v>0.83</v>
      </c>
      <c r="J38" s="2233">
        <v>1.47</v>
      </c>
      <c r="K38" s="2233">
        <v>0.65</v>
      </c>
      <c r="L38" s="2234">
        <v>0.72</v>
      </c>
      <c r="N38" s="2205">
        <f t="shared" si="22"/>
        <v>8.3000000000000001E-3</v>
      </c>
      <c r="O38" s="2190">
        <f t="shared" si="18"/>
        <v>1.47E-2</v>
      </c>
      <c r="P38" s="2190">
        <f t="shared" si="18"/>
        <v>6.5000000000000006E-3</v>
      </c>
      <c r="Q38" s="2190">
        <f t="shared" si="18"/>
        <v>7.1999999999999998E-3</v>
      </c>
      <c r="R38" s="2206"/>
      <c r="S38" s="2205"/>
      <c r="T38" s="2190"/>
      <c r="U38" s="2190"/>
      <c r="V38" s="2190"/>
      <c r="X38" s="2189">
        <f>ROUND(SUMPRODUCT(PRODUCT(1+N38:N$39)),4)</f>
        <v>1.0325</v>
      </c>
      <c r="Y38" s="2189">
        <f>ROUND(SUMPRODUCT(PRODUCT(1+O38:O$39)),4)</f>
        <v>1.0353000000000001</v>
      </c>
      <c r="Z38" s="2189">
        <f t="shared" si="9"/>
        <v>1.0353000000000001</v>
      </c>
      <c r="AA38" s="2189">
        <f>ROUND(SUMPRODUCT(PRODUCT(1+P38:P$39)),4)</f>
        <v>1.0326</v>
      </c>
      <c r="AB38" s="2189">
        <f>ROUND(SUMPRODUCT(PRODUCT(1+Q38:Q$39)),4)</f>
        <v>1.0225</v>
      </c>
      <c r="AD38" s="2190">
        <f>ROUND(AVERAGE(I38:I$40)/100,4)</f>
        <v>2.07E-2</v>
      </c>
      <c r="AE38" s="2190">
        <f>ROUND(AVERAGE(J38:J$40)/100,4)</f>
        <v>1.95E-2</v>
      </c>
      <c r="AF38" s="2190">
        <f t="shared" si="10"/>
        <v>1.95E-2</v>
      </c>
      <c r="AG38" s="2190">
        <f>ROUND(AVERAGE(K38:K$40)/100,4)</f>
        <v>2.1700000000000001E-2</v>
      </c>
      <c r="AH38" s="2190">
        <f>ROUND(AVERAGE(L38:L$40)/100,4)</f>
        <v>1.2E-2</v>
      </c>
    </row>
    <row r="39" spans="1:34" ht="13.8" thickBot="1">
      <c r="A39" s="2202" t="s">
        <v>118</v>
      </c>
      <c r="B39" s="2203">
        <f t="shared" si="25"/>
        <v>314.72141172386546</v>
      </c>
      <c r="C39" s="2203">
        <f t="shared" si="25"/>
        <v>263.03901319069001</v>
      </c>
      <c r="D39" s="2203">
        <f t="shared" si="20"/>
        <v>263.03901319069001</v>
      </c>
      <c r="E39" s="2203">
        <f t="shared" si="26"/>
        <v>433.65745506782821</v>
      </c>
      <c r="F39" s="2203">
        <f t="shared" si="26"/>
        <v>233.23005080045735</v>
      </c>
      <c r="G39" s="4068"/>
      <c r="H39" s="2223">
        <v>2</v>
      </c>
      <c r="I39" s="2223">
        <v>2.4</v>
      </c>
      <c r="J39" s="2223">
        <v>2.0299999999999998</v>
      </c>
      <c r="K39" s="2223">
        <v>2.59</v>
      </c>
      <c r="L39" s="2224">
        <v>1.52</v>
      </c>
      <c r="N39" s="2205">
        <f t="shared" si="22"/>
        <v>2.4E-2</v>
      </c>
      <c r="O39" s="2190">
        <f t="shared" si="18"/>
        <v>2.0299999999999999E-2</v>
      </c>
      <c r="P39" s="2190">
        <f t="shared" si="18"/>
        <v>2.5899999999999999E-2</v>
      </c>
      <c r="Q39" s="2190">
        <f t="shared" si="18"/>
        <v>1.52E-2</v>
      </c>
      <c r="R39" s="2206"/>
      <c r="S39" s="2205"/>
      <c r="T39" s="2190"/>
      <c r="U39" s="2190"/>
      <c r="V39" s="2190"/>
      <c r="X39" s="2189">
        <f>1+N39</f>
        <v>1.024</v>
      </c>
      <c r="Y39" s="2189">
        <f>1+O39</f>
        <v>1.0203</v>
      </c>
      <c r="Z39" s="2189">
        <f t="shared" si="9"/>
        <v>1.0203</v>
      </c>
      <c r="AA39" s="2189">
        <f>1+P39</f>
        <v>1.0259</v>
      </c>
      <c r="AB39" s="2189">
        <f>1+Q39</f>
        <v>1.0152000000000001</v>
      </c>
      <c r="AD39" s="2190">
        <f>ROUND(AVERAGE(I39:I$40)/100,4)</f>
        <v>2.69E-2</v>
      </c>
      <c r="AE39" s="2190">
        <f>ROUND(AVERAGE(J39:J$40)/100,4)</f>
        <v>2.1899999999999999E-2</v>
      </c>
      <c r="AF39" s="2190">
        <f t="shared" si="10"/>
        <v>2.1899999999999999E-2</v>
      </c>
      <c r="AG39" s="2190">
        <f>ROUND(AVERAGE(K39:K$40)/100,4)</f>
        <v>2.9399999999999999E-2</v>
      </c>
      <c r="AH39" s="2190">
        <f>ROUND(AVERAGE(L39:L$40)/100,4)</f>
        <v>1.44E-2</v>
      </c>
    </row>
    <row r="40" spans="1:34" s="2239" customFormat="1" ht="13.8" thickBot="1">
      <c r="A40" s="2235" t="s">
        <v>117</v>
      </c>
      <c r="B40" s="2236">
        <f t="shared" si="25"/>
        <v>307.34512863658733</v>
      </c>
      <c r="C40" s="2236">
        <f t="shared" si="25"/>
        <v>257.80556031626975</v>
      </c>
      <c r="D40" s="2236">
        <f t="shared" si="20"/>
        <v>257.80556031626975</v>
      </c>
      <c r="E40" s="2236">
        <f t="shared" si="26"/>
        <v>422.70928459677179</v>
      </c>
      <c r="F40" s="2236">
        <f t="shared" si="26"/>
        <v>229.73803270336617</v>
      </c>
      <c r="G40" s="4069"/>
      <c r="H40" s="2237">
        <v>1</v>
      </c>
      <c r="I40" s="2237">
        <v>2.97</v>
      </c>
      <c r="J40" s="2237">
        <v>2.34</v>
      </c>
      <c r="K40" s="2237">
        <v>3.28</v>
      </c>
      <c r="L40" s="2238">
        <v>1.36</v>
      </c>
      <c r="N40" s="2240">
        <f t="shared" si="22"/>
        <v>2.9700000000000001E-2</v>
      </c>
      <c r="O40" s="2241">
        <f t="shared" si="18"/>
        <v>2.3399999999999997E-2</v>
      </c>
      <c r="P40" s="2241">
        <f t="shared" si="18"/>
        <v>3.2799999999999996E-2</v>
      </c>
      <c r="Q40" s="2241">
        <f t="shared" si="18"/>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 t="shared" si="10"/>
        <v>2.3399999999999997E-2</v>
      </c>
      <c r="AG40" s="2241">
        <f>K40/100</f>
        <v>3.2799999999999996E-2</v>
      </c>
      <c r="AH40" s="2241">
        <f>L40/100</f>
        <v>1.3600000000000001E-2</v>
      </c>
    </row>
    <row r="41" spans="1:34" ht="13.8" thickBot="1">
      <c r="A41" s="2202" t="s">
        <v>465</v>
      </c>
      <c r="B41" s="2217">
        <v>299</v>
      </c>
      <c r="C41" s="2217">
        <v>252</v>
      </c>
      <c r="D41" s="2217">
        <f t="shared" si="20"/>
        <v>252</v>
      </c>
      <c r="E41" s="2217">
        <v>409</v>
      </c>
      <c r="F41" s="2218">
        <v>227</v>
      </c>
      <c r="G41" s="4072">
        <v>2013</v>
      </c>
      <c r="H41" s="2247">
        <v>4</v>
      </c>
      <c r="I41" s="2247">
        <v>1.83</v>
      </c>
      <c r="J41" s="2247">
        <v>1.68</v>
      </c>
      <c r="K41" s="2247">
        <v>1.97</v>
      </c>
      <c r="L41" s="2248">
        <v>0.87</v>
      </c>
      <c r="N41" s="2225">
        <f t="shared" si="22"/>
        <v>1.83E-2</v>
      </c>
      <c r="O41" s="2226">
        <f t="shared" si="18"/>
        <v>1.6799999999999999E-2</v>
      </c>
      <c r="P41" s="2226">
        <f t="shared" si="18"/>
        <v>1.9699999999999999E-2</v>
      </c>
      <c r="Q41" s="2226">
        <f t="shared" si="18"/>
        <v>8.6999999999999994E-3</v>
      </c>
      <c r="R41" s="2206"/>
      <c r="S41" s="2219"/>
      <c r="T41" s="2220"/>
      <c r="U41" s="2220"/>
      <c r="V41" s="2220"/>
      <c r="X41" s="2220"/>
      <c r="Y41" s="2220"/>
      <c r="Z41" s="2220"/>
    </row>
    <row r="42" spans="1:34">
      <c r="A42" s="2202" t="s">
        <v>466</v>
      </c>
      <c r="B42" s="2203">
        <f t="shared" ref="B42:C44" si="27">B41/(1+N41)</f>
        <v>293.62663262299913</v>
      </c>
      <c r="C42" s="2203">
        <f t="shared" si="27"/>
        <v>247.83634933123525</v>
      </c>
      <c r="D42" s="2203">
        <f t="shared" si="20"/>
        <v>247.83634933123525</v>
      </c>
      <c r="E42" s="2203">
        <f t="shared" ref="E42:F44" si="28">E41/(1+P41)</f>
        <v>401.09836226341076</v>
      </c>
      <c r="F42" s="2203">
        <f t="shared" si="28"/>
        <v>225.04213343908003</v>
      </c>
      <c r="G42" s="4073"/>
      <c r="H42" s="2228">
        <v>3</v>
      </c>
      <c r="I42" s="2228">
        <v>1.86</v>
      </c>
      <c r="J42" s="2228">
        <v>1.72</v>
      </c>
      <c r="K42" s="2228">
        <v>1.98</v>
      </c>
      <c r="L42" s="2229">
        <v>0.88</v>
      </c>
      <c r="N42" s="2205">
        <f t="shared" si="22"/>
        <v>1.8600000000000002E-2</v>
      </c>
      <c r="O42" s="2230">
        <f t="shared" si="18"/>
        <v>1.72E-2</v>
      </c>
      <c r="P42" s="2230">
        <f t="shared" si="18"/>
        <v>1.9799999999999998E-2</v>
      </c>
      <c r="Q42" s="2230">
        <f t="shared" si="18"/>
        <v>8.8000000000000005E-3</v>
      </c>
      <c r="R42" s="2206"/>
      <c r="S42" s="2205"/>
      <c r="T42" s="2190"/>
      <c r="U42" s="2190"/>
      <c r="V42" s="2190"/>
    </row>
    <row r="43" spans="1:34">
      <c r="A43" s="2202" t="s">
        <v>467</v>
      </c>
      <c r="B43" s="2203">
        <f t="shared" si="27"/>
        <v>288.2649053828776</v>
      </c>
      <c r="C43" s="2203">
        <f t="shared" si="27"/>
        <v>243.64564425013293</v>
      </c>
      <c r="D43" s="2203">
        <f t="shared" si="20"/>
        <v>243.64564425013293</v>
      </c>
      <c r="E43" s="2203">
        <f t="shared" si="28"/>
        <v>393.31080825986544</v>
      </c>
      <c r="F43" s="2203">
        <f t="shared" si="28"/>
        <v>223.07903790551154</v>
      </c>
      <c r="G43" s="4073"/>
      <c r="H43" s="2215">
        <v>2</v>
      </c>
      <c r="I43" s="2215">
        <v>2.04</v>
      </c>
      <c r="J43" s="2215">
        <v>2.33</v>
      </c>
      <c r="K43" s="2215">
        <v>2.0699999999999998</v>
      </c>
      <c r="L43" s="2216">
        <v>0.69</v>
      </c>
      <c r="N43" s="2205">
        <f t="shared" si="22"/>
        <v>2.0400000000000001E-2</v>
      </c>
      <c r="O43" s="2230">
        <f t="shared" si="18"/>
        <v>2.3300000000000001E-2</v>
      </c>
      <c r="P43" s="2230">
        <f t="shared" si="18"/>
        <v>2.07E-2</v>
      </c>
      <c r="Q43" s="2230">
        <f t="shared" si="18"/>
        <v>6.8999999999999999E-3</v>
      </c>
      <c r="R43" s="2206"/>
      <c r="S43" s="2205"/>
      <c r="T43" s="2190"/>
      <c r="U43" s="2190"/>
      <c r="V43" s="2190"/>
      <c r="X43" s="2249"/>
      <c r="Y43" s="2250"/>
    </row>
    <row r="44" spans="1:34">
      <c r="A44" s="2202" t="s">
        <v>468</v>
      </c>
      <c r="B44" s="2203">
        <f t="shared" si="27"/>
        <v>282.50186729015837</v>
      </c>
      <c r="C44" s="2203">
        <f t="shared" si="27"/>
        <v>238.09796174155468</v>
      </c>
      <c r="D44" s="2203">
        <f t="shared" si="20"/>
        <v>238.09796174155468</v>
      </c>
      <c r="E44" s="2203">
        <f t="shared" si="28"/>
        <v>385.33438646014054</v>
      </c>
      <c r="F44" s="2203">
        <f t="shared" si="28"/>
        <v>221.55034055567739</v>
      </c>
      <c r="G44" s="4074"/>
      <c r="H44" s="2204">
        <v>1</v>
      </c>
      <c r="I44" s="2204">
        <v>1.67</v>
      </c>
      <c r="J44" s="2204">
        <v>1.31</v>
      </c>
      <c r="K44" s="2204">
        <v>1.85</v>
      </c>
      <c r="L44" s="2210">
        <v>0.96</v>
      </c>
      <c r="N44" s="2221">
        <f t="shared" si="22"/>
        <v>1.67E-2</v>
      </c>
      <c r="O44" s="2222">
        <f t="shared" si="22"/>
        <v>1.3100000000000001E-2</v>
      </c>
      <c r="P44" s="2222">
        <f t="shared" si="22"/>
        <v>1.8500000000000003E-2</v>
      </c>
      <c r="Q44" s="2222">
        <f t="shared" si="22"/>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0"/>
        <v>234</v>
      </c>
      <c r="E45" s="2252">
        <v>379</v>
      </c>
      <c r="F45" s="2253">
        <v>220</v>
      </c>
      <c r="G45" s="4067">
        <v>2012</v>
      </c>
      <c r="H45" s="2223">
        <v>4</v>
      </c>
      <c r="I45" s="2223">
        <v>0.91</v>
      </c>
      <c r="J45" s="2223">
        <v>0.68</v>
      </c>
      <c r="K45" s="2223">
        <v>0.98</v>
      </c>
      <c r="L45" s="2224">
        <v>0.9</v>
      </c>
      <c r="N45" s="2205">
        <f t="shared" si="22"/>
        <v>9.1000000000000004E-3</v>
      </c>
      <c r="O45" s="2190">
        <f t="shared" si="22"/>
        <v>6.8000000000000005E-3</v>
      </c>
      <c r="P45" s="2190">
        <f t="shared" si="22"/>
        <v>9.7999999999999997E-3</v>
      </c>
      <c r="Q45" s="2190">
        <f t="shared" si="22"/>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0"/>
        <v>232.41954707985698</v>
      </c>
      <c r="E46" s="2203">
        <f t="shared" ref="E46:F48" si="29">E45/(1+P45)</f>
        <v>375.32184591008121</v>
      </c>
      <c r="F46" s="2203">
        <f t="shared" si="29"/>
        <v>218.03766105054513</v>
      </c>
      <c r="G46" s="4068"/>
      <c r="H46" s="2228">
        <v>3</v>
      </c>
      <c r="I46" s="2228">
        <v>0.09</v>
      </c>
      <c r="J46" s="2228">
        <v>0.28999999999999998</v>
      </c>
      <c r="K46" s="2228">
        <v>-0.01</v>
      </c>
      <c r="L46" s="2229">
        <v>0.57999999999999996</v>
      </c>
      <c r="N46" s="2205">
        <f t="shared" si="22"/>
        <v>8.9999999999999998E-4</v>
      </c>
      <c r="O46" s="2190">
        <f t="shared" si="22"/>
        <v>2.8999999999999998E-3</v>
      </c>
      <c r="P46" s="2190">
        <f t="shared" si="22"/>
        <v>-1E-4</v>
      </c>
      <c r="Q46" s="2190">
        <f t="shared" si="22"/>
        <v>5.7999999999999996E-3</v>
      </c>
      <c r="R46" s="2206"/>
      <c r="S46" s="2205"/>
      <c r="T46" s="2190"/>
      <c r="U46" s="2190"/>
      <c r="V46" s="2190"/>
    </row>
    <row r="47" spans="1:34">
      <c r="A47" s="2202" t="s">
        <v>471</v>
      </c>
      <c r="B47" s="2203">
        <f>B46/(1+N46)</f>
        <v>275.24529281292263</v>
      </c>
      <c r="C47" s="2203">
        <f>C46/(1+O46)</f>
        <v>231.74747938962707</v>
      </c>
      <c r="D47" s="2203">
        <f t="shared" si="20"/>
        <v>231.74747938962707</v>
      </c>
      <c r="E47" s="2203">
        <f t="shared" si="29"/>
        <v>375.35938184826603</v>
      </c>
      <c r="F47" s="2203">
        <f t="shared" si="29"/>
        <v>216.78033510692495</v>
      </c>
      <c r="G47" s="4068"/>
      <c r="H47" s="2215">
        <v>2</v>
      </c>
      <c r="I47" s="2215">
        <v>0.02</v>
      </c>
      <c r="J47" s="2215">
        <v>0.12</v>
      </c>
      <c r="K47" s="2215">
        <v>-0.08</v>
      </c>
      <c r="L47" s="2216">
        <v>1.24</v>
      </c>
      <c r="N47" s="2205">
        <f t="shared" si="22"/>
        <v>2.0000000000000001E-4</v>
      </c>
      <c r="O47" s="2190">
        <f t="shared" si="22"/>
        <v>1.1999999999999999E-3</v>
      </c>
      <c r="P47" s="2190">
        <f t="shared" si="22"/>
        <v>-8.0000000000000004E-4</v>
      </c>
      <c r="Q47" s="2190">
        <f t="shared" si="22"/>
        <v>1.24E-2</v>
      </c>
      <c r="R47" s="2206"/>
      <c r="S47" s="2205"/>
      <c r="T47" s="2190"/>
      <c r="U47" s="2190"/>
      <c r="V47" s="2190"/>
    </row>
    <row r="48" spans="1:34" ht="13.8" thickBot="1">
      <c r="A48" s="2202" t="s">
        <v>472</v>
      </c>
      <c r="B48" s="2203">
        <f>B47/(1+N47)</f>
        <v>275.19025476197027</v>
      </c>
      <c r="C48" s="2254">
        <v>232</v>
      </c>
      <c r="D48" s="2254">
        <f t="shared" si="20"/>
        <v>232</v>
      </c>
      <c r="E48" s="2203">
        <f t="shared" si="29"/>
        <v>375.65990977608692</v>
      </c>
      <c r="F48" s="2203">
        <f t="shared" si="29"/>
        <v>214.12518283971252</v>
      </c>
      <c r="G48" s="4069"/>
      <c r="H48" s="2204">
        <v>1</v>
      </c>
      <c r="I48" s="2204">
        <v>0.02</v>
      </c>
      <c r="J48" s="2204">
        <v>0.13</v>
      </c>
      <c r="K48" s="2204">
        <v>-0.04</v>
      </c>
      <c r="L48" s="2210">
        <v>0.46</v>
      </c>
      <c r="N48" s="2205">
        <f t="shared" si="22"/>
        <v>2.0000000000000001E-4</v>
      </c>
      <c r="O48" s="2190">
        <f t="shared" si="22"/>
        <v>1.2999999999999999E-3</v>
      </c>
      <c r="P48" s="2190">
        <f t="shared" si="22"/>
        <v>-4.0000000000000002E-4</v>
      </c>
      <c r="Q48" s="2190">
        <f t="shared" si="22"/>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0"/>
        <v>232</v>
      </c>
      <c r="E49" s="2217">
        <v>376</v>
      </c>
      <c r="F49" s="2218">
        <v>213</v>
      </c>
      <c r="G49" s="4067">
        <v>2011</v>
      </c>
      <c r="H49" s="2223">
        <v>4</v>
      </c>
      <c r="I49" s="2223">
        <v>-0.2</v>
      </c>
      <c r="J49" s="2223">
        <v>0.04</v>
      </c>
      <c r="K49" s="2223">
        <v>-0.34</v>
      </c>
      <c r="L49" s="2224">
        <v>0.46</v>
      </c>
      <c r="N49" s="2225">
        <f t="shared" si="22"/>
        <v>-2E-3</v>
      </c>
      <c r="O49" s="2226">
        <f t="shared" si="22"/>
        <v>4.0000000000000002E-4</v>
      </c>
      <c r="P49" s="2226">
        <f t="shared" si="22"/>
        <v>-3.4000000000000002E-3</v>
      </c>
      <c r="Q49" s="2226">
        <f t="shared" si="22"/>
        <v>4.5999999999999999E-3</v>
      </c>
      <c r="R49" s="2206"/>
      <c r="S49" s="2219"/>
      <c r="T49" s="2220"/>
      <c r="U49" s="2220"/>
      <c r="V49" s="2220"/>
      <c r="X49" s="2220"/>
      <c r="Y49" s="2220"/>
      <c r="Z49" s="2220"/>
    </row>
    <row r="50" spans="1:26">
      <c r="A50" s="2202" t="s">
        <v>474</v>
      </c>
      <c r="B50" s="2203">
        <f t="shared" ref="B50:C52" si="30">B49/(1+N49)</f>
        <v>275.55110220440883</v>
      </c>
      <c r="C50" s="2203">
        <f t="shared" si="30"/>
        <v>231.90723710515795</v>
      </c>
      <c r="D50" s="2203">
        <f t="shared" si="20"/>
        <v>231.90723710515795</v>
      </c>
      <c r="E50" s="2203">
        <f t="shared" ref="E50:F52" si="31">E49/(1+P49)</f>
        <v>377.28276138872161</v>
      </c>
      <c r="F50" s="2203">
        <f t="shared" si="31"/>
        <v>212.02468644236512</v>
      </c>
      <c r="G50" s="4068">
        <v>2011</v>
      </c>
      <c r="H50" s="2228">
        <v>3</v>
      </c>
      <c r="I50" s="2228">
        <v>0.13</v>
      </c>
      <c r="J50" s="2228">
        <v>0.75</v>
      </c>
      <c r="K50" s="2228">
        <v>-0.08</v>
      </c>
      <c r="L50" s="2229">
        <v>0.53</v>
      </c>
      <c r="N50" s="2205">
        <f t="shared" si="22"/>
        <v>1.2999999999999999E-3</v>
      </c>
      <c r="O50" s="2230">
        <f t="shared" si="22"/>
        <v>7.4999999999999997E-3</v>
      </c>
      <c r="P50" s="2230">
        <f t="shared" si="22"/>
        <v>-8.0000000000000004E-4</v>
      </c>
      <c r="Q50" s="2230">
        <f t="shared" si="22"/>
        <v>5.3E-3</v>
      </c>
      <c r="R50" s="2206"/>
      <c r="S50" s="2205"/>
      <c r="T50" s="2190"/>
      <c r="U50" s="2190"/>
      <c r="V50" s="2190"/>
    </row>
    <row r="51" spans="1:26">
      <c r="A51" s="2202" t="s">
        <v>475</v>
      </c>
      <c r="B51" s="2203">
        <f t="shared" si="30"/>
        <v>275.19335084830601</v>
      </c>
      <c r="C51" s="2203">
        <f t="shared" si="30"/>
        <v>230.18088050139744</v>
      </c>
      <c r="D51" s="2203">
        <f t="shared" si="20"/>
        <v>230.18088050139744</v>
      </c>
      <c r="E51" s="2203">
        <f t="shared" si="31"/>
        <v>377.58482925212331</v>
      </c>
      <c r="F51" s="2203">
        <f t="shared" si="31"/>
        <v>210.90687997847917</v>
      </c>
      <c r="G51" s="4068">
        <v>2011</v>
      </c>
      <c r="H51" s="2215">
        <v>2</v>
      </c>
      <c r="I51" s="2215">
        <v>-0.4</v>
      </c>
      <c r="J51" s="2215">
        <v>0.17</v>
      </c>
      <c r="K51" s="2215">
        <v>-0.57999999999999996</v>
      </c>
      <c r="L51" s="2216">
        <v>-0.2</v>
      </c>
      <c r="N51" s="2205">
        <f t="shared" si="22"/>
        <v>-4.0000000000000001E-3</v>
      </c>
      <c r="O51" s="2230">
        <f t="shared" si="22"/>
        <v>1.7000000000000001E-3</v>
      </c>
      <c r="P51" s="2230">
        <f t="shared" si="22"/>
        <v>-5.7999999999999996E-3</v>
      </c>
      <c r="Q51" s="2230">
        <f t="shared" si="22"/>
        <v>-2E-3</v>
      </c>
      <c r="R51" s="2206"/>
      <c r="S51" s="2205"/>
      <c r="T51" s="2190"/>
      <c r="U51" s="2190"/>
      <c r="V51" s="2190"/>
    </row>
    <row r="52" spans="1:26" ht="13.8" thickBot="1">
      <c r="A52" s="2202" t="s">
        <v>476</v>
      </c>
      <c r="B52" s="2203">
        <f t="shared" si="30"/>
        <v>276.29854502841971</v>
      </c>
      <c r="C52" s="2203">
        <f t="shared" si="30"/>
        <v>229.79023709833027</v>
      </c>
      <c r="D52" s="2203">
        <f t="shared" si="20"/>
        <v>229.79023709833027</v>
      </c>
      <c r="E52" s="2203">
        <f t="shared" si="31"/>
        <v>379.78759731655936</v>
      </c>
      <c r="F52" s="2203">
        <f t="shared" si="31"/>
        <v>211.32953905659235</v>
      </c>
      <c r="G52" s="4069">
        <v>2011</v>
      </c>
      <c r="H52" s="2204">
        <v>1</v>
      </c>
      <c r="I52" s="2204">
        <v>2.65</v>
      </c>
      <c r="J52" s="2204">
        <v>3.76</v>
      </c>
      <c r="K52" s="2204">
        <v>1.89</v>
      </c>
      <c r="L52" s="2210">
        <v>7.95</v>
      </c>
      <c r="N52" s="2221">
        <f t="shared" si="22"/>
        <v>2.6499999999999999E-2</v>
      </c>
      <c r="O52" s="2222">
        <f t="shared" si="22"/>
        <v>3.7599999999999995E-2</v>
      </c>
      <c r="P52" s="2222">
        <f t="shared" si="22"/>
        <v>1.89E-2</v>
      </c>
      <c r="Q52" s="2222">
        <f t="shared" si="22"/>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0"/>
        <v>221</v>
      </c>
      <c r="E53" s="2217">
        <v>373</v>
      </c>
      <c r="F53" s="2218">
        <v>196</v>
      </c>
      <c r="G53" s="4067">
        <v>2010</v>
      </c>
      <c r="H53" s="2223">
        <v>4</v>
      </c>
      <c r="I53" s="2223">
        <v>5.72</v>
      </c>
      <c r="J53" s="2223">
        <v>6.57</v>
      </c>
      <c r="K53" s="2223">
        <v>5.72</v>
      </c>
      <c r="L53" s="2224">
        <v>2.72</v>
      </c>
      <c r="N53" s="2205">
        <f t="shared" si="22"/>
        <v>5.7200000000000001E-2</v>
      </c>
      <c r="O53" s="2190">
        <f t="shared" si="22"/>
        <v>6.5700000000000008E-2</v>
      </c>
      <c r="P53" s="2190">
        <f t="shared" si="22"/>
        <v>5.7200000000000001E-2</v>
      </c>
      <c r="Q53" s="2190">
        <f t="shared" si="22"/>
        <v>2.7200000000000002E-2</v>
      </c>
      <c r="R53" s="2206"/>
      <c r="S53" s="2219"/>
      <c r="T53" s="2220"/>
      <c r="U53" s="2220"/>
      <c r="V53" s="2220"/>
      <c r="X53" s="2220"/>
      <c r="Y53" s="2220"/>
      <c r="Z53" s="2220"/>
    </row>
    <row r="54" spans="1:26">
      <c r="A54" s="2202" t="s">
        <v>478</v>
      </c>
      <c r="B54" s="2203">
        <f t="shared" ref="B54:C56" si="32">B53/(1+N53)</f>
        <v>254.44570563753314</v>
      </c>
      <c r="C54" s="2203">
        <f t="shared" si="32"/>
        <v>207.37543398705074</v>
      </c>
      <c r="D54" s="2203">
        <f t="shared" si="20"/>
        <v>207.37543398705074</v>
      </c>
      <c r="E54" s="2203">
        <f t="shared" ref="E54:F56" si="33">E53/(1+P53)</f>
        <v>352.81876655315932</v>
      </c>
      <c r="F54" s="2203">
        <f t="shared" si="33"/>
        <v>190.809968847352</v>
      </c>
      <c r="G54" s="4068">
        <v>2010</v>
      </c>
      <c r="H54" s="2228">
        <v>3</v>
      </c>
      <c r="I54" s="2228">
        <v>4.7300000000000004</v>
      </c>
      <c r="J54" s="2228">
        <v>3.9</v>
      </c>
      <c r="K54" s="2228">
        <v>5.03</v>
      </c>
      <c r="L54" s="2229">
        <v>4.21</v>
      </c>
      <c r="N54" s="2205">
        <f t="shared" si="22"/>
        <v>4.7300000000000002E-2</v>
      </c>
      <c r="O54" s="2190">
        <f t="shared" si="22"/>
        <v>3.9E-2</v>
      </c>
      <c r="P54" s="2190">
        <f t="shared" si="22"/>
        <v>5.0300000000000004E-2</v>
      </c>
      <c r="Q54" s="2190">
        <f t="shared" si="22"/>
        <v>4.2099999999999999E-2</v>
      </c>
      <c r="R54" s="2206"/>
      <c r="S54" s="2205"/>
      <c r="T54" s="2190"/>
      <c r="U54" s="2190"/>
      <c r="V54" s="2190"/>
    </row>
    <row r="55" spans="1:26">
      <c r="A55" s="2202" t="s">
        <v>479</v>
      </c>
      <c r="B55" s="2203">
        <f t="shared" si="32"/>
        <v>242.95398227588385</v>
      </c>
      <c r="C55" s="2203">
        <f t="shared" si="32"/>
        <v>199.59137053614126</v>
      </c>
      <c r="D55" s="2203">
        <f t="shared" si="20"/>
        <v>199.59137053614126</v>
      </c>
      <c r="E55" s="2203">
        <f t="shared" si="33"/>
        <v>335.92189522342125</v>
      </c>
      <c r="F55" s="2203">
        <f t="shared" si="33"/>
        <v>183.10139991109489</v>
      </c>
      <c r="G55" s="4068">
        <v>2010</v>
      </c>
      <c r="H55" s="2215">
        <v>2</v>
      </c>
      <c r="I55" s="2215">
        <v>4.6900000000000004</v>
      </c>
      <c r="J55" s="2215">
        <v>3.55</v>
      </c>
      <c r="K55" s="2215">
        <v>5.07</v>
      </c>
      <c r="L55" s="2216">
        <v>4.2300000000000004</v>
      </c>
      <c r="N55" s="2205">
        <f t="shared" si="22"/>
        <v>4.6900000000000004E-2</v>
      </c>
      <c r="O55" s="2190">
        <f t="shared" si="22"/>
        <v>3.5499999999999997E-2</v>
      </c>
      <c r="P55" s="2190">
        <f t="shared" si="22"/>
        <v>5.0700000000000002E-2</v>
      </c>
      <c r="Q55" s="2190">
        <f t="shared" si="22"/>
        <v>4.2300000000000004E-2</v>
      </c>
      <c r="R55" s="2206"/>
      <c r="S55" s="2205"/>
      <c r="T55" s="2190"/>
      <c r="U55" s="2190"/>
      <c r="V55" s="2190"/>
    </row>
    <row r="56" spans="1:26" ht="13.8" thickBot="1">
      <c r="A56" s="2202" t="s">
        <v>480</v>
      </c>
      <c r="B56" s="2203">
        <f t="shared" si="32"/>
        <v>232.06990378821649</v>
      </c>
      <c r="C56" s="2203">
        <f t="shared" si="32"/>
        <v>192.74878854286936</v>
      </c>
      <c r="D56" s="2203">
        <f t="shared" si="20"/>
        <v>192.74878854286936</v>
      </c>
      <c r="E56" s="2203">
        <f t="shared" si="33"/>
        <v>319.71247284992984</v>
      </c>
      <c r="F56" s="2203">
        <f t="shared" si="33"/>
        <v>175.67053622862409</v>
      </c>
      <c r="G56" s="4069">
        <v>2010</v>
      </c>
      <c r="H56" s="2204">
        <v>1</v>
      </c>
      <c r="I56" s="2204">
        <v>5.4</v>
      </c>
      <c r="J56" s="2204">
        <v>3.2</v>
      </c>
      <c r="K56" s="2204">
        <v>6.16</v>
      </c>
      <c r="L56" s="2210">
        <v>4.51</v>
      </c>
      <c r="N56" s="2205">
        <f t="shared" si="22"/>
        <v>5.4000000000000006E-2</v>
      </c>
      <c r="O56" s="2190">
        <f t="shared" si="22"/>
        <v>3.2000000000000001E-2</v>
      </c>
      <c r="P56" s="2190">
        <f t="shared" si="22"/>
        <v>6.1600000000000002E-2</v>
      </c>
      <c r="Q56" s="2190">
        <f t="shared" si="22"/>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0"/>
        <v>187</v>
      </c>
      <c r="E57" s="2217">
        <v>301</v>
      </c>
      <c r="F57" s="2218">
        <v>168</v>
      </c>
      <c r="G57" s="4067">
        <v>2009</v>
      </c>
      <c r="H57" s="2223">
        <v>4</v>
      </c>
      <c r="I57" s="2223">
        <v>2.2999999999999998</v>
      </c>
      <c r="J57" s="2223">
        <v>1.04</v>
      </c>
      <c r="K57" s="2223">
        <v>2.84</v>
      </c>
      <c r="L57" s="2224">
        <v>0.67</v>
      </c>
      <c r="N57" s="2225">
        <f t="shared" si="22"/>
        <v>2.3E-2</v>
      </c>
      <c r="O57" s="2226">
        <f t="shared" si="22"/>
        <v>1.04E-2</v>
      </c>
      <c r="P57" s="2226">
        <f t="shared" si="22"/>
        <v>2.8399999999999998E-2</v>
      </c>
      <c r="Q57" s="2226">
        <f t="shared" si="22"/>
        <v>6.7000000000000002E-3</v>
      </c>
      <c r="R57" s="2206"/>
      <c r="S57" s="2219"/>
      <c r="T57" s="2220"/>
      <c r="U57" s="2220"/>
      <c r="V57" s="2220"/>
      <c r="X57" s="2220"/>
      <c r="Y57" s="2220"/>
      <c r="Z57" s="2220"/>
    </row>
    <row r="58" spans="1:26">
      <c r="A58" s="2202" t="s">
        <v>482</v>
      </c>
      <c r="B58" s="2203">
        <f t="shared" ref="B58:C60" si="34">B57/(1+N57)</f>
        <v>215.05376344086022</v>
      </c>
      <c r="C58" s="2203">
        <f t="shared" si="34"/>
        <v>185.0752177355503</v>
      </c>
      <c r="D58" s="2203">
        <f t="shared" si="20"/>
        <v>185.0752177355503</v>
      </c>
      <c r="E58" s="2203">
        <f t="shared" ref="E58:F60" si="35">E57/(1+P57)</f>
        <v>292.68767016725008</v>
      </c>
      <c r="F58" s="2203">
        <f t="shared" si="35"/>
        <v>166.88189132810174</v>
      </c>
      <c r="G58" s="4068">
        <v>2009</v>
      </c>
      <c r="H58" s="2228">
        <v>3</v>
      </c>
      <c r="I58" s="2228">
        <v>2.1</v>
      </c>
      <c r="J58" s="2228">
        <v>1.86</v>
      </c>
      <c r="K58" s="2228">
        <v>2.29</v>
      </c>
      <c r="L58" s="2229">
        <v>0.85</v>
      </c>
      <c r="N58" s="2205">
        <f t="shared" si="22"/>
        <v>2.1000000000000001E-2</v>
      </c>
      <c r="O58" s="2230">
        <f t="shared" si="22"/>
        <v>1.8600000000000002E-2</v>
      </c>
      <c r="P58" s="2230">
        <f t="shared" si="22"/>
        <v>2.29E-2</v>
      </c>
      <c r="Q58" s="2230">
        <f t="shared" si="22"/>
        <v>8.5000000000000006E-3</v>
      </c>
      <c r="R58" s="2206"/>
      <c r="S58" s="2205"/>
      <c r="T58" s="2190"/>
      <c r="U58" s="2190"/>
      <c r="V58" s="2190"/>
    </row>
    <row r="59" spans="1:26">
      <c r="A59" s="2202" t="s">
        <v>483</v>
      </c>
      <c r="B59" s="2203">
        <f t="shared" si="34"/>
        <v>210.630522469011</v>
      </c>
      <c r="C59" s="2203">
        <f t="shared" si="34"/>
        <v>181.69567812247232</v>
      </c>
      <c r="D59" s="2203">
        <f t="shared" si="20"/>
        <v>181.69567812247232</v>
      </c>
      <c r="E59" s="2203">
        <f t="shared" si="35"/>
        <v>286.13517466736738</v>
      </c>
      <c r="F59" s="2203">
        <f t="shared" si="35"/>
        <v>165.47535084591149</v>
      </c>
      <c r="G59" s="4068">
        <v>2009</v>
      </c>
      <c r="H59" s="2215">
        <v>2</v>
      </c>
      <c r="I59" s="2215">
        <v>0.86</v>
      </c>
      <c r="J59" s="2215">
        <v>-1.1299999999999999</v>
      </c>
      <c r="K59" s="2215">
        <v>1.79</v>
      </c>
      <c r="L59" s="2216">
        <v>-2.0699999999999998</v>
      </c>
      <c r="N59" s="2205">
        <f t="shared" si="22"/>
        <v>8.6E-3</v>
      </c>
      <c r="O59" s="2230">
        <f t="shared" si="22"/>
        <v>-1.1299999999999999E-2</v>
      </c>
      <c r="P59" s="2230">
        <f t="shared" si="22"/>
        <v>1.7899999999999999E-2</v>
      </c>
      <c r="Q59" s="2230">
        <f t="shared" si="22"/>
        <v>-2.07E-2</v>
      </c>
      <c r="R59" s="2206"/>
      <c r="S59" s="2205"/>
      <c r="T59" s="2190"/>
      <c r="U59" s="2190"/>
      <c r="V59" s="2190"/>
    </row>
    <row r="60" spans="1:26">
      <c r="A60" s="2202" t="s">
        <v>484</v>
      </c>
      <c r="B60" s="2203">
        <f t="shared" si="34"/>
        <v>208.83454537875372</v>
      </c>
      <c r="C60" s="2203">
        <f t="shared" si="34"/>
        <v>183.77230517090351</v>
      </c>
      <c r="D60" s="2203">
        <f t="shared" si="20"/>
        <v>183.77230517090351</v>
      </c>
      <c r="E60" s="2203">
        <f t="shared" si="35"/>
        <v>281.10342338870947</v>
      </c>
      <c r="F60" s="2203">
        <f t="shared" si="35"/>
        <v>168.97309388942256</v>
      </c>
      <c r="G60" s="4069">
        <v>2009</v>
      </c>
      <c r="H60" s="2204">
        <v>1</v>
      </c>
      <c r="I60" s="2204">
        <v>-2.64</v>
      </c>
      <c r="J60" s="2204">
        <v>-2.5299999999999998</v>
      </c>
      <c r="K60" s="2204">
        <v>-3.02</v>
      </c>
      <c r="L60" s="2210">
        <v>1.52</v>
      </c>
      <c r="N60" s="2221">
        <f t="shared" si="22"/>
        <v>-2.64E-2</v>
      </c>
      <c r="O60" s="2222">
        <f t="shared" si="22"/>
        <v>-2.53E-2</v>
      </c>
      <c r="P60" s="2222">
        <f t="shared" si="22"/>
        <v>-3.0200000000000001E-2</v>
      </c>
      <c r="Q60" s="2222">
        <f t="shared" si="22"/>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0"/>
        <v>188</v>
      </c>
      <c r="E61" s="2252">
        <v>289</v>
      </c>
      <c r="F61" s="2253">
        <v>166</v>
      </c>
      <c r="G61" s="4067">
        <v>2008</v>
      </c>
      <c r="H61" s="2223">
        <v>4</v>
      </c>
      <c r="I61" s="2223">
        <v>1.73</v>
      </c>
      <c r="J61" s="2223">
        <v>0.03</v>
      </c>
      <c r="K61" s="2223">
        <v>2.59</v>
      </c>
      <c r="L61" s="2224">
        <v>-1.66</v>
      </c>
      <c r="N61" s="2205">
        <f t="shared" si="22"/>
        <v>1.7299999999999999E-2</v>
      </c>
      <c r="O61" s="2190">
        <f t="shared" si="22"/>
        <v>2.9999999999999997E-4</v>
      </c>
      <c r="P61" s="2190">
        <f t="shared" si="22"/>
        <v>2.5899999999999999E-2</v>
      </c>
      <c r="Q61" s="2190">
        <f t="shared" si="22"/>
        <v>-1.66E-2</v>
      </c>
      <c r="R61" s="2206"/>
      <c r="S61" s="2219"/>
      <c r="T61" s="2220"/>
      <c r="U61" s="2220"/>
      <c r="V61" s="2220"/>
      <c r="X61" s="2220"/>
      <c r="Y61" s="2220"/>
      <c r="Z61" s="2220"/>
    </row>
    <row r="62" spans="1:26">
      <c r="A62" s="2202" t="s">
        <v>486</v>
      </c>
      <c r="B62" s="2203">
        <f t="shared" ref="B62:C64" si="36">B61/(1+N61)</f>
        <v>210.36075887152265</v>
      </c>
      <c r="C62" s="2203">
        <f t="shared" si="36"/>
        <v>187.94361691492554</v>
      </c>
      <c r="D62" s="2203">
        <f t="shared" si="20"/>
        <v>187.94361691492554</v>
      </c>
      <c r="E62" s="2203">
        <f t="shared" ref="E62:F64" si="37">E61/(1+P61)</f>
        <v>281.70386977288234</v>
      </c>
      <c r="F62" s="2203">
        <f t="shared" si="37"/>
        <v>168.80211511083994</v>
      </c>
      <c r="G62" s="4068">
        <v>2008</v>
      </c>
      <c r="H62" s="2228">
        <v>3</v>
      </c>
      <c r="I62" s="2228">
        <v>1.96</v>
      </c>
      <c r="J62" s="2228">
        <v>2.36</v>
      </c>
      <c r="K62" s="2228">
        <v>1.82</v>
      </c>
      <c r="L62" s="2229">
        <v>2.2200000000000002</v>
      </c>
      <c r="N62" s="2205">
        <f t="shared" si="22"/>
        <v>1.9599999999999999E-2</v>
      </c>
      <c r="O62" s="2190">
        <f t="shared" si="22"/>
        <v>2.3599999999999999E-2</v>
      </c>
      <c r="P62" s="2190">
        <f t="shared" si="22"/>
        <v>1.8200000000000001E-2</v>
      </c>
      <c r="Q62" s="2190">
        <f t="shared" si="22"/>
        <v>2.2200000000000001E-2</v>
      </c>
      <c r="R62" s="2206"/>
      <c r="S62" s="2205"/>
      <c r="T62" s="2190"/>
      <c r="U62" s="2190"/>
      <c r="V62" s="2190"/>
    </row>
    <row r="63" spans="1:26">
      <c r="A63" s="2202" t="s">
        <v>487</v>
      </c>
      <c r="B63" s="2203">
        <f t="shared" si="36"/>
        <v>206.31694671589116</v>
      </c>
      <c r="C63" s="2203">
        <f t="shared" si="36"/>
        <v>183.61041121036101</v>
      </c>
      <c r="D63" s="2203">
        <f t="shared" si="20"/>
        <v>183.61041121036101</v>
      </c>
      <c r="E63" s="2203">
        <f t="shared" si="37"/>
        <v>276.66850301795557</v>
      </c>
      <c r="F63" s="2203">
        <f t="shared" si="37"/>
        <v>165.1360938278614</v>
      </c>
      <c r="G63" s="4068">
        <v>2008</v>
      </c>
      <c r="H63" s="2215">
        <v>2</v>
      </c>
      <c r="I63" s="2215">
        <v>4.93</v>
      </c>
      <c r="J63" s="2215">
        <v>7.38</v>
      </c>
      <c r="K63" s="2215">
        <v>3.98</v>
      </c>
      <c r="L63" s="2216">
        <v>6.86</v>
      </c>
      <c r="N63" s="2205">
        <f t="shared" si="22"/>
        <v>4.9299999999999997E-2</v>
      </c>
      <c r="O63" s="2190">
        <f t="shared" si="22"/>
        <v>7.3800000000000004E-2</v>
      </c>
      <c r="P63" s="2190">
        <f t="shared" si="22"/>
        <v>3.9800000000000002E-2</v>
      </c>
      <c r="Q63" s="2190">
        <f t="shared" si="22"/>
        <v>6.8600000000000008E-2</v>
      </c>
      <c r="R63" s="2206"/>
      <c r="S63" s="2205"/>
      <c r="T63" s="2190"/>
      <c r="U63" s="2190"/>
      <c r="V63" s="2190"/>
    </row>
    <row r="64" spans="1:26" s="2258" customFormat="1" ht="13.8" thickBot="1">
      <c r="A64" s="2202" t="s">
        <v>488</v>
      </c>
      <c r="B64" s="2255">
        <f t="shared" si="36"/>
        <v>196.62341248059772</v>
      </c>
      <c r="C64" s="2255">
        <f t="shared" si="36"/>
        <v>170.99125648199012</v>
      </c>
      <c r="D64" s="2255">
        <f t="shared" si="20"/>
        <v>170.99125648199012</v>
      </c>
      <c r="E64" s="2255">
        <f t="shared" si="37"/>
        <v>266.07857570490052</v>
      </c>
      <c r="F64" s="2255">
        <f t="shared" si="37"/>
        <v>154.53499328828505</v>
      </c>
      <c r="G64" s="4069">
        <v>2008</v>
      </c>
      <c r="H64" s="2256">
        <v>1</v>
      </c>
      <c r="I64" s="2256">
        <v>4.1399999999999997</v>
      </c>
      <c r="J64" s="2256">
        <v>3.45</v>
      </c>
      <c r="K64" s="2256">
        <v>4.95</v>
      </c>
      <c r="L64" s="2257">
        <v>4.82</v>
      </c>
      <c r="N64" s="2259">
        <f t="shared" si="22"/>
        <v>4.1399999999999999E-2</v>
      </c>
      <c r="O64" s="2260">
        <f t="shared" si="22"/>
        <v>3.4500000000000003E-2</v>
      </c>
      <c r="P64" s="2260">
        <f t="shared" si="22"/>
        <v>4.9500000000000002E-2</v>
      </c>
      <c r="Q64" s="2260">
        <f t="shared" si="22"/>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0"/>
        <v>165</v>
      </c>
      <c r="E65" s="2217">
        <v>254</v>
      </c>
      <c r="F65" s="2218">
        <v>148</v>
      </c>
      <c r="G65" s="4067">
        <v>2007</v>
      </c>
      <c r="H65" s="2262">
        <v>4</v>
      </c>
      <c r="I65" s="2262">
        <v>5.51</v>
      </c>
      <c r="J65" s="2262">
        <v>4.8899999999999997</v>
      </c>
      <c r="K65" s="2262">
        <v>6.43</v>
      </c>
      <c r="L65" s="2263">
        <v>5.36</v>
      </c>
      <c r="N65" s="2264">
        <f t="shared" ref="N65:O68" si="38">B65/B66-1</f>
        <v>4.1339718365245526E-2</v>
      </c>
      <c r="O65" s="2265">
        <f t="shared" si="38"/>
        <v>4.0324492593776018E-2</v>
      </c>
      <c r="P65" s="2265">
        <f t="shared" ref="P65:Q68" si="39">E65/E66-1</f>
        <v>6.1625555347990968E-2</v>
      </c>
      <c r="Q65" s="2265">
        <f t="shared" si="39"/>
        <v>4.6757569250590603E-2</v>
      </c>
      <c r="R65" s="2206"/>
      <c r="S65" s="2219"/>
      <c r="T65" s="2220"/>
      <c r="U65" s="2220"/>
      <c r="V65" s="2220"/>
      <c r="X65" s="2220"/>
      <c r="Y65" s="2220"/>
      <c r="Z65" s="2220"/>
    </row>
    <row r="66" spans="1:26">
      <c r="A66" s="2202" t="s">
        <v>490</v>
      </c>
      <c r="B66" s="2203">
        <f t="shared" ref="B66:C68" si="40">B67+(B$65-B$69)*I66/SUM(I$65:I$68)</f>
        <v>180.5366651097618</v>
      </c>
      <c r="C66" s="2203">
        <f t="shared" si="40"/>
        <v>158.60435967302453</v>
      </c>
      <c r="D66" s="2203">
        <f t="shared" si="20"/>
        <v>158.60435967302453</v>
      </c>
      <c r="E66" s="2203">
        <f t="shared" ref="E66:F68" si="41">E67+(E$65-E$69)*K66/SUM(K$65:K$68)</f>
        <v>239.25573260785075</v>
      </c>
      <c r="F66" s="2203">
        <f t="shared" si="41"/>
        <v>141.38899430740037</v>
      </c>
      <c r="G66" s="4068">
        <v>2007</v>
      </c>
      <c r="H66" s="2228">
        <v>3</v>
      </c>
      <c r="I66" s="2228">
        <v>8.65</v>
      </c>
      <c r="J66" s="2228">
        <v>8.06</v>
      </c>
      <c r="K66" s="2228">
        <v>9.94</v>
      </c>
      <c r="L66" s="2229">
        <v>5.8</v>
      </c>
      <c r="N66" s="2264">
        <f t="shared" si="38"/>
        <v>6.940217571740015E-2</v>
      </c>
      <c r="O66" s="2265">
        <f t="shared" si="38"/>
        <v>7.1197482471153428E-2</v>
      </c>
      <c r="P66" s="2265">
        <f t="shared" si="39"/>
        <v>0.10529679922579582</v>
      </c>
      <c r="Q66" s="2265">
        <f t="shared" si="39"/>
        <v>5.3292245059512133E-2</v>
      </c>
      <c r="R66" s="2206"/>
      <c r="S66" s="2205"/>
      <c r="T66" s="2190"/>
      <c r="U66" s="2190"/>
      <c r="V66" s="2190"/>
      <c r="X66" s="2266"/>
      <c r="Y66" s="2266"/>
      <c r="Z66" s="2266"/>
    </row>
    <row r="67" spans="1:26">
      <c r="A67" s="2202" t="s">
        <v>491</v>
      </c>
      <c r="B67" s="2203">
        <f t="shared" si="40"/>
        <v>168.82017748715555</v>
      </c>
      <c r="C67" s="2203">
        <f t="shared" si="40"/>
        <v>148.06267029972753</v>
      </c>
      <c r="D67" s="2203">
        <f t="shared" si="20"/>
        <v>148.06267029972753</v>
      </c>
      <c r="E67" s="2203">
        <f t="shared" si="41"/>
        <v>216.46288379323747</v>
      </c>
      <c r="F67" s="2203">
        <f t="shared" si="41"/>
        <v>134.23529411764704</v>
      </c>
      <c r="G67" s="4068">
        <v>2007</v>
      </c>
      <c r="H67" s="2215">
        <v>2</v>
      </c>
      <c r="I67" s="2215">
        <v>3.67</v>
      </c>
      <c r="J67" s="2215">
        <v>2.3199999999999998</v>
      </c>
      <c r="K67" s="2215">
        <v>5.0199999999999996</v>
      </c>
      <c r="L67" s="2216">
        <v>6.71</v>
      </c>
      <c r="N67" s="2264">
        <f t="shared" si="38"/>
        <v>3.0339138143848032E-2</v>
      </c>
      <c r="O67" s="2265">
        <f t="shared" si="38"/>
        <v>2.0922341588790472E-2</v>
      </c>
      <c r="P67" s="2265">
        <f t="shared" si="39"/>
        <v>5.6164796592717003E-2</v>
      </c>
      <c r="Q67" s="2265">
        <f t="shared" si="39"/>
        <v>6.5704536723887319E-2</v>
      </c>
      <c r="R67" s="2206"/>
      <c r="S67" s="2205"/>
      <c r="T67" s="2190"/>
      <c r="U67" s="2190"/>
      <c r="V67" s="2190"/>
      <c r="X67" s="2266"/>
      <c r="Y67" s="2266"/>
      <c r="Z67" s="2266"/>
    </row>
    <row r="68" spans="1:26">
      <c r="A68" s="2202" t="s">
        <v>492</v>
      </c>
      <c r="B68" s="2203">
        <f t="shared" si="40"/>
        <v>163.84913591779542</v>
      </c>
      <c r="C68" s="2203">
        <f t="shared" si="40"/>
        <v>145.0283378746594</v>
      </c>
      <c r="D68" s="2203">
        <f t="shared" si="20"/>
        <v>145.0283378746594</v>
      </c>
      <c r="E68" s="2203">
        <f t="shared" si="41"/>
        <v>204.95180722891567</v>
      </c>
      <c r="F68" s="2203">
        <f t="shared" si="41"/>
        <v>125.95920303605313</v>
      </c>
      <c r="G68" s="4069">
        <v>2007</v>
      </c>
      <c r="H68" s="2204">
        <v>1</v>
      </c>
      <c r="I68" s="2204">
        <v>3.58</v>
      </c>
      <c r="J68" s="2204">
        <v>3.08</v>
      </c>
      <c r="K68" s="2204">
        <v>4.34</v>
      </c>
      <c r="L68" s="2210">
        <v>3.21</v>
      </c>
      <c r="N68" s="2267">
        <f t="shared" si="38"/>
        <v>3.0497710174814063E-2</v>
      </c>
      <c r="O68" s="2268">
        <f t="shared" si="38"/>
        <v>2.8569772160704998E-2</v>
      </c>
      <c r="P68" s="2268">
        <f t="shared" si="39"/>
        <v>5.1034908866234296E-2</v>
      </c>
      <c r="Q68" s="2268">
        <f t="shared" si="39"/>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0"/>
        <v>141</v>
      </c>
      <c r="E69" s="2231">
        <v>195</v>
      </c>
      <c r="F69" s="2232">
        <v>122</v>
      </c>
      <c r="G69" s="4067">
        <v>2006</v>
      </c>
      <c r="H69" s="2223">
        <v>4</v>
      </c>
      <c r="I69" s="2223">
        <v>3.79</v>
      </c>
      <c r="J69" s="2223">
        <v>2.21</v>
      </c>
      <c r="K69" s="2223">
        <v>5.65</v>
      </c>
      <c r="L69" s="2224">
        <v>5.41</v>
      </c>
      <c r="N69" s="2264">
        <f t="shared" ref="N69:O72" si="42">I69/SUM(I$69:I$72)*(B$69/B$73-1)</f>
        <v>7.245466462748526E-2</v>
      </c>
      <c r="O69" s="2265">
        <f t="shared" si="42"/>
        <v>2.3237230038062766E-2</v>
      </c>
      <c r="P69" s="2265">
        <f t="shared" ref="P69:Q72" si="43">K69/SUM(K$69:K$72)*(E$69/E$73-1)</f>
        <v>0.16146893866323722</v>
      </c>
      <c r="Q69" s="2265">
        <f t="shared" si="43"/>
        <v>5.0755230321793784E-2</v>
      </c>
      <c r="R69" s="2206"/>
      <c r="S69" s="2219"/>
      <c r="T69" s="2220"/>
      <c r="U69" s="2220"/>
      <c r="V69" s="2220"/>
      <c r="X69" s="2266"/>
      <c r="Y69" s="2266"/>
      <c r="Z69" s="2266"/>
    </row>
    <row r="70" spans="1:26">
      <c r="A70" s="2202" t="s">
        <v>494</v>
      </c>
      <c r="B70" s="2203">
        <f t="shared" ref="B70:C72" si="44">B71+(B$69-B$73)*I70/SUM(I$69:I$72)</f>
        <v>149.00125628140702</v>
      </c>
      <c r="C70" s="2203">
        <f t="shared" si="44"/>
        <v>137.95592286501378</v>
      </c>
      <c r="D70" s="2203">
        <f t="shared" si="20"/>
        <v>137.95592286501378</v>
      </c>
      <c r="E70" s="2203">
        <f t="shared" ref="E70:F72" si="45">E71+(E$69-E$73)*K70/SUM(K$69:K$72)</f>
        <v>169.97231450719823</v>
      </c>
      <c r="F70" s="2203">
        <f t="shared" si="45"/>
        <v>116.21390374331551</v>
      </c>
      <c r="G70" s="4068">
        <v>2006</v>
      </c>
      <c r="H70" s="2228">
        <v>3</v>
      </c>
      <c r="I70" s="2228">
        <v>0.92</v>
      </c>
      <c r="J70" s="2228">
        <v>1.08</v>
      </c>
      <c r="K70" s="2228">
        <v>0.73</v>
      </c>
      <c r="L70" s="2229">
        <v>1.08</v>
      </c>
      <c r="N70" s="2264">
        <f t="shared" si="42"/>
        <v>1.7587939698492462E-2</v>
      </c>
      <c r="O70" s="2265">
        <f t="shared" si="42"/>
        <v>1.1355750425840628E-2</v>
      </c>
      <c r="P70" s="2265">
        <f t="shared" si="43"/>
        <v>2.0862358446754544E-2</v>
      </c>
      <c r="Q70" s="2265">
        <f t="shared" si="43"/>
        <v>1.0132282578103011E-2</v>
      </c>
      <c r="R70" s="2206"/>
      <c r="S70" s="2205"/>
      <c r="T70" s="2190"/>
      <c r="U70" s="2190"/>
      <c r="V70" s="2190"/>
      <c r="X70" s="2266"/>
      <c r="Y70" s="2266"/>
      <c r="Z70" s="2266"/>
    </row>
    <row r="71" spans="1:26">
      <c r="A71" s="2202" t="s">
        <v>495</v>
      </c>
      <c r="B71" s="2203">
        <f t="shared" si="44"/>
        <v>146.57412060301507</v>
      </c>
      <c r="C71" s="2203">
        <f t="shared" si="44"/>
        <v>136.46831955922866</v>
      </c>
      <c r="D71" s="2203">
        <f t="shared" si="20"/>
        <v>136.46831955922866</v>
      </c>
      <c r="E71" s="2203">
        <f t="shared" si="45"/>
        <v>166.73864894795128</v>
      </c>
      <c r="F71" s="2203">
        <f t="shared" si="45"/>
        <v>115.05882352941177</v>
      </c>
      <c r="G71" s="4068">
        <v>2006</v>
      </c>
      <c r="H71" s="2215">
        <v>2</v>
      </c>
      <c r="I71" s="2215">
        <v>0.96</v>
      </c>
      <c r="J71" s="2215">
        <v>0.25</v>
      </c>
      <c r="K71" s="2215">
        <v>1.9</v>
      </c>
      <c r="L71" s="2216">
        <v>0.95</v>
      </c>
      <c r="N71" s="2264">
        <f t="shared" si="42"/>
        <v>1.8352632728861701E-2</v>
      </c>
      <c r="O71" s="2265">
        <f t="shared" si="42"/>
        <v>2.6286459319075526E-3</v>
      </c>
      <c r="P71" s="2265">
        <f t="shared" si="43"/>
        <v>5.4299289107991269E-2</v>
      </c>
      <c r="Q71" s="2265">
        <f t="shared" si="43"/>
        <v>8.9126559714794995E-3</v>
      </c>
      <c r="R71" s="2206"/>
      <c r="S71" s="2205"/>
      <c r="T71" s="2190"/>
      <c r="U71" s="2190"/>
      <c r="V71" s="2190"/>
      <c r="X71" s="2266"/>
      <c r="Y71" s="2266"/>
      <c r="Z71" s="2266"/>
    </row>
    <row r="72" spans="1:26">
      <c r="A72" s="2202" t="s">
        <v>496</v>
      </c>
      <c r="B72" s="2203">
        <f t="shared" si="44"/>
        <v>144.04145728643215</v>
      </c>
      <c r="C72" s="2203">
        <f t="shared" si="44"/>
        <v>136.12396694214877</v>
      </c>
      <c r="D72" s="2203">
        <f t="shared" si="20"/>
        <v>136.12396694214877</v>
      </c>
      <c r="E72" s="2203">
        <f t="shared" si="45"/>
        <v>158.32225913621264</v>
      </c>
      <c r="F72" s="2203">
        <f t="shared" si="45"/>
        <v>114.04278074866311</v>
      </c>
      <c r="G72" s="4069">
        <v>2006</v>
      </c>
      <c r="H72" s="2204">
        <v>1</v>
      </c>
      <c r="I72" s="2204">
        <v>2.29</v>
      </c>
      <c r="J72" s="2204">
        <v>3.72</v>
      </c>
      <c r="K72" s="2204">
        <v>0.75</v>
      </c>
      <c r="L72" s="2210">
        <v>0.04</v>
      </c>
      <c r="N72" s="2267">
        <f t="shared" si="42"/>
        <v>4.3778675988638847E-2</v>
      </c>
      <c r="O72" s="2268">
        <f t="shared" si="42"/>
        <v>3.9114251466784385E-2</v>
      </c>
      <c r="P72" s="2268">
        <f t="shared" si="43"/>
        <v>2.1433929911049188E-2</v>
      </c>
      <c r="Q72" s="2268">
        <f t="shared" si="43"/>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0"/>
        <v>131</v>
      </c>
      <c r="E73" s="2231">
        <v>155</v>
      </c>
      <c r="F73" s="2232">
        <v>114</v>
      </c>
      <c r="G73" s="4067">
        <v>2005</v>
      </c>
      <c r="H73" s="2223">
        <v>4</v>
      </c>
      <c r="I73" s="2223">
        <v>3.29</v>
      </c>
      <c r="J73" s="2223">
        <v>1.44</v>
      </c>
      <c r="K73" s="2223">
        <v>0.66</v>
      </c>
      <c r="L73" s="2224">
        <v>7.78</v>
      </c>
      <c r="N73" s="2264">
        <f t="shared" ref="N73:O76" si="46">I73/SUM(I$73:I$76)*(B$73/B$77-1)</f>
        <v>9.9404603216919935E-2</v>
      </c>
      <c r="O73" s="2265">
        <f t="shared" si="46"/>
        <v>4.7636550760861554E-2</v>
      </c>
      <c r="P73" s="2265">
        <f t="shared" ref="P73:Q76" si="47">K73/SUM(K$73:K$76)*(E$73/E$77-1)</f>
        <v>8.3756345177664976E-2</v>
      </c>
      <c r="Q73" s="2265">
        <f t="shared" si="47"/>
        <v>5.2148766661559584E-2</v>
      </c>
      <c r="R73" s="2206"/>
      <c r="S73" s="2219"/>
      <c r="T73" s="2220"/>
      <c r="U73" s="2220"/>
      <c r="V73" s="2220"/>
      <c r="X73" s="2266"/>
      <c r="Y73" s="2266"/>
      <c r="Z73" s="2266"/>
    </row>
    <row r="74" spans="1:26">
      <c r="A74" s="2202" t="s">
        <v>498</v>
      </c>
      <c r="B74" s="2203">
        <f t="shared" ref="B74:C76" si="48">B75+(B$73-B$77)*I74/SUM(I$73:I$76)</f>
        <v>125.9720430107527</v>
      </c>
      <c r="C74" s="2203">
        <f t="shared" si="48"/>
        <v>125.1883408071749</v>
      </c>
      <c r="D74" s="2203">
        <f t="shared" si="20"/>
        <v>125.1883408071749</v>
      </c>
      <c r="E74" s="2203">
        <f t="shared" ref="E74:F76" si="49">E75+(E$73-E$77)*K74/SUM(K$73:K$76)</f>
        <v>144.61421319796952</v>
      </c>
      <c r="F74" s="2203">
        <f t="shared" si="49"/>
        <v>108.42008196721311</v>
      </c>
      <c r="G74" s="4068">
        <v>2005</v>
      </c>
      <c r="H74" s="2228">
        <v>3</v>
      </c>
      <c r="I74" s="2228">
        <v>0.46</v>
      </c>
      <c r="J74" s="2228">
        <v>0.32</v>
      </c>
      <c r="K74" s="2228">
        <v>0.42</v>
      </c>
      <c r="L74" s="2229">
        <v>0.64</v>
      </c>
      <c r="N74" s="2264">
        <f t="shared" si="46"/>
        <v>1.3898515951301874E-2</v>
      </c>
      <c r="O74" s="2265">
        <f t="shared" si="46"/>
        <v>1.0585900169080346E-2</v>
      </c>
      <c r="P74" s="2265">
        <f t="shared" si="47"/>
        <v>5.3299492385786795E-2</v>
      </c>
      <c r="Q74" s="2265">
        <f t="shared" si="47"/>
        <v>4.2898728359123568E-3</v>
      </c>
      <c r="R74" s="2206"/>
      <c r="S74" s="2205"/>
      <c r="T74" s="2190"/>
      <c r="U74" s="2190"/>
      <c r="V74" s="2190"/>
      <c r="X74" s="2266"/>
      <c r="Y74" s="2266"/>
      <c r="Z74" s="2266"/>
    </row>
    <row r="75" spans="1:26">
      <c r="A75" s="2202" t="s">
        <v>499</v>
      </c>
      <c r="B75" s="2203">
        <f t="shared" si="48"/>
        <v>124.29032258064517</v>
      </c>
      <c r="C75" s="2203">
        <f t="shared" si="48"/>
        <v>123.8968609865471</v>
      </c>
      <c r="D75" s="2203">
        <f t="shared" si="20"/>
        <v>123.8968609865471</v>
      </c>
      <c r="E75" s="2203">
        <f t="shared" si="49"/>
        <v>138.00507614213197</v>
      </c>
      <c r="F75" s="2203">
        <f t="shared" si="49"/>
        <v>107.96106557377048</v>
      </c>
      <c r="G75" s="4068">
        <v>2005</v>
      </c>
      <c r="H75" s="2215">
        <v>2</v>
      </c>
      <c r="I75" s="2215">
        <v>0.47</v>
      </c>
      <c r="J75" s="2215">
        <v>0.1</v>
      </c>
      <c r="K75" s="2215">
        <v>0.52</v>
      </c>
      <c r="L75" s="2216">
        <v>0.79</v>
      </c>
      <c r="N75" s="2264">
        <f t="shared" si="46"/>
        <v>1.420065760241713E-2</v>
      </c>
      <c r="O75" s="2265">
        <f t="shared" si="46"/>
        <v>3.3080938028376083E-3</v>
      </c>
      <c r="P75" s="2265">
        <f t="shared" si="47"/>
        <v>6.598984771573603E-2</v>
      </c>
      <c r="Q75" s="2265">
        <f t="shared" si="47"/>
        <v>5.2953117818293153E-3</v>
      </c>
      <c r="R75" s="2206"/>
      <c r="S75" s="2205"/>
      <c r="T75" s="2190"/>
      <c r="U75" s="2190"/>
      <c r="V75" s="2190"/>
      <c r="X75" s="2266"/>
      <c r="Y75" s="2266"/>
      <c r="Z75" s="2266"/>
    </row>
    <row r="76" spans="1:26">
      <c r="A76" s="2202" t="s">
        <v>500</v>
      </c>
      <c r="B76" s="2203">
        <f t="shared" si="48"/>
        <v>122.57204301075269</v>
      </c>
      <c r="C76" s="2203">
        <f t="shared" si="48"/>
        <v>123.4932735426009</v>
      </c>
      <c r="D76" s="2203">
        <f t="shared" si="20"/>
        <v>123.4932735426009</v>
      </c>
      <c r="E76" s="2203">
        <f t="shared" si="49"/>
        <v>129.82233502538071</v>
      </c>
      <c r="F76" s="2203">
        <f t="shared" si="49"/>
        <v>107.39446721311475</v>
      </c>
      <c r="G76" s="4069">
        <v>2005</v>
      </c>
      <c r="H76" s="2204">
        <v>1</v>
      </c>
      <c r="I76" s="2204">
        <v>0.43</v>
      </c>
      <c r="J76" s="2204">
        <v>0.37</v>
      </c>
      <c r="K76" s="2204">
        <v>0.37</v>
      </c>
      <c r="L76" s="2210">
        <v>0.55000000000000004</v>
      </c>
      <c r="N76" s="2267">
        <f t="shared" si="46"/>
        <v>1.2992090997956099E-2</v>
      </c>
      <c r="O76" s="2268">
        <f t="shared" si="46"/>
        <v>1.2239947070499151E-2</v>
      </c>
      <c r="P76" s="2268">
        <f t="shared" si="47"/>
        <v>4.6954314720812178E-2</v>
      </c>
      <c r="Q76" s="2268">
        <f t="shared" si="47"/>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0"/>
        <v>122</v>
      </c>
      <c r="E77" s="2252">
        <v>124</v>
      </c>
      <c r="F77" s="2253">
        <v>107</v>
      </c>
      <c r="G77" s="4067">
        <v>2004</v>
      </c>
      <c r="H77" s="2223">
        <v>4</v>
      </c>
      <c r="I77" s="2223">
        <v>0.33</v>
      </c>
      <c r="J77" s="2223">
        <v>0.5</v>
      </c>
      <c r="K77" s="2223">
        <v>0.5</v>
      </c>
      <c r="L77" s="2224">
        <v>0</v>
      </c>
      <c r="N77" s="2264">
        <f t="shared" ref="N77:O80" si="50">I77/SUM(I$77:I$80)*(B$77/B$81-1)</f>
        <v>1.3391770148526898E-2</v>
      </c>
      <c r="O77" s="2265">
        <f t="shared" si="50"/>
        <v>1.063264221158958E-2</v>
      </c>
      <c r="P77" s="2265">
        <f t="shared" ref="P77:Q80" si="51">K77/SUM(K$77:K$80)*(E$77/E$81-1)</f>
        <v>2.2244466688911134E-2</v>
      </c>
      <c r="Q77" s="2265">
        <f t="shared" si="51"/>
        <v>0</v>
      </c>
      <c r="R77" s="2206"/>
      <c r="S77" s="2219"/>
      <c r="T77" s="2220"/>
      <c r="U77" s="2220"/>
      <c r="V77" s="2220"/>
      <c r="X77" s="2266"/>
      <c r="Y77" s="2266"/>
      <c r="Z77" s="2266"/>
    </row>
    <row r="78" spans="1:26">
      <c r="A78" s="2202" t="s">
        <v>502</v>
      </c>
      <c r="B78" s="2203">
        <f t="shared" ref="B78:C80" si="52">B79+(B$77-B$81)*I78/SUM(I$77:I$80)</f>
        <v>119.51351351351352</v>
      </c>
      <c r="C78" s="2203">
        <f t="shared" si="52"/>
        <v>120.7878787878788</v>
      </c>
      <c r="D78" s="2203">
        <f t="shared" si="20"/>
        <v>120.7878787878788</v>
      </c>
      <c r="E78" s="2203">
        <f t="shared" ref="E78:F80" si="53">E79+(E$77-E$81)*K78/SUM(K$77:K$80)</f>
        <v>121.5975975975976</v>
      </c>
      <c r="F78" s="2203">
        <f t="shared" si="53"/>
        <v>107</v>
      </c>
      <c r="G78" s="4068">
        <v>2004</v>
      </c>
      <c r="H78" s="2228">
        <v>3</v>
      </c>
      <c r="I78" s="2228">
        <v>0.56000000000000005</v>
      </c>
      <c r="J78" s="2228">
        <v>0.8</v>
      </c>
      <c r="K78" s="2228">
        <v>0.83</v>
      </c>
      <c r="L78" s="2229">
        <v>0.06</v>
      </c>
      <c r="N78" s="2264">
        <f t="shared" si="50"/>
        <v>2.2725428130833527E-2</v>
      </c>
      <c r="O78" s="2265">
        <f t="shared" si="50"/>
        <v>1.7012227538543329E-2</v>
      </c>
      <c r="P78" s="2265">
        <f t="shared" si="51"/>
        <v>3.6925814703592477E-2</v>
      </c>
      <c r="Q78" s="2265">
        <f t="shared" si="51"/>
        <v>2.8846153846153744E-2</v>
      </c>
      <c r="R78" s="2206"/>
      <c r="S78" s="2205"/>
      <c r="T78" s="2190"/>
      <c r="U78" s="2190"/>
      <c r="V78" s="2190"/>
      <c r="X78" s="2266"/>
      <c r="Y78" s="2266"/>
      <c r="Z78" s="2266"/>
    </row>
    <row r="79" spans="1:26">
      <c r="A79" s="2202" t="s">
        <v>503</v>
      </c>
      <c r="B79" s="2203">
        <f t="shared" si="52"/>
        <v>116.99099099099099</v>
      </c>
      <c r="C79" s="2203">
        <f t="shared" si="52"/>
        <v>118.84848484848486</v>
      </c>
      <c r="D79" s="2203">
        <f t="shared" si="20"/>
        <v>118.84848484848486</v>
      </c>
      <c r="E79" s="2203">
        <f t="shared" si="53"/>
        <v>117.60960960960961</v>
      </c>
      <c r="F79" s="2203">
        <f t="shared" si="53"/>
        <v>104</v>
      </c>
      <c r="G79" s="4068">
        <v>2004</v>
      </c>
      <c r="H79" s="2215">
        <v>2</v>
      </c>
      <c r="I79" s="2215">
        <v>1</v>
      </c>
      <c r="J79" s="2215">
        <v>1.5</v>
      </c>
      <c r="K79" s="2215">
        <v>1.5</v>
      </c>
      <c r="L79" s="2216">
        <v>0</v>
      </c>
      <c r="N79" s="2264">
        <f t="shared" si="50"/>
        <v>4.0581121662202721E-2</v>
      </c>
      <c r="O79" s="2265">
        <f t="shared" si="50"/>
        <v>3.1897926634768738E-2</v>
      </c>
      <c r="P79" s="2265">
        <f t="shared" si="51"/>
        <v>6.6733400066733395E-2</v>
      </c>
      <c r="Q79" s="2265">
        <f t="shared" si="51"/>
        <v>0</v>
      </c>
      <c r="R79" s="2206"/>
      <c r="S79" s="2205"/>
      <c r="T79" s="2190"/>
      <c r="U79" s="2190"/>
      <c r="V79" s="2190"/>
      <c r="X79" s="2266"/>
      <c r="Y79" s="2266"/>
      <c r="Z79" s="2266"/>
    </row>
    <row r="80" spans="1:26" s="2258" customFormat="1" ht="13.8" thickBot="1">
      <c r="A80" s="2202" t="s">
        <v>504</v>
      </c>
      <c r="B80" s="2255">
        <f t="shared" si="52"/>
        <v>112.48648648648648</v>
      </c>
      <c r="C80" s="2255">
        <f t="shared" si="52"/>
        <v>115.21212121212122</v>
      </c>
      <c r="D80" s="2255">
        <f t="shared" si="20"/>
        <v>115.21212121212122</v>
      </c>
      <c r="E80" s="2255">
        <f t="shared" si="53"/>
        <v>110.4024024024024</v>
      </c>
      <c r="F80" s="2255">
        <f t="shared" si="53"/>
        <v>104</v>
      </c>
      <c r="G80" s="4069">
        <v>2004</v>
      </c>
      <c r="H80" s="2256">
        <v>1</v>
      </c>
      <c r="I80" s="2256">
        <v>0.33</v>
      </c>
      <c r="J80" s="2256">
        <v>0.5</v>
      </c>
      <c r="K80" s="2256">
        <v>0.5</v>
      </c>
      <c r="L80" s="2257">
        <v>0</v>
      </c>
      <c r="N80" s="2269">
        <f t="shared" si="50"/>
        <v>1.3391770148526898E-2</v>
      </c>
      <c r="O80" s="2270">
        <f t="shared" si="50"/>
        <v>1.063264221158958E-2</v>
      </c>
      <c r="P80" s="2270">
        <f t="shared" si="51"/>
        <v>2.2244466688911134E-2</v>
      </c>
      <c r="Q80" s="2270">
        <f t="shared" si="51"/>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0"/>
        <v>114</v>
      </c>
      <c r="E81" s="2272">
        <v>108</v>
      </c>
      <c r="F81" s="2273">
        <v>104</v>
      </c>
      <c r="G81" s="406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54">B83+(B$81-B$85)/4</f>
        <v>109.75</v>
      </c>
      <c r="C82" s="2276">
        <f t="shared" si="54"/>
        <v>112.25</v>
      </c>
      <c r="D82" s="2276">
        <f t="shared" si="20"/>
        <v>112.25</v>
      </c>
      <c r="E82" s="2276">
        <f t="shared" ref="E82:F84" si="55">E83+(E$81-E$85)/4</f>
        <v>107.25</v>
      </c>
      <c r="F82" s="2276">
        <f t="shared" si="55"/>
        <v>103.5</v>
      </c>
      <c r="G82" s="4068">
        <v>2003</v>
      </c>
      <c r="H82" s="2228">
        <v>3</v>
      </c>
      <c r="I82" s="2274"/>
      <c r="J82" s="2274"/>
      <c r="K82" s="2274"/>
      <c r="L82" s="2274"/>
      <c r="X82" s="2266"/>
      <c r="Y82" s="2266"/>
      <c r="Z82" s="2266"/>
    </row>
    <row r="83" spans="1:26">
      <c r="A83" s="2202" t="s">
        <v>507</v>
      </c>
      <c r="B83" s="2276">
        <f t="shared" si="54"/>
        <v>108.5</v>
      </c>
      <c r="C83" s="2276">
        <f t="shared" si="54"/>
        <v>110.5</v>
      </c>
      <c r="D83" s="2276">
        <f t="shared" si="20"/>
        <v>110.5</v>
      </c>
      <c r="E83" s="2276">
        <f t="shared" si="55"/>
        <v>106.5</v>
      </c>
      <c r="F83" s="2276">
        <f t="shared" si="55"/>
        <v>103</v>
      </c>
      <c r="G83" s="4068">
        <v>2003</v>
      </c>
      <c r="H83" s="2215">
        <v>2</v>
      </c>
      <c r="I83" s="2274"/>
      <c r="J83" s="2274"/>
      <c r="K83" s="2274"/>
      <c r="L83" s="2274"/>
      <c r="X83" s="2266"/>
      <c r="Y83" s="2266"/>
      <c r="Z83" s="2266"/>
    </row>
    <row r="84" spans="1:26" ht="13.8" thickBot="1">
      <c r="A84" s="2202" t="s">
        <v>508</v>
      </c>
      <c r="B84" s="2276">
        <f t="shared" si="54"/>
        <v>107.25</v>
      </c>
      <c r="C84" s="2276">
        <f t="shared" si="54"/>
        <v>108.75</v>
      </c>
      <c r="D84" s="2276">
        <f t="shared" si="20"/>
        <v>108.75</v>
      </c>
      <c r="E84" s="2276">
        <f t="shared" si="55"/>
        <v>105.75</v>
      </c>
      <c r="F84" s="2276">
        <f t="shared" si="55"/>
        <v>102.5</v>
      </c>
      <c r="G84" s="4069">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0"/>
        <v>107</v>
      </c>
      <c r="E85" s="2278">
        <v>105</v>
      </c>
      <c r="F85" s="2279">
        <v>102</v>
      </c>
      <c r="G85" s="406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56">B87+(B$85-B$89)/4</f>
        <v>105</v>
      </c>
      <c r="C86" s="2276">
        <f t="shared" si="56"/>
        <v>106</v>
      </c>
      <c r="D86" s="2276">
        <f t="shared" si="20"/>
        <v>106</v>
      </c>
      <c r="E86" s="2276">
        <f t="shared" ref="E86:F88" si="57">E87+(E$85-E$89)/4</f>
        <v>104.5</v>
      </c>
      <c r="F86" s="2276">
        <f t="shared" si="57"/>
        <v>101.5</v>
      </c>
      <c r="G86" s="4068">
        <v>2002</v>
      </c>
      <c r="H86" s="2228">
        <v>3</v>
      </c>
      <c r="I86" s="2274"/>
      <c r="J86" s="2274"/>
      <c r="K86" s="2274"/>
      <c r="L86" s="2274"/>
      <c r="X86" s="2266"/>
      <c r="Y86" s="2266"/>
      <c r="Z86" s="2266"/>
    </row>
    <row r="87" spans="1:26">
      <c r="A87" s="2202" t="s">
        <v>511</v>
      </c>
      <c r="B87" s="2276">
        <f t="shared" si="56"/>
        <v>104</v>
      </c>
      <c r="C87" s="2276">
        <f t="shared" si="56"/>
        <v>105</v>
      </c>
      <c r="D87" s="2276">
        <f t="shared" si="20"/>
        <v>105</v>
      </c>
      <c r="E87" s="2276">
        <f t="shared" si="57"/>
        <v>104</v>
      </c>
      <c r="F87" s="2276">
        <f t="shared" si="57"/>
        <v>101</v>
      </c>
      <c r="G87" s="4068">
        <v>2002</v>
      </c>
      <c r="H87" s="2215">
        <v>2</v>
      </c>
      <c r="I87" s="2274"/>
      <c r="J87" s="2274"/>
      <c r="K87" s="2274"/>
      <c r="L87" s="2274"/>
      <c r="X87" s="2266"/>
      <c r="Y87" s="2266"/>
      <c r="Z87" s="2266"/>
    </row>
    <row r="88" spans="1:26" s="2239" customFormat="1" ht="13.8" thickBot="1">
      <c r="A88" s="2235" t="s">
        <v>512</v>
      </c>
      <c r="B88" s="2242">
        <f t="shared" si="56"/>
        <v>103</v>
      </c>
      <c r="C88" s="2242">
        <f t="shared" si="56"/>
        <v>104</v>
      </c>
      <c r="D88" s="2242">
        <f t="shared" si="20"/>
        <v>104</v>
      </c>
      <c r="E88" s="2242">
        <f t="shared" si="57"/>
        <v>103.5</v>
      </c>
      <c r="F88" s="2242">
        <f t="shared" si="57"/>
        <v>100.5</v>
      </c>
      <c r="G88" s="4069">
        <v>2002</v>
      </c>
      <c r="H88" s="2280">
        <v>1</v>
      </c>
      <c r="I88" s="2281"/>
      <c r="J88" s="2281"/>
      <c r="K88" s="2281"/>
      <c r="L88" s="2281"/>
      <c r="N88" s="2282"/>
      <c r="S88" s="2282"/>
      <c r="X88" s="2283"/>
      <c r="Y88" s="2283"/>
      <c r="Z88" s="2283"/>
    </row>
    <row r="89" spans="1:26" ht="13.8" thickBot="1">
      <c r="B89" s="2284">
        <v>102</v>
      </c>
      <c r="C89" s="2285">
        <v>103</v>
      </c>
      <c r="D89" s="2285">
        <f t="shared" si="20"/>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ColWidth="8.77734375" defaultRowHeight="13.8"/>
  <cols>
    <col min="1" max="1" width="4.77734375" style="1239" customWidth="1"/>
    <col min="2" max="2" width="13.109375" style="1245" customWidth="1"/>
    <col min="3" max="3" width="15.6640625" style="1245" customWidth="1"/>
    <col min="4" max="4" width="9.33203125" style="1245" bestFit="1" customWidth="1"/>
    <col min="5" max="5" width="13.44140625" style="1245" customWidth="1"/>
    <col min="6" max="6" width="8.77734375" style="1245"/>
    <col min="7" max="7" width="9.33203125" style="1245" bestFit="1" customWidth="1"/>
    <col min="8" max="8" width="12.109375" style="1245" customWidth="1"/>
    <col min="9" max="9" width="8.77734375" style="1245"/>
    <col min="10" max="10" width="9.33203125" style="1245" bestFit="1" customWidth="1"/>
    <col min="11" max="11" width="4" style="1239" customWidth="1"/>
    <col min="12" max="12" width="5.109375" style="1245" customWidth="1"/>
    <col min="13" max="13" width="13.77734375" style="1245" customWidth="1"/>
    <col min="14" max="256" width="8.77734375" style="1245"/>
    <col min="257" max="257" width="4.77734375" style="1236" customWidth="1"/>
    <col min="258" max="258" width="13.109375" style="1236" customWidth="1"/>
    <col min="259" max="259" width="15.6640625" style="1236" customWidth="1"/>
    <col min="260" max="260" width="9.33203125" style="1236" bestFit="1" customWidth="1"/>
    <col min="261" max="261" width="13.44140625" style="1236" customWidth="1"/>
    <col min="262" max="262" width="8.77734375" style="1236"/>
    <col min="263" max="263" width="9.33203125" style="1236" bestFit="1" customWidth="1"/>
    <col min="264" max="265" width="8.77734375" style="1236"/>
    <col min="266" max="266" width="9.33203125" style="1236" bestFit="1" customWidth="1"/>
    <col min="267" max="267" width="4" style="1236" customWidth="1"/>
    <col min="268" max="268" width="5.109375" style="1236" customWidth="1"/>
    <col min="269" max="269" width="13.77734375" style="1236" customWidth="1"/>
    <col min="270" max="512" width="8.77734375" style="1236"/>
    <col min="513" max="513" width="4.77734375" style="1236" customWidth="1"/>
    <col min="514" max="514" width="13.109375" style="1236" customWidth="1"/>
    <col min="515" max="515" width="15.6640625" style="1236" customWidth="1"/>
    <col min="516" max="516" width="9.33203125" style="1236" bestFit="1" customWidth="1"/>
    <col min="517" max="517" width="13.44140625" style="1236" customWidth="1"/>
    <col min="518" max="518" width="8.77734375" style="1236"/>
    <col min="519" max="519" width="9.33203125" style="1236" bestFit="1" customWidth="1"/>
    <col min="520" max="521" width="8.77734375" style="1236"/>
    <col min="522" max="522" width="9.33203125" style="1236" bestFit="1" customWidth="1"/>
    <col min="523" max="523" width="4" style="1236" customWidth="1"/>
    <col min="524" max="524" width="5.109375" style="1236" customWidth="1"/>
    <col min="525" max="525" width="13.77734375" style="1236" customWidth="1"/>
    <col min="526" max="768" width="8.77734375" style="1236"/>
    <col min="769" max="769" width="4.77734375" style="1236" customWidth="1"/>
    <col min="770" max="770" width="13.109375" style="1236" customWidth="1"/>
    <col min="771" max="771" width="15.6640625" style="1236" customWidth="1"/>
    <col min="772" max="772" width="9.33203125" style="1236" bestFit="1" customWidth="1"/>
    <col min="773" max="773" width="13.44140625" style="1236" customWidth="1"/>
    <col min="774" max="774" width="8.77734375" style="1236"/>
    <col min="775" max="775" width="9.33203125" style="1236" bestFit="1" customWidth="1"/>
    <col min="776" max="777" width="8.77734375" style="1236"/>
    <col min="778" max="778" width="9.33203125" style="1236" bestFit="1" customWidth="1"/>
    <col min="779" max="779" width="4" style="1236" customWidth="1"/>
    <col min="780" max="780" width="5.109375" style="1236" customWidth="1"/>
    <col min="781" max="781" width="13.77734375" style="1236" customWidth="1"/>
    <col min="782" max="1024" width="8.77734375" style="1236"/>
    <col min="1025" max="1025" width="4.77734375" style="1236" customWidth="1"/>
    <col min="1026" max="1026" width="13.109375" style="1236" customWidth="1"/>
    <col min="1027" max="1027" width="15.6640625" style="1236" customWidth="1"/>
    <col min="1028" max="1028" width="9.33203125" style="1236" bestFit="1" customWidth="1"/>
    <col min="1029" max="1029" width="13.44140625" style="1236" customWidth="1"/>
    <col min="1030" max="1030" width="8.77734375" style="1236"/>
    <col min="1031" max="1031" width="9.33203125" style="1236" bestFit="1" customWidth="1"/>
    <col min="1032" max="1033" width="8.77734375" style="1236"/>
    <col min="1034" max="1034" width="9.33203125" style="1236" bestFit="1" customWidth="1"/>
    <col min="1035" max="1035" width="4" style="1236" customWidth="1"/>
    <col min="1036" max="1036" width="5.109375" style="1236" customWidth="1"/>
    <col min="1037" max="1037" width="13.77734375" style="1236" customWidth="1"/>
    <col min="1038" max="1280" width="8.77734375" style="1236"/>
    <col min="1281" max="1281" width="4.77734375" style="1236" customWidth="1"/>
    <col min="1282" max="1282" width="13.109375" style="1236" customWidth="1"/>
    <col min="1283" max="1283" width="15.6640625" style="1236" customWidth="1"/>
    <col min="1284" max="1284" width="9.33203125" style="1236" bestFit="1" customWidth="1"/>
    <col min="1285" max="1285" width="13.44140625" style="1236" customWidth="1"/>
    <col min="1286" max="1286" width="8.77734375" style="1236"/>
    <col min="1287" max="1287" width="9.33203125" style="1236" bestFit="1" customWidth="1"/>
    <col min="1288" max="1289" width="8.77734375" style="1236"/>
    <col min="1290" max="1290" width="9.33203125" style="1236" bestFit="1" customWidth="1"/>
    <col min="1291" max="1291" width="4" style="1236" customWidth="1"/>
    <col min="1292" max="1292" width="5.109375" style="1236" customWidth="1"/>
    <col min="1293" max="1293" width="13.77734375" style="1236" customWidth="1"/>
    <col min="1294" max="1536" width="8.77734375" style="1236"/>
    <col min="1537" max="1537" width="4.77734375" style="1236" customWidth="1"/>
    <col min="1538" max="1538" width="13.109375" style="1236" customWidth="1"/>
    <col min="1539" max="1539" width="15.6640625" style="1236" customWidth="1"/>
    <col min="1540" max="1540" width="9.33203125" style="1236" bestFit="1" customWidth="1"/>
    <col min="1541" max="1541" width="13.44140625" style="1236" customWidth="1"/>
    <col min="1542" max="1542" width="8.77734375" style="1236"/>
    <col min="1543" max="1543" width="9.33203125" style="1236" bestFit="1" customWidth="1"/>
    <col min="1544" max="1545" width="8.77734375" style="1236"/>
    <col min="1546" max="1546" width="9.33203125" style="1236" bestFit="1" customWidth="1"/>
    <col min="1547" max="1547" width="4" style="1236" customWidth="1"/>
    <col min="1548" max="1548" width="5.109375" style="1236" customWidth="1"/>
    <col min="1549" max="1549" width="13.77734375" style="1236" customWidth="1"/>
    <col min="1550" max="1792" width="8.77734375" style="1236"/>
    <col min="1793" max="1793" width="4.77734375" style="1236" customWidth="1"/>
    <col min="1794" max="1794" width="13.109375" style="1236" customWidth="1"/>
    <col min="1795" max="1795" width="15.6640625" style="1236" customWidth="1"/>
    <col min="1796" max="1796" width="9.33203125" style="1236" bestFit="1" customWidth="1"/>
    <col min="1797" max="1797" width="13.44140625" style="1236" customWidth="1"/>
    <col min="1798" max="1798" width="8.77734375" style="1236"/>
    <col min="1799" max="1799" width="9.33203125" style="1236" bestFit="1" customWidth="1"/>
    <col min="1800" max="1801" width="8.77734375" style="1236"/>
    <col min="1802" max="1802" width="9.33203125" style="1236" bestFit="1" customWidth="1"/>
    <col min="1803" max="1803" width="4" style="1236" customWidth="1"/>
    <col min="1804" max="1804" width="5.109375" style="1236" customWidth="1"/>
    <col min="1805" max="1805" width="13.77734375" style="1236" customWidth="1"/>
    <col min="1806" max="2048" width="8.77734375" style="1236"/>
    <col min="2049" max="2049" width="4.77734375" style="1236" customWidth="1"/>
    <col min="2050" max="2050" width="13.109375" style="1236" customWidth="1"/>
    <col min="2051" max="2051" width="15.6640625" style="1236" customWidth="1"/>
    <col min="2052" max="2052" width="9.33203125" style="1236" bestFit="1" customWidth="1"/>
    <col min="2053" max="2053" width="13.44140625" style="1236" customWidth="1"/>
    <col min="2054" max="2054" width="8.77734375" style="1236"/>
    <col min="2055" max="2055" width="9.33203125" style="1236" bestFit="1" customWidth="1"/>
    <col min="2056" max="2057" width="8.77734375" style="1236"/>
    <col min="2058" max="2058" width="9.33203125" style="1236" bestFit="1" customWidth="1"/>
    <col min="2059" max="2059" width="4" style="1236" customWidth="1"/>
    <col min="2060" max="2060" width="5.109375" style="1236" customWidth="1"/>
    <col min="2061" max="2061" width="13.77734375" style="1236" customWidth="1"/>
    <col min="2062" max="2304" width="8.77734375" style="1236"/>
    <col min="2305" max="2305" width="4.77734375" style="1236" customWidth="1"/>
    <col min="2306" max="2306" width="13.109375" style="1236" customWidth="1"/>
    <col min="2307" max="2307" width="15.6640625" style="1236" customWidth="1"/>
    <col min="2308" max="2308" width="9.33203125" style="1236" bestFit="1" customWidth="1"/>
    <col min="2309" max="2309" width="13.44140625" style="1236" customWidth="1"/>
    <col min="2310" max="2310" width="8.77734375" style="1236"/>
    <col min="2311" max="2311" width="9.33203125" style="1236" bestFit="1" customWidth="1"/>
    <col min="2312" max="2313" width="8.77734375" style="1236"/>
    <col min="2314" max="2314" width="9.33203125" style="1236" bestFit="1" customWidth="1"/>
    <col min="2315" max="2315" width="4" style="1236" customWidth="1"/>
    <col min="2316" max="2316" width="5.109375" style="1236" customWidth="1"/>
    <col min="2317" max="2317" width="13.77734375" style="1236" customWidth="1"/>
    <col min="2318" max="2560" width="8.77734375" style="1236"/>
    <col min="2561" max="2561" width="4.77734375" style="1236" customWidth="1"/>
    <col min="2562" max="2562" width="13.109375" style="1236" customWidth="1"/>
    <col min="2563" max="2563" width="15.6640625" style="1236" customWidth="1"/>
    <col min="2564" max="2564" width="9.33203125" style="1236" bestFit="1" customWidth="1"/>
    <col min="2565" max="2565" width="13.44140625" style="1236" customWidth="1"/>
    <col min="2566" max="2566" width="8.77734375" style="1236"/>
    <col min="2567" max="2567" width="9.33203125" style="1236" bestFit="1" customWidth="1"/>
    <col min="2568" max="2569" width="8.77734375" style="1236"/>
    <col min="2570" max="2570" width="9.33203125" style="1236" bestFit="1" customWidth="1"/>
    <col min="2571" max="2571" width="4" style="1236" customWidth="1"/>
    <col min="2572" max="2572" width="5.109375" style="1236" customWidth="1"/>
    <col min="2573" max="2573" width="13.77734375" style="1236" customWidth="1"/>
    <col min="2574" max="2816" width="8.77734375" style="1236"/>
    <col min="2817" max="2817" width="4.77734375" style="1236" customWidth="1"/>
    <col min="2818" max="2818" width="13.109375" style="1236" customWidth="1"/>
    <col min="2819" max="2819" width="15.6640625" style="1236" customWidth="1"/>
    <col min="2820" max="2820" width="9.33203125" style="1236" bestFit="1" customWidth="1"/>
    <col min="2821" max="2821" width="13.44140625" style="1236" customWidth="1"/>
    <col min="2822" max="2822" width="8.77734375" style="1236"/>
    <col min="2823" max="2823" width="9.33203125" style="1236" bestFit="1" customWidth="1"/>
    <col min="2824" max="2825" width="8.77734375" style="1236"/>
    <col min="2826" max="2826" width="9.33203125" style="1236" bestFit="1" customWidth="1"/>
    <col min="2827" max="2827" width="4" style="1236" customWidth="1"/>
    <col min="2828" max="2828" width="5.109375" style="1236" customWidth="1"/>
    <col min="2829" max="2829" width="13.77734375" style="1236" customWidth="1"/>
    <col min="2830" max="3072" width="8.77734375" style="1236"/>
    <col min="3073" max="3073" width="4.77734375" style="1236" customWidth="1"/>
    <col min="3074" max="3074" width="13.109375" style="1236" customWidth="1"/>
    <col min="3075" max="3075" width="15.6640625" style="1236" customWidth="1"/>
    <col min="3076" max="3076" width="9.33203125" style="1236" bestFit="1" customWidth="1"/>
    <col min="3077" max="3077" width="13.44140625" style="1236" customWidth="1"/>
    <col min="3078" max="3078" width="8.77734375" style="1236"/>
    <col min="3079" max="3079" width="9.33203125" style="1236" bestFit="1" customWidth="1"/>
    <col min="3080" max="3081" width="8.77734375" style="1236"/>
    <col min="3082" max="3082" width="9.33203125" style="1236" bestFit="1" customWidth="1"/>
    <col min="3083" max="3083" width="4" style="1236" customWidth="1"/>
    <col min="3084" max="3084" width="5.109375" style="1236" customWidth="1"/>
    <col min="3085" max="3085" width="13.77734375" style="1236" customWidth="1"/>
    <col min="3086" max="3328" width="8.77734375" style="1236"/>
    <col min="3329" max="3329" width="4.77734375" style="1236" customWidth="1"/>
    <col min="3330" max="3330" width="13.109375" style="1236" customWidth="1"/>
    <col min="3331" max="3331" width="15.6640625" style="1236" customWidth="1"/>
    <col min="3332" max="3332" width="9.33203125" style="1236" bestFit="1" customWidth="1"/>
    <col min="3333" max="3333" width="13.44140625" style="1236" customWidth="1"/>
    <col min="3334" max="3334" width="8.77734375" style="1236"/>
    <col min="3335" max="3335" width="9.33203125" style="1236" bestFit="1" customWidth="1"/>
    <col min="3336" max="3337" width="8.77734375" style="1236"/>
    <col min="3338" max="3338" width="9.33203125" style="1236" bestFit="1" customWidth="1"/>
    <col min="3339" max="3339" width="4" style="1236" customWidth="1"/>
    <col min="3340" max="3340" width="5.109375" style="1236" customWidth="1"/>
    <col min="3341" max="3341" width="13.77734375" style="1236" customWidth="1"/>
    <col min="3342" max="3584" width="8.77734375" style="1236"/>
    <col min="3585" max="3585" width="4.77734375" style="1236" customWidth="1"/>
    <col min="3586" max="3586" width="13.109375" style="1236" customWidth="1"/>
    <col min="3587" max="3587" width="15.6640625" style="1236" customWidth="1"/>
    <col min="3588" max="3588" width="9.33203125" style="1236" bestFit="1" customWidth="1"/>
    <col min="3589" max="3589" width="13.44140625" style="1236" customWidth="1"/>
    <col min="3590" max="3590" width="8.77734375" style="1236"/>
    <col min="3591" max="3591" width="9.33203125" style="1236" bestFit="1" customWidth="1"/>
    <col min="3592" max="3593" width="8.77734375" style="1236"/>
    <col min="3594" max="3594" width="9.33203125" style="1236" bestFit="1" customWidth="1"/>
    <col min="3595" max="3595" width="4" style="1236" customWidth="1"/>
    <col min="3596" max="3596" width="5.109375" style="1236" customWidth="1"/>
    <col min="3597" max="3597" width="13.77734375" style="1236" customWidth="1"/>
    <col min="3598" max="3840" width="8.77734375" style="1236"/>
    <col min="3841" max="3841" width="4.77734375" style="1236" customWidth="1"/>
    <col min="3842" max="3842" width="13.109375" style="1236" customWidth="1"/>
    <col min="3843" max="3843" width="15.6640625" style="1236" customWidth="1"/>
    <col min="3844" max="3844" width="9.33203125" style="1236" bestFit="1" customWidth="1"/>
    <col min="3845" max="3845" width="13.44140625" style="1236" customWidth="1"/>
    <col min="3846" max="3846" width="8.77734375" style="1236"/>
    <col min="3847" max="3847" width="9.33203125" style="1236" bestFit="1" customWidth="1"/>
    <col min="3848" max="3849" width="8.77734375" style="1236"/>
    <col min="3850" max="3850" width="9.33203125" style="1236" bestFit="1" customWidth="1"/>
    <col min="3851" max="3851" width="4" style="1236" customWidth="1"/>
    <col min="3852" max="3852" width="5.109375" style="1236" customWidth="1"/>
    <col min="3853" max="3853" width="13.77734375" style="1236" customWidth="1"/>
    <col min="3854" max="4096" width="8.77734375" style="1236"/>
    <col min="4097" max="4097" width="4.77734375" style="1236" customWidth="1"/>
    <col min="4098" max="4098" width="13.109375" style="1236" customWidth="1"/>
    <col min="4099" max="4099" width="15.6640625" style="1236" customWidth="1"/>
    <col min="4100" max="4100" width="9.33203125" style="1236" bestFit="1" customWidth="1"/>
    <col min="4101" max="4101" width="13.44140625" style="1236" customWidth="1"/>
    <col min="4102" max="4102" width="8.77734375" style="1236"/>
    <col min="4103" max="4103" width="9.33203125" style="1236" bestFit="1" customWidth="1"/>
    <col min="4104" max="4105" width="8.77734375" style="1236"/>
    <col min="4106" max="4106" width="9.33203125" style="1236" bestFit="1" customWidth="1"/>
    <col min="4107" max="4107" width="4" style="1236" customWidth="1"/>
    <col min="4108" max="4108" width="5.109375" style="1236" customWidth="1"/>
    <col min="4109" max="4109" width="13.77734375" style="1236" customWidth="1"/>
    <col min="4110" max="4352" width="8.77734375" style="1236"/>
    <col min="4353" max="4353" width="4.77734375" style="1236" customWidth="1"/>
    <col min="4354" max="4354" width="13.109375" style="1236" customWidth="1"/>
    <col min="4355" max="4355" width="15.6640625" style="1236" customWidth="1"/>
    <col min="4356" max="4356" width="9.33203125" style="1236" bestFit="1" customWidth="1"/>
    <col min="4357" max="4357" width="13.44140625" style="1236" customWidth="1"/>
    <col min="4358" max="4358" width="8.77734375" style="1236"/>
    <col min="4359" max="4359" width="9.33203125" style="1236" bestFit="1" customWidth="1"/>
    <col min="4360" max="4361" width="8.77734375" style="1236"/>
    <col min="4362" max="4362" width="9.33203125" style="1236" bestFit="1" customWidth="1"/>
    <col min="4363" max="4363" width="4" style="1236" customWidth="1"/>
    <col min="4364" max="4364" width="5.109375" style="1236" customWidth="1"/>
    <col min="4365" max="4365" width="13.77734375" style="1236" customWidth="1"/>
    <col min="4366" max="4608" width="8.77734375" style="1236"/>
    <col min="4609" max="4609" width="4.77734375" style="1236" customWidth="1"/>
    <col min="4610" max="4610" width="13.109375" style="1236" customWidth="1"/>
    <col min="4611" max="4611" width="15.6640625" style="1236" customWidth="1"/>
    <col min="4612" max="4612" width="9.33203125" style="1236" bestFit="1" customWidth="1"/>
    <col min="4613" max="4613" width="13.44140625" style="1236" customWidth="1"/>
    <col min="4614" max="4614" width="8.77734375" style="1236"/>
    <col min="4615" max="4615" width="9.33203125" style="1236" bestFit="1" customWidth="1"/>
    <col min="4616" max="4617" width="8.77734375" style="1236"/>
    <col min="4618" max="4618" width="9.33203125" style="1236" bestFit="1" customWidth="1"/>
    <col min="4619" max="4619" width="4" style="1236" customWidth="1"/>
    <col min="4620" max="4620" width="5.109375" style="1236" customWidth="1"/>
    <col min="4621" max="4621" width="13.77734375" style="1236" customWidth="1"/>
    <col min="4622" max="4864" width="8.77734375" style="1236"/>
    <col min="4865" max="4865" width="4.77734375" style="1236" customWidth="1"/>
    <col min="4866" max="4866" width="13.109375" style="1236" customWidth="1"/>
    <col min="4867" max="4867" width="15.6640625" style="1236" customWidth="1"/>
    <col min="4868" max="4868" width="9.33203125" style="1236" bestFit="1" customWidth="1"/>
    <col min="4869" max="4869" width="13.44140625" style="1236" customWidth="1"/>
    <col min="4870" max="4870" width="8.77734375" style="1236"/>
    <col min="4871" max="4871" width="9.33203125" style="1236" bestFit="1" customWidth="1"/>
    <col min="4872" max="4873" width="8.77734375" style="1236"/>
    <col min="4874" max="4874" width="9.33203125" style="1236" bestFit="1" customWidth="1"/>
    <col min="4875" max="4875" width="4" style="1236" customWidth="1"/>
    <col min="4876" max="4876" width="5.109375" style="1236" customWidth="1"/>
    <col min="4877" max="4877" width="13.77734375" style="1236" customWidth="1"/>
    <col min="4878" max="5120" width="8.77734375" style="1236"/>
    <col min="5121" max="5121" width="4.77734375" style="1236" customWidth="1"/>
    <col min="5122" max="5122" width="13.109375" style="1236" customWidth="1"/>
    <col min="5123" max="5123" width="15.6640625" style="1236" customWidth="1"/>
    <col min="5124" max="5124" width="9.33203125" style="1236" bestFit="1" customWidth="1"/>
    <col min="5125" max="5125" width="13.44140625" style="1236" customWidth="1"/>
    <col min="5126" max="5126" width="8.77734375" style="1236"/>
    <col min="5127" max="5127" width="9.33203125" style="1236" bestFit="1" customWidth="1"/>
    <col min="5128" max="5129" width="8.77734375" style="1236"/>
    <col min="5130" max="5130" width="9.33203125" style="1236" bestFit="1" customWidth="1"/>
    <col min="5131" max="5131" width="4" style="1236" customWidth="1"/>
    <col min="5132" max="5132" width="5.109375" style="1236" customWidth="1"/>
    <col min="5133" max="5133" width="13.77734375" style="1236" customWidth="1"/>
    <col min="5134" max="5376" width="8.77734375" style="1236"/>
    <col min="5377" max="5377" width="4.77734375" style="1236" customWidth="1"/>
    <col min="5378" max="5378" width="13.109375" style="1236" customWidth="1"/>
    <col min="5379" max="5379" width="15.6640625" style="1236" customWidth="1"/>
    <col min="5380" max="5380" width="9.33203125" style="1236" bestFit="1" customWidth="1"/>
    <col min="5381" max="5381" width="13.44140625" style="1236" customWidth="1"/>
    <col min="5382" max="5382" width="8.77734375" style="1236"/>
    <col min="5383" max="5383" width="9.33203125" style="1236" bestFit="1" customWidth="1"/>
    <col min="5384" max="5385" width="8.77734375" style="1236"/>
    <col min="5386" max="5386" width="9.33203125" style="1236" bestFit="1" customWidth="1"/>
    <col min="5387" max="5387" width="4" style="1236" customWidth="1"/>
    <col min="5388" max="5388" width="5.109375" style="1236" customWidth="1"/>
    <col min="5389" max="5389" width="13.77734375" style="1236" customWidth="1"/>
    <col min="5390" max="5632" width="8.77734375" style="1236"/>
    <col min="5633" max="5633" width="4.77734375" style="1236" customWidth="1"/>
    <col min="5634" max="5634" width="13.109375" style="1236" customWidth="1"/>
    <col min="5635" max="5635" width="15.6640625" style="1236" customWidth="1"/>
    <col min="5636" max="5636" width="9.33203125" style="1236" bestFit="1" customWidth="1"/>
    <col min="5637" max="5637" width="13.44140625" style="1236" customWidth="1"/>
    <col min="5638" max="5638" width="8.77734375" style="1236"/>
    <col min="5639" max="5639" width="9.33203125" style="1236" bestFit="1" customWidth="1"/>
    <col min="5640" max="5641" width="8.77734375" style="1236"/>
    <col min="5642" max="5642" width="9.33203125" style="1236" bestFit="1" customWidth="1"/>
    <col min="5643" max="5643" width="4" style="1236" customWidth="1"/>
    <col min="5644" max="5644" width="5.109375" style="1236" customWidth="1"/>
    <col min="5645" max="5645" width="13.77734375" style="1236" customWidth="1"/>
    <col min="5646" max="5888" width="8.77734375" style="1236"/>
    <col min="5889" max="5889" width="4.77734375" style="1236" customWidth="1"/>
    <col min="5890" max="5890" width="13.109375" style="1236" customWidth="1"/>
    <col min="5891" max="5891" width="15.6640625" style="1236" customWidth="1"/>
    <col min="5892" max="5892" width="9.33203125" style="1236" bestFit="1" customWidth="1"/>
    <col min="5893" max="5893" width="13.44140625" style="1236" customWidth="1"/>
    <col min="5894" max="5894" width="8.77734375" style="1236"/>
    <col min="5895" max="5895" width="9.33203125" style="1236" bestFit="1" customWidth="1"/>
    <col min="5896" max="5897" width="8.77734375" style="1236"/>
    <col min="5898" max="5898" width="9.33203125" style="1236" bestFit="1" customWidth="1"/>
    <col min="5899" max="5899" width="4" style="1236" customWidth="1"/>
    <col min="5900" max="5900" width="5.109375" style="1236" customWidth="1"/>
    <col min="5901" max="5901" width="13.77734375" style="1236" customWidth="1"/>
    <col min="5902" max="6144" width="8.77734375" style="1236"/>
    <col min="6145" max="6145" width="4.77734375" style="1236" customWidth="1"/>
    <col min="6146" max="6146" width="13.109375" style="1236" customWidth="1"/>
    <col min="6147" max="6147" width="15.6640625" style="1236" customWidth="1"/>
    <col min="6148" max="6148" width="9.33203125" style="1236" bestFit="1" customWidth="1"/>
    <col min="6149" max="6149" width="13.44140625" style="1236" customWidth="1"/>
    <col min="6150" max="6150" width="8.77734375" style="1236"/>
    <col min="6151" max="6151" width="9.33203125" style="1236" bestFit="1" customWidth="1"/>
    <col min="6152" max="6153" width="8.77734375" style="1236"/>
    <col min="6154" max="6154" width="9.33203125" style="1236" bestFit="1" customWidth="1"/>
    <col min="6155" max="6155" width="4" style="1236" customWidth="1"/>
    <col min="6156" max="6156" width="5.109375" style="1236" customWidth="1"/>
    <col min="6157" max="6157" width="13.77734375" style="1236" customWidth="1"/>
    <col min="6158" max="6400" width="8.77734375" style="1236"/>
    <col min="6401" max="6401" width="4.77734375" style="1236" customWidth="1"/>
    <col min="6402" max="6402" width="13.109375" style="1236" customWidth="1"/>
    <col min="6403" max="6403" width="15.6640625" style="1236" customWidth="1"/>
    <col min="6404" max="6404" width="9.33203125" style="1236" bestFit="1" customWidth="1"/>
    <col min="6405" max="6405" width="13.44140625" style="1236" customWidth="1"/>
    <col min="6406" max="6406" width="8.77734375" style="1236"/>
    <col min="6407" max="6407" width="9.33203125" style="1236" bestFit="1" customWidth="1"/>
    <col min="6408" max="6409" width="8.77734375" style="1236"/>
    <col min="6410" max="6410" width="9.33203125" style="1236" bestFit="1" customWidth="1"/>
    <col min="6411" max="6411" width="4" style="1236" customWidth="1"/>
    <col min="6412" max="6412" width="5.109375" style="1236" customWidth="1"/>
    <col min="6413" max="6413" width="13.77734375" style="1236" customWidth="1"/>
    <col min="6414" max="6656" width="8.77734375" style="1236"/>
    <col min="6657" max="6657" width="4.77734375" style="1236" customWidth="1"/>
    <col min="6658" max="6658" width="13.109375" style="1236" customWidth="1"/>
    <col min="6659" max="6659" width="15.6640625" style="1236" customWidth="1"/>
    <col min="6660" max="6660" width="9.33203125" style="1236" bestFit="1" customWidth="1"/>
    <col min="6661" max="6661" width="13.44140625" style="1236" customWidth="1"/>
    <col min="6662" max="6662" width="8.77734375" style="1236"/>
    <col min="6663" max="6663" width="9.33203125" style="1236" bestFit="1" customWidth="1"/>
    <col min="6664" max="6665" width="8.77734375" style="1236"/>
    <col min="6666" max="6666" width="9.33203125" style="1236" bestFit="1" customWidth="1"/>
    <col min="6667" max="6667" width="4" style="1236" customWidth="1"/>
    <col min="6668" max="6668" width="5.109375" style="1236" customWidth="1"/>
    <col min="6669" max="6669" width="13.77734375" style="1236" customWidth="1"/>
    <col min="6670" max="6912" width="8.77734375" style="1236"/>
    <col min="6913" max="6913" width="4.77734375" style="1236" customWidth="1"/>
    <col min="6914" max="6914" width="13.109375" style="1236" customWidth="1"/>
    <col min="6915" max="6915" width="15.6640625" style="1236" customWidth="1"/>
    <col min="6916" max="6916" width="9.33203125" style="1236" bestFit="1" customWidth="1"/>
    <col min="6917" max="6917" width="13.44140625" style="1236" customWidth="1"/>
    <col min="6918" max="6918" width="8.77734375" style="1236"/>
    <col min="6919" max="6919" width="9.33203125" style="1236" bestFit="1" customWidth="1"/>
    <col min="6920" max="6921" width="8.77734375" style="1236"/>
    <col min="6922" max="6922" width="9.33203125" style="1236" bestFit="1" customWidth="1"/>
    <col min="6923" max="6923" width="4" style="1236" customWidth="1"/>
    <col min="6924" max="6924" width="5.109375" style="1236" customWidth="1"/>
    <col min="6925" max="6925" width="13.77734375" style="1236" customWidth="1"/>
    <col min="6926" max="7168" width="8.77734375" style="1236"/>
    <col min="7169" max="7169" width="4.77734375" style="1236" customWidth="1"/>
    <col min="7170" max="7170" width="13.109375" style="1236" customWidth="1"/>
    <col min="7171" max="7171" width="15.6640625" style="1236" customWidth="1"/>
    <col min="7172" max="7172" width="9.33203125" style="1236" bestFit="1" customWidth="1"/>
    <col min="7173" max="7173" width="13.44140625" style="1236" customWidth="1"/>
    <col min="7174" max="7174" width="8.77734375" style="1236"/>
    <col min="7175" max="7175" width="9.33203125" style="1236" bestFit="1" customWidth="1"/>
    <col min="7176" max="7177" width="8.77734375" style="1236"/>
    <col min="7178" max="7178" width="9.33203125" style="1236" bestFit="1" customWidth="1"/>
    <col min="7179" max="7179" width="4" style="1236" customWidth="1"/>
    <col min="7180" max="7180" width="5.109375" style="1236" customWidth="1"/>
    <col min="7181" max="7181" width="13.77734375" style="1236" customWidth="1"/>
    <col min="7182" max="7424" width="8.77734375" style="1236"/>
    <col min="7425" max="7425" width="4.77734375" style="1236" customWidth="1"/>
    <col min="7426" max="7426" width="13.109375" style="1236" customWidth="1"/>
    <col min="7427" max="7427" width="15.6640625" style="1236" customWidth="1"/>
    <col min="7428" max="7428" width="9.33203125" style="1236" bestFit="1" customWidth="1"/>
    <col min="7429" max="7429" width="13.44140625" style="1236" customWidth="1"/>
    <col min="7430" max="7430" width="8.77734375" style="1236"/>
    <col min="7431" max="7431" width="9.33203125" style="1236" bestFit="1" customWidth="1"/>
    <col min="7432" max="7433" width="8.77734375" style="1236"/>
    <col min="7434" max="7434" width="9.33203125" style="1236" bestFit="1" customWidth="1"/>
    <col min="7435" max="7435" width="4" style="1236" customWidth="1"/>
    <col min="7436" max="7436" width="5.109375" style="1236" customWidth="1"/>
    <col min="7437" max="7437" width="13.77734375" style="1236" customWidth="1"/>
    <col min="7438" max="7680" width="8.77734375" style="1236"/>
    <col min="7681" max="7681" width="4.77734375" style="1236" customWidth="1"/>
    <col min="7682" max="7682" width="13.109375" style="1236" customWidth="1"/>
    <col min="7683" max="7683" width="15.6640625" style="1236" customWidth="1"/>
    <col min="7684" max="7684" width="9.33203125" style="1236" bestFit="1" customWidth="1"/>
    <col min="7685" max="7685" width="13.44140625" style="1236" customWidth="1"/>
    <col min="7686" max="7686" width="8.77734375" style="1236"/>
    <col min="7687" max="7687" width="9.33203125" style="1236" bestFit="1" customWidth="1"/>
    <col min="7688" max="7689" width="8.77734375" style="1236"/>
    <col min="7690" max="7690" width="9.33203125" style="1236" bestFit="1" customWidth="1"/>
    <col min="7691" max="7691" width="4" style="1236" customWidth="1"/>
    <col min="7692" max="7692" width="5.109375" style="1236" customWidth="1"/>
    <col min="7693" max="7693" width="13.77734375" style="1236" customWidth="1"/>
    <col min="7694" max="7936" width="8.77734375" style="1236"/>
    <col min="7937" max="7937" width="4.77734375" style="1236" customWidth="1"/>
    <col min="7938" max="7938" width="13.109375" style="1236" customWidth="1"/>
    <col min="7939" max="7939" width="15.6640625" style="1236" customWidth="1"/>
    <col min="7940" max="7940" width="9.33203125" style="1236" bestFit="1" customWidth="1"/>
    <col min="7941" max="7941" width="13.44140625" style="1236" customWidth="1"/>
    <col min="7942" max="7942" width="8.77734375" style="1236"/>
    <col min="7943" max="7943" width="9.33203125" style="1236" bestFit="1" customWidth="1"/>
    <col min="7944" max="7945" width="8.77734375" style="1236"/>
    <col min="7946" max="7946" width="9.33203125" style="1236" bestFit="1" customWidth="1"/>
    <col min="7947" max="7947" width="4" style="1236" customWidth="1"/>
    <col min="7948" max="7948" width="5.109375" style="1236" customWidth="1"/>
    <col min="7949" max="7949" width="13.77734375" style="1236" customWidth="1"/>
    <col min="7950" max="8192" width="8.77734375" style="1236"/>
    <col min="8193" max="8193" width="4.77734375" style="1236" customWidth="1"/>
    <col min="8194" max="8194" width="13.109375" style="1236" customWidth="1"/>
    <col min="8195" max="8195" width="15.6640625" style="1236" customWidth="1"/>
    <col min="8196" max="8196" width="9.33203125" style="1236" bestFit="1" customWidth="1"/>
    <col min="8197" max="8197" width="13.44140625" style="1236" customWidth="1"/>
    <col min="8198" max="8198" width="8.77734375" style="1236"/>
    <col min="8199" max="8199" width="9.33203125" style="1236" bestFit="1" customWidth="1"/>
    <col min="8200" max="8201" width="8.77734375" style="1236"/>
    <col min="8202" max="8202" width="9.33203125" style="1236" bestFit="1" customWidth="1"/>
    <col min="8203" max="8203" width="4" style="1236" customWidth="1"/>
    <col min="8204" max="8204" width="5.109375" style="1236" customWidth="1"/>
    <col min="8205" max="8205" width="13.77734375" style="1236" customWidth="1"/>
    <col min="8206" max="8448" width="8.77734375" style="1236"/>
    <col min="8449" max="8449" width="4.77734375" style="1236" customWidth="1"/>
    <col min="8450" max="8450" width="13.109375" style="1236" customWidth="1"/>
    <col min="8451" max="8451" width="15.6640625" style="1236" customWidth="1"/>
    <col min="8452" max="8452" width="9.33203125" style="1236" bestFit="1" customWidth="1"/>
    <col min="8453" max="8453" width="13.44140625" style="1236" customWidth="1"/>
    <col min="8454" max="8454" width="8.77734375" style="1236"/>
    <col min="8455" max="8455" width="9.33203125" style="1236" bestFit="1" customWidth="1"/>
    <col min="8456" max="8457" width="8.77734375" style="1236"/>
    <col min="8458" max="8458" width="9.33203125" style="1236" bestFit="1" customWidth="1"/>
    <col min="8459" max="8459" width="4" style="1236" customWidth="1"/>
    <col min="8460" max="8460" width="5.109375" style="1236" customWidth="1"/>
    <col min="8461" max="8461" width="13.77734375" style="1236" customWidth="1"/>
    <col min="8462" max="8704" width="8.77734375" style="1236"/>
    <col min="8705" max="8705" width="4.77734375" style="1236" customWidth="1"/>
    <col min="8706" max="8706" width="13.109375" style="1236" customWidth="1"/>
    <col min="8707" max="8707" width="15.6640625" style="1236" customWidth="1"/>
    <col min="8708" max="8708" width="9.33203125" style="1236" bestFit="1" customWidth="1"/>
    <col min="8709" max="8709" width="13.44140625" style="1236" customWidth="1"/>
    <col min="8710" max="8710" width="8.77734375" style="1236"/>
    <col min="8711" max="8711" width="9.33203125" style="1236" bestFit="1" customWidth="1"/>
    <col min="8712" max="8713" width="8.77734375" style="1236"/>
    <col min="8714" max="8714" width="9.33203125" style="1236" bestFit="1" customWidth="1"/>
    <col min="8715" max="8715" width="4" style="1236" customWidth="1"/>
    <col min="8716" max="8716" width="5.109375" style="1236" customWidth="1"/>
    <col min="8717" max="8717" width="13.77734375" style="1236" customWidth="1"/>
    <col min="8718" max="8960" width="8.77734375" style="1236"/>
    <col min="8961" max="8961" width="4.77734375" style="1236" customWidth="1"/>
    <col min="8962" max="8962" width="13.109375" style="1236" customWidth="1"/>
    <col min="8963" max="8963" width="15.6640625" style="1236" customWidth="1"/>
    <col min="8964" max="8964" width="9.33203125" style="1236" bestFit="1" customWidth="1"/>
    <col min="8965" max="8965" width="13.44140625" style="1236" customWidth="1"/>
    <col min="8966" max="8966" width="8.77734375" style="1236"/>
    <col min="8967" max="8967" width="9.33203125" style="1236" bestFit="1" customWidth="1"/>
    <col min="8968" max="8969" width="8.77734375" style="1236"/>
    <col min="8970" max="8970" width="9.33203125" style="1236" bestFit="1" customWidth="1"/>
    <col min="8971" max="8971" width="4" style="1236" customWidth="1"/>
    <col min="8972" max="8972" width="5.109375" style="1236" customWidth="1"/>
    <col min="8973" max="8973" width="13.77734375" style="1236" customWidth="1"/>
    <col min="8974" max="9216" width="8.77734375" style="1236"/>
    <col min="9217" max="9217" width="4.77734375" style="1236" customWidth="1"/>
    <col min="9218" max="9218" width="13.109375" style="1236" customWidth="1"/>
    <col min="9219" max="9219" width="15.6640625" style="1236" customWidth="1"/>
    <col min="9220" max="9220" width="9.33203125" style="1236" bestFit="1" customWidth="1"/>
    <col min="9221" max="9221" width="13.44140625" style="1236" customWidth="1"/>
    <col min="9222" max="9222" width="8.77734375" style="1236"/>
    <col min="9223" max="9223" width="9.33203125" style="1236" bestFit="1" customWidth="1"/>
    <col min="9224" max="9225" width="8.77734375" style="1236"/>
    <col min="9226" max="9226" width="9.33203125" style="1236" bestFit="1" customWidth="1"/>
    <col min="9227" max="9227" width="4" style="1236" customWidth="1"/>
    <col min="9228" max="9228" width="5.109375" style="1236" customWidth="1"/>
    <col min="9229" max="9229" width="13.77734375" style="1236" customWidth="1"/>
    <col min="9230" max="9472" width="8.77734375" style="1236"/>
    <col min="9473" max="9473" width="4.77734375" style="1236" customWidth="1"/>
    <col min="9474" max="9474" width="13.109375" style="1236" customWidth="1"/>
    <col min="9475" max="9475" width="15.6640625" style="1236" customWidth="1"/>
    <col min="9476" max="9476" width="9.33203125" style="1236" bestFit="1" customWidth="1"/>
    <col min="9477" max="9477" width="13.44140625" style="1236" customWidth="1"/>
    <col min="9478" max="9478" width="8.77734375" style="1236"/>
    <col min="9479" max="9479" width="9.33203125" style="1236" bestFit="1" customWidth="1"/>
    <col min="9480" max="9481" width="8.77734375" style="1236"/>
    <col min="9482" max="9482" width="9.33203125" style="1236" bestFit="1" customWidth="1"/>
    <col min="9483" max="9483" width="4" style="1236" customWidth="1"/>
    <col min="9484" max="9484" width="5.109375" style="1236" customWidth="1"/>
    <col min="9485" max="9485" width="13.77734375" style="1236" customWidth="1"/>
    <col min="9486" max="9728" width="8.77734375" style="1236"/>
    <col min="9729" max="9729" width="4.77734375" style="1236" customWidth="1"/>
    <col min="9730" max="9730" width="13.109375" style="1236" customWidth="1"/>
    <col min="9731" max="9731" width="15.6640625" style="1236" customWidth="1"/>
    <col min="9732" max="9732" width="9.33203125" style="1236" bestFit="1" customWidth="1"/>
    <col min="9733" max="9733" width="13.44140625" style="1236" customWidth="1"/>
    <col min="9734" max="9734" width="8.77734375" style="1236"/>
    <col min="9735" max="9735" width="9.33203125" style="1236" bestFit="1" customWidth="1"/>
    <col min="9736" max="9737" width="8.77734375" style="1236"/>
    <col min="9738" max="9738" width="9.33203125" style="1236" bestFit="1" customWidth="1"/>
    <col min="9739" max="9739" width="4" style="1236" customWidth="1"/>
    <col min="9740" max="9740" width="5.109375" style="1236" customWidth="1"/>
    <col min="9741" max="9741" width="13.77734375" style="1236" customWidth="1"/>
    <col min="9742" max="9984" width="8.77734375" style="1236"/>
    <col min="9985" max="9985" width="4.77734375" style="1236" customWidth="1"/>
    <col min="9986" max="9986" width="13.109375" style="1236" customWidth="1"/>
    <col min="9987" max="9987" width="15.6640625" style="1236" customWidth="1"/>
    <col min="9988" max="9988" width="9.33203125" style="1236" bestFit="1" customWidth="1"/>
    <col min="9989" max="9989" width="13.44140625" style="1236" customWidth="1"/>
    <col min="9990" max="9990" width="8.77734375" style="1236"/>
    <col min="9991" max="9991" width="9.33203125" style="1236" bestFit="1" customWidth="1"/>
    <col min="9992" max="9993" width="8.77734375" style="1236"/>
    <col min="9994" max="9994" width="9.33203125" style="1236" bestFit="1" customWidth="1"/>
    <col min="9995" max="9995" width="4" style="1236" customWidth="1"/>
    <col min="9996" max="9996" width="5.109375" style="1236" customWidth="1"/>
    <col min="9997" max="9997" width="13.77734375" style="1236" customWidth="1"/>
    <col min="9998" max="10240" width="8.77734375" style="1236"/>
    <col min="10241" max="10241" width="4.77734375" style="1236" customWidth="1"/>
    <col min="10242" max="10242" width="13.109375" style="1236" customWidth="1"/>
    <col min="10243" max="10243" width="15.6640625" style="1236" customWidth="1"/>
    <col min="10244" max="10244" width="9.33203125" style="1236" bestFit="1" customWidth="1"/>
    <col min="10245" max="10245" width="13.44140625" style="1236" customWidth="1"/>
    <col min="10246" max="10246" width="8.77734375" style="1236"/>
    <col min="10247" max="10247" width="9.33203125" style="1236" bestFit="1" customWidth="1"/>
    <col min="10248" max="10249" width="8.77734375" style="1236"/>
    <col min="10250" max="10250" width="9.33203125" style="1236" bestFit="1" customWidth="1"/>
    <col min="10251" max="10251" width="4" style="1236" customWidth="1"/>
    <col min="10252" max="10252" width="5.109375" style="1236" customWidth="1"/>
    <col min="10253" max="10253" width="13.77734375" style="1236" customWidth="1"/>
    <col min="10254" max="10496" width="8.77734375" style="1236"/>
    <col min="10497" max="10497" width="4.77734375" style="1236" customWidth="1"/>
    <col min="10498" max="10498" width="13.109375" style="1236" customWidth="1"/>
    <col min="10499" max="10499" width="15.6640625" style="1236" customWidth="1"/>
    <col min="10500" max="10500" width="9.33203125" style="1236" bestFit="1" customWidth="1"/>
    <col min="10501" max="10501" width="13.44140625" style="1236" customWidth="1"/>
    <col min="10502" max="10502" width="8.77734375" style="1236"/>
    <col min="10503" max="10503" width="9.33203125" style="1236" bestFit="1" customWidth="1"/>
    <col min="10504" max="10505" width="8.77734375" style="1236"/>
    <col min="10506" max="10506" width="9.33203125" style="1236" bestFit="1" customWidth="1"/>
    <col min="10507" max="10507" width="4" style="1236" customWidth="1"/>
    <col min="10508" max="10508" width="5.109375" style="1236" customWidth="1"/>
    <col min="10509" max="10509" width="13.77734375" style="1236" customWidth="1"/>
    <col min="10510" max="10752" width="8.77734375" style="1236"/>
    <col min="10753" max="10753" width="4.77734375" style="1236" customWidth="1"/>
    <col min="10754" max="10754" width="13.109375" style="1236" customWidth="1"/>
    <col min="10755" max="10755" width="15.6640625" style="1236" customWidth="1"/>
    <col min="10756" max="10756" width="9.33203125" style="1236" bestFit="1" customWidth="1"/>
    <col min="10757" max="10757" width="13.44140625" style="1236" customWidth="1"/>
    <col min="10758" max="10758" width="8.77734375" style="1236"/>
    <col min="10759" max="10759" width="9.33203125" style="1236" bestFit="1" customWidth="1"/>
    <col min="10760" max="10761" width="8.77734375" style="1236"/>
    <col min="10762" max="10762" width="9.33203125" style="1236" bestFit="1" customWidth="1"/>
    <col min="10763" max="10763" width="4" style="1236" customWidth="1"/>
    <col min="10764" max="10764" width="5.109375" style="1236" customWidth="1"/>
    <col min="10765" max="10765" width="13.77734375" style="1236" customWidth="1"/>
    <col min="10766" max="11008" width="8.77734375" style="1236"/>
    <col min="11009" max="11009" width="4.77734375" style="1236" customWidth="1"/>
    <col min="11010" max="11010" width="13.109375" style="1236" customWidth="1"/>
    <col min="11011" max="11011" width="15.6640625" style="1236" customWidth="1"/>
    <col min="11012" max="11012" width="9.33203125" style="1236" bestFit="1" customWidth="1"/>
    <col min="11013" max="11013" width="13.44140625" style="1236" customWidth="1"/>
    <col min="11014" max="11014" width="8.77734375" style="1236"/>
    <col min="11015" max="11015" width="9.33203125" style="1236" bestFit="1" customWidth="1"/>
    <col min="11016" max="11017" width="8.77734375" style="1236"/>
    <col min="11018" max="11018" width="9.33203125" style="1236" bestFit="1" customWidth="1"/>
    <col min="11019" max="11019" width="4" style="1236" customWidth="1"/>
    <col min="11020" max="11020" width="5.109375" style="1236" customWidth="1"/>
    <col min="11021" max="11021" width="13.77734375" style="1236" customWidth="1"/>
    <col min="11022" max="11264" width="8.77734375" style="1236"/>
    <col min="11265" max="11265" width="4.77734375" style="1236" customWidth="1"/>
    <col min="11266" max="11266" width="13.109375" style="1236" customWidth="1"/>
    <col min="11267" max="11267" width="15.6640625" style="1236" customWidth="1"/>
    <col min="11268" max="11268" width="9.33203125" style="1236" bestFit="1" customWidth="1"/>
    <col min="11269" max="11269" width="13.44140625" style="1236" customWidth="1"/>
    <col min="11270" max="11270" width="8.77734375" style="1236"/>
    <col min="11271" max="11271" width="9.33203125" style="1236" bestFit="1" customWidth="1"/>
    <col min="11272" max="11273" width="8.77734375" style="1236"/>
    <col min="11274" max="11274" width="9.33203125" style="1236" bestFit="1" customWidth="1"/>
    <col min="11275" max="11275" width="4" style="1236" customWidth="1"/>
    <col min="11276" max="11276" width="5.109375" style="1236" customWidth="1"/>
    <col min="11277" max="11277" width="13.77734375" style="1236" customWidth="1"/>
    <col min="11278" max="11520" width="8.77734375" style="1236"/>
    <col min="11521" max="11521" width="4.77734375" style="1236" customWidth="1"/>
    <col min="11522" max="11522" width="13.109375" style="1236" customWidth="1"/>
    <col min="11523" max="11523" width="15.6640625" style="1236" customWidth="1"/>
    <col min="11524" max="11524" width="9.33203125" style="1236" bestFit="1" customWidth="1"/>
    <col min="11525" max="11525" width="13.44140625" style="1236" customWidth="1"/>
    <col min="11526" max="11526" width="8.77734375" style="1236"/>
    <col min="11527" max="11527" width="9.33203125" style="1236" bestFit="1" customWidth="1"/>
    <col min="11528" max="11529" width="8.77734375" style="1236"/>
    <col min="11530" max="11530" width="9.33203125" style="1236" bestFit="1" customWidth="1"/>
    <col min="11531" max="11531" width="4" style="1236" customWidth="1"/>
    <col min="11532" max="11532" width="5.109375" style="1236" customWidth="1"/>
    <col min="11533" max="11533" width="13.77734375" style="1236" customWidth="1"/>
    <col min="11534" max="11776" width="8.77734375" style="1236"/>
    <col min="11777" max="11777" width="4.77734375" style="1236" customWidth="1"/>
    <col min="11778" max="11778" width="13.109375" style="1236" customWidth="1"/>
    <col min="11779" max="11779" width="15.6640625" style="1236" customWidth="1"/>
    <col min="11780" max="11780" width="9.33203125" style="1236" bestFit="1" customWidth="1"/>
    <col min="11781" max="11781" width="13.44140625" style="1236" customWidth="1"/>
    <col min="11782" max="11782" width="8.77734375" style="1236"/>
    <col min="11783" max="11783" width="9.33203125" style="1236" bestFit="1" customWidth="1"/>
    <col min="11784" max="11785" width="8.77734375" style="1236"/>
    <col min="11786" max="11786" width="9.33203125" style="1236" bestFit="1" customWidth="1"/>
    <col min="11787" max="11787" width="4" style="1236" customWidth="1"/>
    <col min="11788" max="11788" width="5.109375" style="1236" customWidth="1"/>
    <col min="11789" max="11789" width="13.77734375" style="1236" customWidth="1"/>
    <col min="11790" max="12032" width="8.77734375" style="1236"/>
    <col min="12033" max="12033" width="4.77734375" style="1236" customWidth="1"/>
    <col min="12034" max="12034" width="13.109375" style="1236" customWidth="1"/>
    <col min="12035" max="12035" width="15.6640625" style="1236" customWidth="1"/>
    <col min="12036" max="12036" width="9.33203125" style="1236" bestFit="1" customWidth="1"/>
    <col min="12037" max="12037" width="13.44140625" style="1236" customWidth="1"/>
    <col min="12038" max="12038" width="8.77734375" style="1236"/>
    <col min="12039" max="12039" width="9.33203125" style="1236" bestFit="1" customWidth="1"/>
    <col min="12040" max="12041" width="8.77734375" style="1236"/>
    <col min="12042" max="12042" width="9.33203125" style="1236" bestFit="1" customWidth="1"/>
    <col min="12043" max="12043" width="4" style="1236" customWidth="1"/>
    <col min="12044" max="12044" width="5.109375" style="1236" customWidth="1"/>
    <col min="12045" max="12045" width="13.77734375" style="1236" customWidth="1"/>
    <col min="12046" max="12288" width="8.77734375" style="1236"/>
    <col min="12289" max="12289" width="4.77734375" style="1236" customWidth="1"/>
    <col min="12290" max="12290" width="13.109375" style="1236" customWidth="1"/>
    <col min="12291" max="12291" width="15.6640625" style="1236" customWidth="1"/>
    <col min="12292" max="12292" width="9.33203125" style="1236" bestFit="1" customWidth="1"/>
    <col min="12293" max="12293" width="13.44140625" style="1236" customWidth="1"/>
    <col min="12294" max="12294" width="8.77734375" style="1236"/>
    <col min="12295" max="12295" width="9.33203125" style="1236" bestFit="1" customWidth="1"/>
    <col min="12296" max="12297" width="8.77734375" style="1236"/>
    <col min="12298" max="12298" width="9.33203125" style="1236" bestFit="1" customWidth="1"/>
    <col min="12299" max="12299" width="4" style="1236" customWidth="1"/>
    <col min="12300" max="12300" width="5.109375" style="1236" customWidth="1"/>
    <col min="12301" max="12301" width="13.77734375" style="1236" customWidth="1"/>
    <col min="12302" max="12544" width="8.77734375" style="1236"/>
    <col min="12545" max="12545" width="4.77734375" style="1236" customWidth="1"/>
    <col min="12546" max="12546" width="13.109375" style="1236" customWidth="1"/>
    <col min="12547" max="12547" width="15.6640625" style="1236" customWidth="1"/>
    <col min="12548" max="12548" width="9.33203125" style="1236" bestFit="1" customWidth="1"/>
    <col min="12549" max="12549" width="13.44140625" style="1236" customWidth="1"/>
    <col min="12550" max="12550" width="8.77734375" style="1236"/>
    <col min="12551" max="12551" width="9.33203125" style="1236" bestFit="1" customWidth="1"/>
    <col min="12552" max="12553" width="8.77734375" style="1236"/>
    <col min="12554" max="12554" width="9.33203125" style="1236" bestFit="1" customWidth="1"/>
    <col min="12555" max="12555" width="4" style="1236" customWidth="1"/>
    <col min="12556" max="12556" width="5.109375" style="1236" customWidth="1"/>
    <col min="12557" max="12557" width="13.77734375" style="1236" customWidth="1"/>
    <col min="12558" max="12800" width="8.77734375" style="1236"/>
    <col min="12801" max="12801" width="4.77734375" style="1236" customWidth="1"/>
    <col min="12802" max="12802" width="13.109375" style="1236" customWidth="1"/>
    <col min="12803" max="12803" width="15.6640625" style="1236" customWidth="1"/>
    <col min="12804" max="12804" width="9.33203125" style="1236" bestFit="1" customWidth="1"/>
    <col min="12805" max="12805" width="13.44140625" style="1236" customWidth="1"/>
    <col min="12806" max="12806" width="8.77734375" style="1236"/>
    <col min="12807" max="12807" width="9.33203125" style="1236" bestFit="1" customWidth="1"/>
    <col min="12808" max="12809" width="8.77734375" style="1236"/>
    <col min="12810" max="12810" width="9.33203125" style="1236" bestFit="1" customWidth="1"/>
    <col min="12811" max="12811" width="4" style="1236" customWidth="1"/>
    <col min="12812" max="12812" width="5.109375" style="1236" customWidth="1"/>
    <col min="12813" max="12813" width="13.77734375" style="1236" customWidth="1"/>
    <col min="12814" max="13056" width="8.77734375" style="1236"/>
    <col min="13057" max="13057" width="4.77734375" style="1236" customWidth="1"/>
    <col min="13058" max="13058" width="13.109375" style="1236" customWidth="1"/>
    <col min="13059" max="13059" width="15.6640625" style="1236" customWidth="1"/>
    <col min="13060" max="13060" width="9.33203125" style="1236" bestFit="1" customWidth="1"/>
    <col min="13061" max="13061" width="13.44140625" style="1236" customWidth="1"/>
    <col min="13062" max="13062" width="8.77734375" style="1236"/>
    <col min="13063" max="13063" width="9.33203125" style="1236" bestFit="1" customWidth="1"/>
    <col min="13064" max="13065" width="8.77734375" style="1236"/>
    <col min="13066" max="13066" width="9.33203125" style="1236" bestFit="1" customWidth="1"/>
    <col min="13067" max="13067" width="4" style="1236" customWidth="1"/>
    <col min="13068" max="13068" width="5.109375" style="1236" customWidth="1"/>
    <col min="13069" max="13069" width="13.77734375" style="1236" customWidth="1"/>
    <col min="13070" max="13312" width="8.77734375" style="1236"/>
    <col min="13313" max="13313" width="4.77734375" style="1236" customWidth="1"/>
    <col min="13314" max="13314" width="13.109375" style="1236" customWidth="1"/>
    <col min="13315" max="13315" width="15.6640625" style="1236" customWidth="1"/>
    <col min="13316" max="13316" width="9.33203125" style="1236" bestFit="1" customWidth="1"/>
    <col min="13317" max="13317" width="13.44140625" style="1236" customWidth="1"/>
    <col min="13318" max="13318" width="8.77734375" style="1236"/>
    <col min="13319" max="13319" width="9.33203125" style="1236" bestFit="1" customWidth="1"/>
    <col min="13320" max="13321" width="8.77734375" style="1236"/>
    <col min="13322" max="13322" width="9.33203125" style="1236" bestFit="1" customWidth="1"/>
    <col min="13323" max="13323" width="4" style="1236" customWidth="1"/>
    <col min="13324" max="13324" width="5.109375" style="1236" customWidth="1"/>
    <col min="13325" max="13325" width="13.77734375" style="1236" customWidth="1"/>
    <col min="13326" max="13568" width="8.77734375" style="1236"/>
    <col min="13569" max="13569" width="4.77734375" style="1236" customWidth="1"/>
    <col min="13570" max="13570" width="13.109375" style="1236" customWidth="1"/>
    <col min="13571" max="13571" width="15.6640625" style="1236" customWidth="1"/>
    <col min="13572" max="13572" width="9.33203125" style="1236" bestFit="1" customWidth="1"/>
    <col min="13573" max="13573" width="13.44140625" style="1236" customWidth="1"/>
    <col min="13574" max="13574" width="8.77734375" style="1236"/>
    <col min="13575" max="13575" width="9.33203125" style="1236" bestFit="1" customWidth="1"/>
    <col min="13576" max="13577" width="8.77734375" style="1236"/>
    <col min="13578" max="13578" width="9.33203125" style="1236" bestFit="1" customWidth="1"/>
    <col min="13579" max="13579" width="4" style="1236" customWidth="1"/>
    <col min="13580" max="13580" width="5.109375" style="1236" customWidth="1"/>
    <col min="13581" max="13581" width="13.77734375" style="1236" customWidth="1"/>
    <col min="13582" max="13824" width="8.77734375" style="1236"/>
    <col min="13825" max="13825" width="4.77734375" style="1236" customWidth="1"/>
    <col min="13826" max="13826" width="13.109375" style="1236" customWidth="1"/>
    <col min="13827" max="13827" width="15.6640625" style="1236" customWidth="1"/>
    <col min="13828" max="13828" width="9.33203125" style="1236" bestFit="1" customWidth="1"/>
    <col min="13829" max="13829" width="13.44140625" style="1236" customWidth="1"/>
    <col min="13830" max="13830" width="8.77734375" style="1236"/>
    <col min="13831" max="13831" width="9.33203125" style="1236" bestFit="1" customWidth="1"/>
    <col min="13832" max="13833" width="8.77734375" style="1236"/>
    <col min="13834" max="13834" width="9.33203125" style="1236" bestFit="1" customWidth="1"/>
    <col min="13835" max="13835" width="4" style="1236" customWidth="1"/>
    <col min="13836" max="13836" width="5.109375" style="1236" customWidth="1"/>
    <col min="13837" max="13837" width="13.77734375" style="1236" customWidth="1"/>
    <col min="13838" max="14080" width="8.77734375" style="1236"/>
    <col min="14081" max="14081" width="4.77734375" style="1236" customWidth="1"/>
    <col min="14082" max="14082" width="13.109375" style="1236" customWidth="1"/>
    <col min="14083" max="14083" width="15.6640625" style="1236" customWidth="1"/>
    <col min="14084" max="14084" width="9.33203125" style="1236" bestFit="1" customWidth="1"/>
    <col min="14085" max="14085" width="13.44140625" style="1236" customWidth="1"/>
    <col min="14086" max="14086" width="8.77734375" style="1236"/>
    <col min="14087" max="14087" width="9.33203125" style="1236" bestFit="1" customWidth="1"/>
    <col min="14088" max="14089" width="8.77734375" style="1236"/>
    <col min="14090" max="14090" width="9.33203125" style="1236" bestFit="1" customWidth="1"/>
    <col min="14091" max="14091" width="4" style="1236" customWidth="1"/>
    <col min="14092" max="14092" width="5.109375" style="1236" customWidth="1"/>
    <col min="14093" max="14093" width="13.77734375" style="1236" customWidth="1"/>
    <col min="14094" max="14336" width="8.77734375" style="1236"/>
    <col min="14337" max="14337" width="4.77734375" style="1236" customWidth="1"/>
    <col min="14338" max="14338" width="13.109375" style="1236" customWidth="1"/>
    <col min="14339" max="14339" width="15.6640625" style="1236" customWidth="1"/>
    <col min="14340" max="14340" width="9.33203125" style="1236" bestFit="1" customWidth="1"/>
    <col min="14341" max="14341" width="13.44140625" style="1236" customWidth="1"/>
    <col min="14342" max="14342" width="8.77734375" style="1236"/>
    <col min="14343" max="14343" width="9.33203125" style="1236" bestFit="1" customWidth="1"/>
    <col min="14344" max="14345" width="8.77734375" style="1236"/>
    <col min="14346" max="14346" width="9.33203125" style="1236" bestFit="1" customWidth="1"/>
    <col min="14347" max="14347" width="4" style="1236" customWidth="1"/>
    <col min="14348" max="14348" width="5.109375" style="1236" customWidth="1"/>
    <col min="14349" max="14349" width="13.77734375" style="1236" customWidth="1"/>
    <col min="14350" max="14592" width="8.77734375" style="1236"/>
    <col min="14593" max="14593" width="4.77734375" style="1236" customWidth="1"/>
    <col min="14594" max="14594" width="13.109375" style="1236" customWidth="1"/>
    <col min="14595" max="14595" width="15.6640625" style="1236" customWidth="1"/>
    <col min="14596" max="14596" width="9.33203125" style="1236" bestFit="1" customWidth="1"/>
    <col min="14597" max="14597" width="13.44140625" style="1236" customWidth="1"/>
    <col min="14598" max="14598" width="8.77734375" style="1236"/>
    <col min="14599" max="14599" width="9.33203125" style="1236" bestFit="1" customWidth="1"/>
    <col min="14600" max="14601" width="8.77734375" style="1236"/>
    <col min="14602" max="14602" width="9.33203125" style="1236" bestFit="1" customWidth="1"/>
    <col min="14603" max="14603" width="4" style="1236" customWidth="1"/>
    <col min="14604" max="14604" width="5.109375" style="1236" customWidth="1"/>
    <col min="14605" max="14605" width="13.77734375" style="1236" customWidth="1"/>
    <col min="14606" max="14848" width="8.77734375" style="1236"/>
    <col min="14849" max="14849" width="4.77734375" style="1236" customWidth="1"/>
    <col min="14850" max="14850" width="13.109375" style="1236" customWidth="1"/>
    <col min="14851" max="14851" width="15.6640625" style="1236" customWidth="1"/>
    <col min="14852" max="14852" width="9.33203125" style="1236" bestFit="1" customWidth="1"/>
    <col min="14853" max="14853" width="13.44140625" style="1236" customWidth="1"/>
    <col min="14854" max="14854" width="8.77734375" style="1236"/>
    <col min="14855" max="14855" width="9.33203125" style="1236" bestFit="1" customWidth="1"/>
    <col min="14856" max="14857" width="8.77734375" style="1236"/>
    <col min="14858" max="14858" width="9.33203125" style="1236" bestFit="1" customWidth="1"/>
    <col min="14859" max="14859" width="4" style="1236" customWidth="1"/>
    <col min="14860" max="14860" width="5.109375" style="1236" customWidth="1"/>
    <col min="14861" max="14861" width="13.77734375" style="1236" customWidth="1"/>
    <col min="14862" max="15104" width="8.77734375" style="1236"/>
    <col min="15105" max="15105" width="4.77734375" style="1236" customWidth="1"/>
    <col min="15106" max="15106" width="13.109375" style="1236" customWidth="1"/>
    <col min="15107" max="15107" width="15.6640625" style="1236" customWidth="1"/>
    <col min="15108" max="15108" width="9.33203125" style="1236" bestFit="1" customWidth="1"/>
    <col min="15109" max="15109" width="13.44140625" style="1236" customWidth="1"/>
    <col min="15110" max="15110" width="8.77734375" style="1236"/>
    <col min="15111" max="15111" width="9.33203125" style="1236" bestFit="1" customWidth="1"/>
    <col min="15112" max="15113" width="8.77734375" style="1236"/>
    <col min="15114" max="15114" width="9.33203125" style="1236" bestFit="1" customWidth="1"/>
    <col min="15115" max="15115" width="4" style="1236" customWidth="1"/>
    <col min="15116" max="15116" width="5.109375" style="1236" customWidth="1"/>
    <col min="15117" max="15117" width="13.77734375" style="1236" customWidth="1"/>
    <col min="15118" max="15360" width="8.77734375" style="1236"/>
    <col min="15361" max="15361" width="4.77734375" style="1236" customWidth="1"/>
    <col min="15362" max="15362" width="13.109375" style="1236" customWidth="1"/>
    <col min="15363" max="15363" width="15.6640625" style="1236" customWidth="1"/>
    <col min="15364" max="15364" width="9.33203125" style="1236" bestFit="1" customWidth="1"/>
    <col min="15365" max="15365" width="13.44140625" style="1236" customWidth="1"/>
    <col min="15366" max="15366" width="8.77734375" style="1236"/>
    <col min="15367" max="15367" width="9.33203125" style="1236" bestFit="1" customWidth="1"/>
    <col min="15368" max="15369" width="8.77734375" style="1236"/>
    <col min="15370" max="15370" width="9.33203125" style="1236" bestFit="1" customWidth="1"/>
    <col min="15371" max="15371" width="4" style="1236" customWidth="1"/>
    <col min="15372" max="15372" width="5.109375" style="1236" customWidth="1"/>
    <col min="15373" max="15373" width="13.77734375" style="1236" customWidth="1"/>
    <col min="15374" max="15616" width="8.77734375" style="1236"/>
    <col min="15617" max="15617" width="4.77734375" style="1236" customWidth="1"/>
    <col min="15618" max="15618" width="13.109375" style="1236" customWidth="1"/>
    <col min="15619" max="15619" width="15.6640625" style="1236" customWidth="1"/>
    <col min="15620" max="15620" width="9.33203125" style="1236" bestFit="1" customWidth="1"/>
    <col min="15621" max="15621" width="13.44140625" style="1236" customWidth="1"/>
    <col min="15622" max="15622" width="8.77734375" style="1236"/>
    <col min="15623" max="15623" width="9.33203125" style="1236" bestFit="1" customWidth="1"/>
    <col min="15624" max="15625" width="8.77734375" style="1236"/>
    <col min="15626" max="15626" width="9.33203125" style="1236" bestFit="1" customWidth="1"/>
    <col min="15627" max="15627" width="4" style="1236" customWidth="1"/>
    <col min="15628" max="15628" width="5.109375" style="1236" customWidth="1"/>
    <col min="15629" max="15629" width="13.77734375" style="1236" customWidth="1"/>
    <col min="15630" max="15872" width="8.77734375" style="1236"/>
    <col min="15873" max="15873" width="4.77734375" style="1236" customWidth="1"/>
    <col min="15874" max="15874" width="13.109375" style="1236" customWidth="1"/>
    <col min="15875" max="15875" width="15.6640625" style="1236" customWidth="1"/>
    <col min="15876" max="15876" width="9.33203125" style="1236" bestFit="1" customWidth="1"/>
    <col min="15877" max="15877" width="13.44140625" style="1236" customWidth="1"/>
    <col min="15878" max="15878" width="8.77734375" style="1236"/>
    <col min="15879" max="15879" width="9.33203125" style="1236" bestFit="1" customWidth="1"/>
    <col min="15880" max="15881" width="8.77734375" style="1236"/>
    <col min="15882" max="15882" width="9.33203125" style="1236" bestFit="1" customWidth="1"/>
    <col min="15883" max="15883" width="4" style="1236" customWidth="1"/>
    <col min="15884" max="15884" width="5.109375" style="1236" customWidth="1"/>
    <col min="15885" max="15885" width="13.77734375" style="1236" customWidth="1"/>
    <col min="15886" max="16128" width="8.77734375" style="1236"/>
    <col min="16129" max="16129" width="4.77734375" style="1236" customWidth="1"/>
    <col min="16130" max="16130" width="13.109375" style="1236" customWidth="1"/>
    <col min="16131" max="16131" width="15.6640625" style="1236" customWidth="1"/>
    <col min="16132" max="16132" width="9.33203125" style="1236" bestFit="1" customWidth="1"/>
    <col min="16133" max="16133" width="13.44140625" style="1236" customWidth="1"/>
    <col min="16134" max="16134" width="8.77734375" style="1236"/>
    <col min="16135" max="16135" width="9.33203125" style="1236" bestFit="1" customWidth="1"/>
    <col min="16136" max="16137" width="8.77734375" style="1236"/>
    <col min="16138" max="16138" width="9.33203125" style="1236" bestFit="1" customWidth="1"/>
    <col min="16139" max="16139" width="4" style="1236" customWidth="1"/>
    <col min="16140" max="16140" width="5.109375" style="1236" customWidth="1"/>
    <col min="16141" max="16141" width="13.77734375" style="1236" customWidth="1"/>
    <col min="16142" max="16384" width="8.77734375" style="1236"/>
  </cols>
  <sheetData>
    <row r="1" spans="1:257" s="1298" customFormat="1" ht="14.4" thickBot="1">
      <c r="A1" s="1292"/>
      <c r="B1" s="1299" t="s">
        <v>602</v>
      </c>
      <c r="C1" s="1293">
        <f>项目基本情况!D3</f>
        <v>45511</v>
      </c>
      <c r="D1" s="1299" t="s">
        <v>603</v>
      </c>
      <c r="E1" s="1294">
        <f>'数据-取费表'!B22</f>
        <v>3</v>
      </c>
      <c r="F1" s="1299" t="s">
        <v>604</v>
      </c>
      <c r="G1" s="1295">
        <f ca="1">INDIRECT("d"&amp;$K$1)/100</f>
        <v>3.3500000000000002E-2</v>
      </c>
      <c r="H1" s="1299" t="s">
        <v>634</v>
      </c>
      <c r="I1" s="1295">
        <f ca="1">F4/100</f>
        <v>1.4999999999999999E-2</v>
      </c>
      <c r="J1" s="1300">
        <f>IF(C1&gt;C13,0,MATCH(C1,C$13:C$113,-1))+IF(SUMIF(C13:C113,C1,D13:D113)=0,13,12)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4"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1282" t="s">
        <v>632</v>
      </c>
      <c r="C13" s="2818">
        <v>45495</v>
      </c>
      <c r="D13" s="2819">
        <v>3.35</v>
      </c>
      <c r="E13" s="2819">
        <f>D13</f>
        <v>3.35</v>
      </c>
      <c r="F13" s="2819">
        <f>D13</f>
        <v>3.35</v>
      </c>
      <c r="G13" s="2819">
        <f>D13</f>
        <v>3.35</v>
      </c>
      <c r="H13" s="2819">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13"/>
      <c r="C14" s="2815">
        <v>45342</v>
      </c>
      <c r="D14" s="2814">
        <v>3.45</v>
      </c>
      <c r="E14" s="2814">
        <f>D14</f>
        <v>3.45</v>
      </c>
      <c r="F14" s="2814">
        <f>D14</f>
        <v>3.45</v>
      </c>
      <c r="G14" s="2814">
        <f>D14</f>
        <v>3.45</v>
      </c>
      <c r="H14" s="2814">
        <v>3.95</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13"/>
      <c r="C15" s="2815">
        <v>45159</v>
      </c>
      <c r="D15" s="2814">
        <v>3.45</v>
      </c>
      <c r="E15" s="2814">
        <f>D15</f>
        <v>3.45</v>
      </c>
      <c r="F15" s="2814">
        <f>D15</f>
        <v>3.45</v>
      </c>
      <c r="G15" s="2814">
        <f>D15</f>
        <v>3.45</v>
      </c>
      <c r="H15" s="2814">
        <v>4.2</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13"/>
      <c r="C16" s="2815">
        <v>45097</v>
      </c>
      <c r="D16" s="2814">
        <v>3.55</v>
      </c>
      <c r="E16" s="2814">
        <f>D16</f>
        <v>3.55</v>
      </c>
      <c r="F16" s="2814">
        <f>D16</f>
        <v>3.55</v>
      </c>
      <c r="G16" s="2814">
        <f>D16</f>
        <v>3.55</v>
      </c>
      <c r="H16" s="2814">
        <v>4.2</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13"/>
      <c r="C17" s="2815">
        <v>44795</v>
      </c>
      <c r="D17" s="2814">
        <v>3.65</v>
      </c>
      <c r="E17" s="2814">
        <v>3.65</v>
      </c>
      <c r="F17" s="2814">
        <v>3.65</v>
      </c>
      <c r="G17" s="2814">
        <v>3.65</v>
      </c>
      <c r="H17" s="2814">
        <v>4.3</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13"/>
      <c r="C18" s="2815">
        <v>44701</v>
      </c>
      <c r="D18" s="2814">
        <v>3.7</v>
      </c>
      <c r="E18" s="2814">
        <f>D18</f>
        <v>3.7</v>
      </c>
      <c r="F18" s="2814">
        <f>D18</f>
        <v>3.7</v>
      </c>
      <c r="G18" s="2814">
        <f>D18</f>
        <v>3.7</v>
      </c>
      <c r="H18" s="2814">
        <v>4.45</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1"/>
      <c r="B19" s="2813"/>
      <c r="C19" s="2815">
        <v>44581</v>
      </c>
      <c r="D19" s="2814">
        <v>3.7</v>
      </c>
      <c r="E19" s="2814">
        <f>D19</f>
        <v>3.7</v>
      </c>
      <c r="F19" s="2814">
        <f>D19</f>
        <v>3.7</v>
      </c>
      <c r="G19" s="2814">
        <f>D19</f>
        <v>3.7</v>
      </c>
      <c r="H19" s="2814">
        <v>4.5999999999999996</v>
      </c>
      <c r="I19" s="2819"/>
      <c r="J19" s="2819"/>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14"/>
      <c r="C20" s="2815">
        <v>44550</v>
      </c>
      <c r="D20" s="2814">
        <v>3.8</v>
      </c>
      <c r="E20" s="2814">
        <f>D20</f>
        <v>3.8</v>
      </c>
      <c r="F20" s="2814">
        <f>D20</f>
        <v>3.8</v>
      </c>
      <c r="G20" s="2814">
        <f>D20</f>
        <v>3.8</v>
      </c>
      <c r="H20" s="2814">
        <v>4.6500000000000004</v>
      </c>
      <c r="I20" s="2814"/>
      <c r="J20" s="2819"/>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14"/>
      <c r="C21" s="2815">
        <v>43941</v>
      </c>
      <c r="D21" s="2814">
        <v>3.85</v>
      </c>
      <c r="E21" s="2814">
        <v>3.85</v>
      </c>
      <c r="F21" s="2814">
        <v>3.85</v>
      </c>
      <c r="G21" s="2814">
        <v>3.85</v>
      </c>
      <c r="H21" s="2814">
        <v>4.6500000000000004</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1281"/>
      <c r="B22" s="2814"/>
      <c r="C22" s="2815">
        <v>43881</v>
      </c>
      <c r="D22" s="2814">
        <v>4.05</v>
      </c>
      <c r="E22" s="2814">
        <v>4.05</v>
      </c>
      <c r="F22" s="2814">
        <v>4.05</v>
      </c>
      <c r="G22" s="2814">
        <v>4.05</v>
      </c>
      <c r="H22" s="2814">
        <v>4.75</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5.6">
      <c r="A23" s="2820"/>
      <c r="B23" s="2814"/>
      <c r="C23" s="2815">
        <v>43789</v>
      </c>
      <c r="D23" s="2814">
        <v>4.1500000000000004</v>
      </c>
      <c r="E23" s="2814">
        <v>4.1500000000000004</v>
      </c>
      <c r="F23" s="2814">
        <v>4.1500000000000004</v>
      </c>
      <c r="G23" s="2814">
        <v>4.1500000000000004</v>
      </c>
      <c r="H23" s="2814">
        <v>4.8</v>
      </c>
      <c r="I23" s="2814"/>
      <c r="J23" s="2814"/>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4"/>
      <c r="C24" s="2815">
        <v>43728</v>
      </c>
      <c r="D24" s="2814">
        <v>4.2</v>
      </c>
      <c r="E24" s="2814">
        <v>4.2</v>
      </c>
      <c r="F24" s="2814">
        <v>4.2</v>
      </c>
      <c r="G24" s="2814">
        <v>4.2</v>
      </c>
      <c r="H24" s="2814">
        <v>4.8499999999999996</v>
      </c>
      <c r="I24" s="2814"/>
      <c r="J24" s="2814"/>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5.6">
      <c r="B25" s="2813" t="s">
        <v>2310</v>
      </c>
      <c r="C25" s="2816">
        <v>43697</v>
      </c>
      <c r="D25" s="2817">
        <v>4.25</v>
      </c>
      <c r="E25" s="2817">
        <v>4.25</v>
      </c>
      <c r="F25" s="2817">
        <v>4.25</v>
      </c>
      <c r="G25" s="2817">
        <v>4.25</v>
      </c>
      <c r="H25" s="2817">
        <v>4.8499999999999996</v>
      </c>
      <c r="I25" s="2817"/>
      <c r="J25" s="2817"/>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5.6">
      <c r="B26" s="2821"/>
      <c r="C26" s="2822">
        <v>42301</v>
      </c>
      <c r="D26" s="2823">
        <v>4.3499999999999996</v>
      </c>
      <c r="E26" s="2823">
        <v>4.3499999999999996</v>
      </c>
      <c r="F26" s="2823">
        <v>4.75</v>
      </c>
      <c r="G26" s="2823">
        <v>4.75</v>
      </c>
      <c r="H26" s="2823">
        <v>4.9000000000000004</v>
      </c>
      <c r="I26" s="2823"/>
      <c r="J26" s="2823"/>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646" t="s">
        <v>949</v>
      </c>
      <c r="B1" s="3646"/>
      <c r="C1" s="3646"/>
      <c r="D1" s="3646"/>
    </row>
    <row r="2" spans="1:4" ht="17.399999999999999">
      <c r="A2" s="3647" t="s">
        <v>933</v>
      </c>
      <c r="B2" s="3647"/>
      <c r="C2" s="3647"/>
      <c r="D2" s="3647"/>
    </row>
    <row r="3" spans="1:4" ht="17.399999999999999">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7.399999999999999">
      <c r="A6" s="3647" t="s">
        <v>939</v>
      </c>
      <c r="B6" s="3647"/>
      <c r="C6" s="3647"/>
      <c r="D6" s="3647"/>
    </row>
    <row r="7" spans="1:4" ht="17.399999999999999">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7.399999999999999">
      <c r="A10" s="1513" t="s">
        <v>941</v>
      </c>
      <c r="B10" s="673"/>
      <c r="C10" s="673"/>
      <c r="D10" s="673"/>
    </row>
    <row r="11" spans="1:4" ht="30" customHeight="1">
      <c r="A11" s="3648" t="s">
        <v>942</v>
      </c>
      <c r="B11" s="3649"/>
      <c r="C11" s="3649"/>
      <c r="D11" s="3649"/>
    </row>
    <row r="12" spans="1:4" ht="15.6">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0"/>
      <c r="C12" s="3650"/>
      <c r="D12" s="3650"/>
    </row>
    <row r="13" spans="1:4" ht="30" customHeight="1">
      <c r="A13" s="3649" t="str">
        <f>IF(项目基本情况!B8="抵押","3.抵押双方在办理抵押登记手续时，应使用本公司出具的正式《房地产评估报告》，特提醒报告使用者注意。","——")</f>
        <v>——</v>
      </c>
      <c r="B13" s="3650"/>
      <c r="C13" s="3650"/>
      <c r="D13" s="3650"/>
    </row>
    <row r="14" spans="1:4" ht="15.75" customHeight="1">
      <c r="A14" s="3649" t="str">
        <f>IF(项目基本情况!B8="抵押","4.本次评估估价师所知悉的法定优先受偿款情况说明如下：","——")</f>
        <v>——</v>
      </c>
      <c r="B14" s="3650"/>
      <c r="C14" s="3650"/>
      <c r="D14" s="3650"/>
    </row>
    <row r="15" spans="1:4" ht="42" customHeight="1">
      <c r="A15" s="3649" t="str">
        <f>IF(项目基本情况!B8="抵押","（1）"&amp;CONCATENATE(项目基本情况!L20,项目基本情况!L21,项目基本情况!L22),"——")</f>
        <v>——</v>
      </c>
      <c r="B15" s="3649"/>
      <c r="C15" s="3649"/>
      <c r="D15" s="3649"/>
    </row>
    <row r="16" spans="1:4" ht="30" customHeight="1">
      <c r="A16" s="3652" t="s">
        <v>943</v>
      </c>
      <c r="B16" s="3652"/>
      <c r="C16" s="3652"/>
      <c r="D16" s="3652"/>
    </row>
    <row r="17" spans="1:4" ht="144" customHeight="1">
      <c r="A17" s="3652" t="s">
        <v>944</v>
      </c>
      <c r="B17" s="3652"/>
      <c r="C17" s="3652"/>
      <c r="D17" s="3652"/>
    </row>
    <row r="18" spans="1:4" ht="15.75" customHeight="1">
      <c r="A18" s="3649" t="str">
        <f>IF(项目基本情况!B8="抵押",结果表!K120,"——")</f>
        <v>——</v>
      </c>
      <c r="B18" s="3649"/>
      <c r="C18" s="3649"/>
      <c r="D18" s="3649"/>
    </row>
    <row r="19" spans="1:4" ht="46.5" customHeight="1">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spans="1:4" ht="57.75" customHeight="1">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spans="1:4" ht="57.75" customHeight="1">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spans="1:4" ht="18.75" customHeight="1">
      <c r="A22" s="3654" t="s">
        <v>945</v>
      </c>
      <c r="B22" s="3654"/>
      <c r="C22" s="3654"/>
      <c r="D22" s="3654"/>
    </row>
    <row r="23" spans="1:4">
      <c r="A23" s="1514"/>
      <c r="B23" s="1486"/>
      <c r="C23" s="1486"/>
      <c r="D23" s="1486"/>
    </row>
    <row r="24" spans="1:4">
      <c r="A24" s="1514"/>
      <c r="B24" s="1486"/>
      <c r="C24" s="1486"/>
      <c r="D24" s="1486"/>
    </row>
    <row r="25" spans="1:4" ht="17.399999999999999">
      <c r="A25" s="1515" t="s">
        <v>946</v>
      </c>
    </row>
    <row r="26" spans="1:4" ht="17.399999999999999">
      <c r="A26" s="1484"/>
    </row>
    <row r="27" spans="1:4" ht="17.399999999999999">
      <c r="A27" s="1484" t="s">
        <v>947</v>
      </c>
    </row>
    <row r="30" spans="1:4" ht="17.399999999999999">
      <c r="D30" s="1515" t="s">
        <v>948</v>
      </c>
    </row>
    <row r="31" spans="1:4" ht="13.5" customHeight="1">
      <c r="C31" s="3651">
        <v>42551</v>
      </c>
      <c r="D31" s="36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8"/>
  <cols>
    <col min="1" max="2" width="13.109375" style="1472" customWidth="1"/>
    <col min="3" max="10" width="12.44140625" style="1472" customWidth="1"/>
    <col min="11" max="16384" width="9" style="1472"/>
  </cols>
  <sheetData>
    <row r="1" spans="1:10" ht="17.399999999999999">
      <c r="A1" s="1505" t="s">
        <v>391</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8">
      <c r="A15" s="3660" t="s">
        <v>956</v>
      </c>
      <c r="B15" s="3655" t="s">
        <v>109</v>
      </c>
      <c r="C15" s="3656"/>
    </row>
    <row r="16" spans="1:7" ht="13.8">
      <c r="A16" s="3661"/>
      <c r="B16" s="3655" t="s">
        <v>42</v>
      </c>
      <c r="C16" s="3656"/>
    </row>
    <row r="17" spans="1:3" ht="13.8">
      <c r="A17" s="3661"/>
      <c r="B17" s="3658" t="s">
        <v>957</v>
      </c>
      <c r="C17" s="1529" t="s">
        <v>956</v>
      </c>
    </row>
    <row r="18" spans="1:3" ht="13.8">
      <c r="A18" s="3661"/>
      <c r="B18" s="3658"/>
      <c r="C18" s="1529" t="s">
        <v>958</v>
      </c>
    </row>
    <row r="19" spans="1:3" ht="13.8">
      <c r="A19" s="3661"/>
      <c r="B19" s="3658"/>
      <c r="C19" s="1529" t="s">
        <v>959</v>
      </c>
    </row>
    <row r="20" spans="1:3" ht="13.8">
      <c r="A20" s="3662"/>
      <c r="B20" s="3657" t="s">
        <v>960</v>
      </c>
      <c r="C20" s="3656"/>
    </row>
    <row r="21" spans="1:3" ht="13.8">
      <c r="A21" s="1530" t="s">
        <v>961</v>
      </c>
      <c r="B21" s="1531"/>
      <c r="C21" s="1532"/>
    </row>
    <row r="22" spans="1:3" ht="13.8">
      <c r="A22" s="3659" t="s">
        <v>962</v>
      </c>
      <c r="B22" s="3657" t="s">
        <v>963</v>
      </c>
      <c r="C22" s="3656"/>
    </row>
    <row r="23" spans="1:3" ht="13.8">
      <c r="A23" s="3659"/>
      <c r="B23" s="3657" t="s">
        <v>964</v>
      </c>
      <c r="C23" s="3656"/>
    </row>
    <row r="24" spans="1:3" ht="13.8">
      <c r="A24" s="3659"/>
      <c r="B24" s="3657" t="s">
        <v>965</v>
      </c>
      <c r="C24" s="3656"/>
    </row>
    <row r="25" spans="1:3" ht="13.8">
      <c r="A25" s="3659"/>
      <c r="B25" s="3658" t="s">
        <v>966</v>
      </c>
      <c r="C25" s="1529" t="s">
        <v>967</v>
      </c>
    </row>
    <row r="26" spans="1:3" ht="13.8">
      <c r="A26" s="3659"/>
      <c r="B26" s="3658"/>
      <c r="C26" s="1529" t="s">
        <v>968</v>
      </c>
    </row>
    <row r="27" spans="1:3" ht="13.8">
      <c r="A27" s="3659"/>
      <c r="B27" s="3658"/>
      <c r="C27" s="1529" t="s">
        <v>969</v>
      </c>
    </row>
    <row r="28" spans="1:3" ht="13.8">
      <c r="A28" s="3659"/>
      <c r="B28" s="3658"/>
      <c r="C28" s="1529" t="s">
        <v>970</v>
      </c>
    </row>
    <row r="29" spans="1:3" ht="13.8">
      <c r="A29" s="3659"/>
      <c r="B29" s="3658"/>
      <c r="C29" s="1529" t="s">
        <v>971</v>
      </c>
    </row>
    <row r="30" spans="1:3" ht="13.8">
      <c r="A30" s="3659"/>
      <c r="B30" s="3658"/>
      <c r="C30" s="1529" t="s">
        <v>972</v>
      </c>
    </row>
    <row r="31" spans="1:3" ht="13.8">
      <c r="A31" s="3659"/>
      <c r="B31" s="3658"/>
      <c r="C31" s="1529" t="s">
        <v>973</v>
      </c>
    </row>
    <row r="32" spans="1:3" ht="13.8">
      <c r="A32" s="3659"/>
      <c r="B32" s="3658"/>
      <c r="C32" s="1529" t="s">
        <v>974</v>
      </c>
    </row>
    <row r="33" spans="1:3" ht="13.8">
      <c r="A33" s="3659"/>
      <c r="B33" s="3658"/>
      <c r="C33" s="1529" t="s">
        <v>975</v>
      </c>
    </row>
    <row r="34" spans="1:3">
      <c r="A34" s="1533" t="s">
        <v>49</v>
      </c>
    </row>
    <row r="37" spans="1:3">
      <c r="A37" s="1533" t="s">
        <v>976</v>
      </c>
    </row>
    <row r="38" spans="1:3" ht="13.8">
      <c r="A38" s="1534" t="s">
        <v>50</v>
      </c>
    </row>
    <row r="39" spans="1:3" ht="13.8">
      <c r="A39" s="1534" t="s">
        <v>51</v>
      </c>
    </row>
    <row r="40" spans="1:3" ht="13.8">
      <c r="A40" s="1534" t="s">
        <v>52</v>
      </c>
    </row>
    <row r="41" spans="1:3" ht="13.8">
      <c r="A41" s="1535" t="s">
        <v>53</v>
      </c>
    </row>
    <row r="42" spans="1:3" ht="13.8">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B8" sqref="B8"/>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2138</v>
      </c>
      <c r="B2" s="2336">
        <f ca="1">TODAY()</f>
        <v>45534</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2437</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663" t="s">
        <v>2159</v>
      </c>
      <c r="B17" s="3663"/>
      <c r="C17" s="3663"/>
      <c r="D17" s="3663"/>
      <c r="E17" s="3663"/>
      <c r="F17" s="3663"/>
      <c r="G17" s="3663"/>
      <c r="H17" s="3663"/>
    </row>
    <row r="18" spans="1:8" ht="24" customHeight="1">
      <c r="A18" s="3664" t="s">
        <v>2160</v>
      </c>
      <c r="B18" s="3664"/>
      <c r="C18" s="3664"/>
      <c r="D18" s="2340"/>
      <c r="E18" s="3665" t="s">
        <v>2161</v>
      </c>
      <c r="F18" s="3664"/>
      <c r="G18" s="3664"/>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面积表</vt:lpstr>
      <vt:lpstr>测算表</vt:lpstr>
      <vt:lpstr>成本法</vt:lpstr>
      <vt:lpstr>收益法</vt:lpstr>
      <vt:lpstr>资料整理</vt:lpstr>
      <vt:lpstr>系统读取表</vt:lpstr>
      <vt:lpstr>结果表</vt:lpstr>
      <vt:lpstr>基准地价修正</vt:lpstr>
      <vt:lpstr>Sheet2</vt:lpstr>
      <vt:lpstr>Sheet3</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工作表3</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2024-08-30T09:06:41Z</dcterms:modified>
</cp:coreProperties>
</file>