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周彤\报告\2025年\询价\丰联询价-吴姐-华夏\"/>
    </mc:Choice>
  </mc:AlternateContent>
  <xr:revisionPtr revIDLastSave="0" documentId="13_ncr:1_{1D0A8DDA-182F-42E2-8B4F-5EF0A6AEB14C}"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结果表 (2)" sheetId="83" r:id="rId40"/>
    <sheet name="基准地价修正 (2)" sheetId="81" r:id="rId41"/>
    <sheet name="成本法商" sheetId="80" r:id="rId42"/>
    <sheet name="收益法商" sheetId="82" r:id="rId43"/>
    <sheet name="区片价" sheetId="44" r:id="rId44"/>
    <sheet name="因素修正幅度" sheetId="65"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41">成本法商!$A$1:$G$57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40">'基准地价修正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39">'结果表 (2)'!$A$1:$I$127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42">收益法商!$A$1:$F$43,收益法商!$H$3:$M$29,收益法商!$A$46:$F$71,收益法商!$I$46:$N$65</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N7" i="1"/>
  <c r="C6" i="80" l="1"/>
  <c r="D37" i="81"/>
  <c r="Y7" i="1"/>
  <c r="A120" i="83"/>
  <c r="A118" i="83"/>
  <c r="E111" i="83"/>
  <c r="E109" i="83"/>
  <c r="A124" i="83" s="1"/>
  <c r="E107" i="83"/>
  <c r="A122" i="83" s="1"/>
  <c r="H106" i="83"/>
  <c r="H105" i="83"/>
  <c r="H104" i="83"/>
  <c r="H103" i="83"/>
  <c r="D120" i="83" s="1"/>
  <c r="D101" i="83"/>
  <c r="C101" i="83"/>
  <c r="D93" i="83"/>
  <c r="E90" i="83"/>
  <c r="D89" i="83"/>
  <c r="C88" i="83"/>
  <c r="C89" i="83" s="1"/>
  <c r="C87" i="83" s="1"/>
  <c r="L85" i="83"/>
  <c r="I91" i="83" s="1"/>
  <c r="C91" i="83" s="1"/>
  <c r="D78" i="83"/>
  <c r="H77" i="83"/>
  <c r="D77" i="83"/>
  <c r="C77" i="83" s="1"/>
  <c r="C74" i="83" s="1"/>
  <c r="C76" i="83"/>
  <c r="D68" i="83"/>
  <c r="F59" i="83"/>
  <c r="E59" i="83"/>
  <c r="N55" i="83" s="1"/>
  <c r="D59" i="83"/>
  <c r="M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M47" i="83"/>
  <c r="F33" i="83"/>
  <c r="D27" i="83"/>
  <c r="C25" i="83"/>
  <c r="C24" i="83"/>
  <c r="M19" i="83"/>
  <c r="C118" i="83" s="1"/>
  <c r="L19" i="83"/>
  <c r="M18" i="83"/>
  <c r="B118" i="83" s="1"/>
  <c r="L18" i="83"/>
  <c r="D17" i="83"/>
  <c r="C18" i="83" s="1"/>
  <c r="D18" i="83" s="1"/>
  <c r="C17" i="83"/>
  <c r="L4" i="83"/>
  <c r="K4" i="83"/>
  <c r="A2" i="83"/>
  <c r="H1" i="83"/>
  <c r="Q72" i="82"/>
  <c r="F62" i="82"/>
  <c r="F60" i="82"/>
  <c r="Q59" i="82"/>
  <c r="K59" i="82"/>
  <c r="P74" i="82" s="1"/>
  <c r="F59" i="82"/>
  <c r="Q58" i="82"/>
  <c r="Q51" i="82"/>
  <c r="J51" i="82"/>
  <c r="J50" i="82"/>
  <c r="J49" i="82"/>
  <c r="M47" i="82"/>
  <c r="D46" i="82"/>
  <c r="F34" i="82"/>
  <c r="F33" i="82"/>
  <c r="F61" i="82" s="1"/>
  <c r="F32" i="82"/>
  <c r="F31" i="82"/>
  <c r="F28" i="82"/>
  <c r="C28" i="82"/>
  <c r="D24" i="82"/>
  <c r="F23" i="82"/>
  <c r="D23" i="82"/>
  <c r="D22" i="82"/>
  <c r="F21" i="82"/>
  <c r="M20" i="82"/>
  <c r="F20" i="82"/>
  <c r="M19" i="82"/>
  <c r="M18" i="82"/>
  <c r="F18" i="82"/>
  <c r="M17" i="82"/>
  <c r="F17" i="82"/>
  <c r="F15" i="82"/>
  <c r="G1" i="82"/>
  <c r="F116" i="81"/>
  <c r="J112" i="81"/>
  <c r="F112" i="81"/>
  <c r="E112" i="81"/>
  <c r="N111" i="81"/>
  <c r="N112" i="81" s="1"/>
  <c r="M111" i="81"/>
  <c r="M112" i="81" s="1"/>
  <c r="L111" i="81"/>
  <c r="L112" i="81" s="1"/>
  <c r="K111" i="81"/>
  <c r="K112" i="81" s="1"/>
  <c r="J111" i="81"/>
  <c r="I111" i="81"/>
  <c r="I112" i="81" s="1"/>
  <c r="H111" i="81"/>
  <c r="H112" i="81" s="1"/>
  <c r="G111" i="81"/>
  <c r="G112" i="81" s="1"/>
  <c r="F111" i="81"/>
  <c r="E111" i="81"/>
  <c r="D111" i="81"/>
  <c r="D112" i="81" s="1"/>
  <c r="C111" i="81"/>
  <c r="C112" i="81" s="1"/>
  <c r="N101" i="81"/>
  <c r="M101" i="81"/>
  <c r="K101" i="81"/>
  <c r="J101" i="81"/>
  <c r="D101" i="81"/>
  <c r="B101" i="81"/>
  <c r="N100" i="81"/>
  <c r="M100" i="81"/>
  <c r="K100" i="81"/>
  <c r="J100" i="81"/>
  <c r="D100" i="81"/>
  <c r="B100" i="81"/>
  <c r="N99" i="81"/>
  <c r="M99" i="81"/>
  <c r="K99" i="81"/>
  <c r="J99" i="81"/>
  <c r="D99" i="81"/>
  <c r="B99" i="81"/>
  <c r="N98" i="81"/>
  <c r="M98" i="81"/>
  <c r="K98" i="81"/>
  <c r="J98" i="81" s="1"/>
  <c r="D98" i="81"/>
  <c r="N97" i="81"/>
  <c r="M97" i="81"/>
  <c r="K97" i="81"/>
  <c r="J97" i="81"/>
  <c r="D97" i="81"/>
  <c r="B97" i="81"/>
  <c r="M96" i="81"/>
  <c r="N96" i="81" s="1"/>
  <c r="K96" i="81"/>
  <c r="J96" i="81"/>
  <c r="D96" i="81"/>
  <c r="E93" i="81" s="1"/>
  <c r="B91" i="81" s="1"/>
  <c r="N95" i="81"/>
  <c r="M95" i="81"/>
  <c r="K95" i="81"/>
  <c r="J95" i="81"/>
  <c r="D95" i="81"/>
  <c r="B95" i="81"/>
  <c r="N94" i="81"/>
  <c r="M94" i="81"/>
  <c r="K94" i="81"/>
  <c r="J94" i="81"/>
  <c r="D94" i="81"/>
  <c r="B94" i="81"/>
  <c r="N93" i="81"/>
  <c r="M93" i="81"/>
  <c r="K93" i="81"/>
  <c r="J93" i="81"/>
  <c r="F93" i="81"/>
  <c r="H97" i="81" s="1"/>
  <c r="D93" i="81"/>
  <c r="N90" i="81"/>
  <c r="M90" i="81"/>
  <c r="K90" i="81"/>
  <c r="J90" i="81"/>
  <c r="D90" i="81"/>
  <c r="B90" i="81"/>
  <c r="M89" i="81"/>
  <c r="N89" i="81" s="1"/>
  <c r="K89" i="81"/>
  <c r="J89" i="81"/>
  <c r="D89" i="81"/>
  <c r="N88" i="81"/>
  <c r="M88" i="81"/>
  <c r="K88" i="81"/>
  <c r="J88" i="81"/>
  <c r="D88" i="81"/>
  <c r="B88" i="81"/>
  <c r="N87" i="81"/>
  <c r="M87" i="81"/>
  <c r="K87" i="81"/>
  <c r="J87" i="81"/>
  <c r="D87" i="81"/>
  <c r="B87" i="81"/>
  <c r="M86" i="81"/>
  <c r="N86" i="81" s="1"/>
  <c r="K86" i="81"/>
  <c r="J86" i="81"/>
  <c r="D86" i="81"/>
  <c r="E83" i="81" s="1"/>
  <c r="B81" i="81" s="1"/>
  <c r="B86" i="81"/>
  <c r="N85" i="81"/>
  <c r="M85" i="81"/>
  <c r="K85" i="81"/>
  <c r="J85" i="81" s="1"/>
  <c r="D85" i="81"/>
  <c r="B85" i="81"/>
  <c r="N84" i="81"/>
  <c r="M84" i="81"/>
  <c r="K84" i="81"/>
  <c r="J84" i="81"/>
  <c r="D84" i="81"/>
  <c r="B84" i="81"/>
  <c r="N83" i="81"/>
  <c r="M83" i="81"/>
  <c r="K83" i="81"/>
  <c r="J83" i="81"/>
  <c r="F83" i="81"/>
  <c r="H87" i="81" s="1"/>
  <c r="D83" i="81"/>
  <c r="B83" i="81"/>
  <c r="N80" i="81"/>
  <c r="M80" i="81"/>
  <c r="K80" i="81"/>
  <c r="J80" i="81" s="1"/>
  <c r="D80" i="81"/>
  <c r="N79" i="81"/>
  <c r="M79" i="81"/>
  <c r="K79" i="81"/>
  <c r="J79" i="81"/>
  <c r="D79" i="81"/>
  <c r="B79" i="81"/>
  <c r="M78" i="81"/>
  <c r="N78" i="81" s="1"/>
  <c r="K78" i="81"/>
  <c r="J78" i="81"/>
  <c r="D78" i="81"/>
  <c r="N77" i="81"/>
  <c r="M77" i="81"/>
  <c r="K77" i="81"/>
  <c r="J77" i="81"/>
  <c r="H77" i="81"/>
  <c r="D77" i="81"/>
  <c r="B77" i="81"/>
  <c r="N76" i="81"/>
  <c r="M76" i="81"/>
  <c r="K76" i="81"/>
  <c r="J76" i="81"/>
  <c r="D76" i="81"/>
  <c r="B76" i="81"/>
  <c r="M75" i="81"/>
  <c r="N75" i="81" s="1"/>
  <c r="K75" i="81"/>
  <c r="J75" i="81"/>
  <c r="D75" i="81"/>
  <c r="E72" i="81" s="1"/>
  <c r="B70" i="81" s="1"/>
  <c r="B75" i="81"/>
  <c r="N74" i="81"/>
  <c r="M74" i="81"/>
  <c r="K74" i="81"/>
  <c r="J74" i="81" s="1"/>
  <c r="D74" i="81"/>
  <c r="B74" i="81"/>
  <c r="N73" i="81"/>
  <c r="M73" i="81"/>
  <c r="K73" i="81"/>
  <c r="J73" i="81"/>
  <c r="D73" i="81"/>
  <c r="B73" i="81"/>
  <c r="N72" i="81"/>
  <c r="M72" i="81"/>
  <c r="K72" i="81"/>
  <c r="J72" i="81"/>
  <c r="F72" i="81"/>
  <c r="H75" i="81" s="1"/>
  <c r="D72" i="81"/>
  <c r="B72" i="81"/>
  <c r="N69" i="81"/>
  <c r="M69" i="81"/>
  <c r="K69" i="81"/>
  <c r="J69" i="81" s="1"/>
  <c r="D69" i="81"/>
  <c r="B69" i="81"/>
  <c r="N68" i="81"/>
  <c r="M68" i="81"/>
  <c r="K68" i="81"/>
  <c r="J68" i="81"/>
  <c r="D68" i="81" s="1"/>
  <c r="B68" i="81"/>
  <c r="N67" i="81"/>
  <c r="M67" i="81"/>
  <c r="K67" i="81"/>
  <c r="J67" i="81"/>
  <c r="D67" i="81"/>
  <c r="B67" i="81"/>
  <c r="N66" i="81"/>
  <c r="M66" i="81"/>
  <c r="K66" i="81"/>
  <c r="J66" i="81"/>
  <c r="D66" i="81"/>
  <c r="M65" i="81"/>
  <c r="N65" i="81" s="1"/>
  <c r="K65" i="81"/>
  <c r="D65" i="81" s="1"/>
  <c r="J65" i="81"/>
  <c r="B65" i="81"/>
  <c r="N64" i="81"/>
  <c r="M64" i="81"/>
  <c r="K64" i="81"/>
  <c r="D64" i="81" s="1"/>
  <c r="M63" i="81"/>
  <c r="N63" i="81" s="1"/>
  <c r="K63" i="81"/>
  <c r="J63" i="81" s="1"/>
  <c r="D63" i="81"/>
  <c r="B63" i="81"/>
  <c r="M62" i="81"/>
  <c r="N62" i="81" s="1"/>
  <c r="K62" i="81"/>
  <c r="J62" i="81" s="1"/>
  <c r="B62" i="81"/>
  <c r="N61" i="81"/>
  <c r="M61" i="81"/>
  <c r="K61" i="81"/>
  <c r="J61" i="81" s="1"/>
  <c r="D61" i="81"/>
  <c r="B61" i="81"/>
  <c r="N58" i="81"/>
  <c r="M58" i="81"/>
  <c r="K58" i="81"/>
  <c r="J58" i="81" s="1"/>
  <c r="D58" i="81"/>
  <c r="B58" i="81"/>
  <c r="M57" i="81"/>
  <c r="N57" i="81" s="1"/>
  <c r="K57" i="81"/>
  <c r="J57" i="81"/>
  <c r="D57" i="81"/>
  <c r="B57" i="81"/>
  <c r="M56" i="81"/>
  <c r="N56" i="81" s="1"/>
  <c r="K56" i="81"/>
  <c r="J56" i="81" s="1"/>
  <c r="D56" i="81"/>
  <c r="B56" i="81"/>
  <c r="N55" i="81"/>
  <c r="M55" i="81"/>
  <c r="K55" i="81"/>
  <c r="J55" i="81"/>
  <c r="D55" i="81"/>
  <c r="M54" i="81"/>
  <c r="N54" i="81" s="1"/>
  <c r="K54" i="81"/>
  <c r="J54" i="81"/>
  <c r="D54" i="81"/>
  <c r="B54" i="81"/>
  <c r="M53" i="81"/>
  <c r="N53" i="81" s="1"/>
  <c r="K53" i="81"/>
  <c r="J53" i="81" s="1"/>
  <c r="D53" i="81"/>
  <c r="M52" i="81"/>
  <c r="N52" i="81" s="1"/>
  <c r="K52" i="81"/>
  <c r="J52" i="81" s="1"/>
  <c r="D52" i="81"/>
  <c r="B52" i="81"/>
  <c r="M51" i="81"/>
  <c r="N51" i="81" s="1"/>
  <c r="K51" i="81"/>
  <c r="J51" i="81" s="1"/>
  <c r="D51" i="81"/>
  <c r="B51" i="81"/>
  <c r="M50" i="81"/>
  <c r="N50" i="81" s="1"/>
  <c r="K50" i="81"/>
  <c r="J50" i="81" s="1"/>
  <c r="D50" i="81"/>
  <c r="B50" i="81"/>
  <c r="H42" i="81"/>
  <c r="H41" i="81"/>
  <c r="H40" i="81"/>
  <c r="H39" i="81"/>
  <c r="H38" i="81"/>
  <c r="H37" i="81"/>
  <c r="P29" i="81"/>
  <c r="J26" i="81"/>
  <c r="E26" i="81"/>
  <c r="P25" i="81"/>
  <c r="M24" i="81"/>
  <c r="J24" i="81"/>
  <c r="G24" i="81"/>
  <c r="E44" i="81" s="1"/>
  <c r="C44" i="81" s="1"/>
  <c r="E24" i="81"/>
  <c r="P32" i="81" s="1"/>
  <c r="O23" i="81"/>
  <c r="M23" i="81"/>
  <c r="I23" i="81"/>
  <c r="G23" i="81"/>
  <c r="P27" i="81" s="1"/>
  <c r="C23" i="81"/>
  <c r="C22" i="81"/>
  <c r="G17" i="81"/>
  <c r="C17" i="81"/>
  <c r="C13" i="81"/>
  <c r="AH10" i="81"/>
  <c r="AG10" i="81"/>
  <c r="AD10" i="81"/>
  <c r="AC10" i="81"/>
  <c r="Z10" i="81"/>
  <c r="Y10" i="81"/>
  <c r="C10" i="81"/>
  <c r="C11" i="81" s="1"/>
  <c r="E8" i="81" s="1"/>
  <c r="AJ9" i="81"/>
  <c r="AJ10" i="81" s="1"/>
  <c r="AI9" i="81"/>
  <c r="AI10" i="81" s="1"/>
  <c r="AH9" i="81"/>
  <c r="AG9" i="81"/>
  <c r="AF9" i="81"/>
  <c r="AF10" i="81" s="1"/>
  <c r="AE9" i="81"/>
  <c r="AE10" i="81" s="1"/>
  <c r="AD9" i="81"/>
  <c r="AC9" i="81"/>
  <c r="AB9" i="81"/>
  <c r="AB10" i="81" s="1"/>
  <c r="AA9" i="81"/>
  <c r="AA10" i="81" s="1"/>
  <c r="Z9" i="81"/>
  <c r="C9" i="81"/>
  <c r="G3" i="81"/>
  <c r="I2" i="81"/>
  <c r="N12" i="81" s="1"/>
  <c r="G2" i="81"/>
  <c r="F40" i="81" s="1"/>
  <c r="D1" i="81"/>
  <c r="F48" i="80"/>
  <c r="C48" i="80"/>
  <c r="G41" i="80"/>
  <c r="F40" i="80"/>
  <c r="F38" i="80"/>
  <c r="E37" i="80"/>
  <c r="F36" i="80"/>
  <c r="F35" i="80"/>
  <c r="F34" i="80"/>
  <c r="F30" i="80"/>
  <c r="C30" i="80"/>
  <c r="G22" i="80"/>
  <c r="F21" i="80"/>
  <c r="F20" i="80"/>
  <c r="F39" i="80" s="1"/>
  <c r="E19" i="80"/>
  <c r="C19" i="80"/>
  <c r="E10" i="80"/>
  <c r="E9" i="80"/>
  <c r="F7" i="80"/>
  <c r="G1" i="80"/>
  <c r="G20" i="6"/>
  <c r="K14" i="3"/>
  <c r="I13" i="3"/>
  <c r="J49" i="15"/>
  <c r="A3" i="3"/>
  <c r="F105" i="34"/>
  <c r="G105" i="34" s="1"/>
  <c r="D105" i="34"/>
  <c r="C105" i="34" s="1"/>
  <c r="I67" i="34"/>
  <c r="H67" i="34" s="1"/>
  <c r="G67" i="34" s="1"/>
  <c r="F67" i="34" s="1"/>
  <c r="E67" i="34" s="1"/>
  <c r="D67" i="34" s="1"/>
  <c r="C67" i="34" s="1"/>
  <c r="C76" i="82"/>
  <c r="M23" i="82"/>
  <c r="F6" i="82"/>
  <c r="F9" i="82"/>
  <c r="C36" i="80"/>
  <c r="L47" i="82"/>
  <c r="F8" i="82"/>
  <c r="F43" i="82"/>
  <c r="D10" i="80"/>
  <c r="F37" i="82"/>
  <c r="J15" i="82"/>
  <c r="F42" i="82"/>
  <c r="F7" i="82"/>
  <c r="C34" i="80"/>
  <c r="F36" i="82"/>
  <c r="L48" i="82"/>
  <c r="M24" i="82"/>
  <c r="F27" i="80"/>
  <c r="M27" i="82"/>
  <c r="C14" i="82"/>
  <c r="M28" i="82"/>
  <c r="F40" i="82"/>
  <c r="D9" i="80"/>
  <c r="M29" i="82"/>
  <c r="F38" i="82"/>
  <c r="F13" i="82"/>
  <c r="F26" i="82"/>
  <c r="M9" i="82"/>
  <c r="M22" i="82"/>
  <c r="M6" i="82"/>
  <c r="E2" i="80"/>
  <c r="M26" i="82"/>
  <c r="F16" i="82"/>
  <c r="M8" i="82"/>
  <c r="M1" i="81" l="1"/>
  <c r="N6" i="81"/>
  <c r="N9" i="81"/>
  <c r="H79" i="81"/>
  <c r="E50" i="81"/>
  <c r="B48" i="81" s="1"/>
  <c r="O21" i="81"/>
  <c r="H74" i="81"/>
  <c r="H76" i="81"/>
  <c r="H83" i="81"/>
  <c r="H86" i="81"/>
  <c r="H93" i="81"/>
  <c r="H84" i="81"/>
  <c r="H89" i="81"/>
  <c r="N4" i="81"/>
  <c r="M10" i="81"/>
  <c r="G18" i="81"/>
  <c r="N2" i="81"/>
  <c r="S5" i="81"/>
  <c r="M8" i="81"/>
  <c r="I18" i="81"/>
  <c r="F42" i="81"/>
  <c r="H73" i="81"/>
  <c r="H78" i="81"/>
  <c r="H80" i="81"/>
  <c r="H88" i="81"/>
  <c r="H90" i="81"/>
  <c r="S3" i="81"/>
  <c r="H26" i="81"/>
  <c r="M6" i="81"/>
  <c r="K21" i="81"/>
  <c r="F50" i="81"/>
  <c r="H54" i="81" s="1"/>
  <c r="H72" i="81"/>
  <c r="H85" i="81"/>
  <c r="C92" i="83"/>
  <c r="C94" i="83"/>
  <c r="D121" i="83"/>
  <c r="K120" i="83"/>
  <c r="A126" i="83"/>
  <c r="H109" i="83"/>
  <c r="F45" i="80"/>
  <c r="C10" i="80"/>
  <c r="F71" i="82"/>
  <c r="F66" i="82"/>
  <c r="L57" i="82"/>
  <c r="L56" i="82"/>
  <c r="L60" i="82"/>
  <c r="F51" i="82"/>
  <c r="F64" i="82"/>
  <c r="N59" i="82"/>
  <c r="L58" i="82"/>
  <c r="M59" i="82"/>
  <c r="L59" i="82"/>
  <c r="D19" i="80"/>
  <c r="D37" i="80" s="1"/>
  <c r="C37" i="80" s="1"/>
  <c r="C9" i="80"/>
  <c r="C38" i="80"/>
  <c r="C35" i="80"/>
  <c r="F68" i="82"/>
  <c r="M7" i="82"/>
  <c r="J6" i="82" s="1"/>
  <c r="F50" i="82"/>
  <c r="C6" i="82"/>
  <c r="C18" i="82"/>
  <c r="C15" i="82"/>
  <c r="C27" i="82"/>
  <c r="F65" i="82"/>
  <c r="Q71" i="82"/>
  <c r="E10" i="81"/>
  <c r="E9" i="81"/>
  <c r="E11" i="81"/>
  <c r="O32" i="81"/>
  <c r="N32" i="81"/>
  <c r="Q32" i="81"/>
  <c r="M32" i="81"/>
  <c r="C40" i="80"/>
  <c r="C21" i="80"/>
  <c r="C29" i="80" s="1"/>
  <c r="D27" i="80" s="1"/>
  <c r="E61" i="81"/>
  <c r="B59" i="81" s="1"/>
  <c r="C28" i="81" s="1"/>
  <c r="N10" i="81"/>
  <c r="C21" i="81"/>
  <c r="H21" i="81"/>
  <c r="L21" i="81"/>
  <c r="F26" i="81"/>
  <c r="P26" i="81"/>
  <c r="P28" i="81"/>
  <c r="F39" i="81"/>
  <c r="J64" i="81"/>
  <c r="H101" i="81"/>
  <c r="H95" i="81"/>
  <c r="H98" i="81"/>
  <c r="H94" i="81"/>
  <c r="H96" i="81"/>
  <c r="B116" i="81"/>
  <c r="J57" i="82"/>
  <c r="J55" i="82" s="1"/>
  <c r="J58" i="82" s="1"/>
  <c r="Q50" i="82" s="1"/>
  <c r="J53" i="82"/>
  <c r="I54" i="82"/>
  <c r="P61" i="82"/>
  <c r="M11" i="81"/>
  <c r="M12" i="81"/>
  <c r="D21" i="81"/>
  <c r="I21" i="81"/>
  <c r="M21" i="81"/>
  <c r="D62" i="81"/>
  <c r="H100" i="81"/>
  <c r="H116" i="81"/>
  <c r="F41" i="81"/>
  <c r="S2" i="81"/>
  <c r="S4" i="81"/>
  <c r="M3" i="81"/>
  <c r="M5" i="81"/>
  <c r="S6" i="81"/>
  <c r="M7" i="81"/>
  <c r="X7" i="81"/>
  <c r="N8" i="81"/>
  <c r="G26" i="81"/>
  <c r="C27" i="81"/>
  <c r="N1" i="81"/>
  <c r="F61" i="81" s="1"/>
  <c r="M2" i="81"/>
  <c r="N3" i="81"/>
  <c r="M4" i="81"/>
  <c r="N5" i="81"/>
  <c r="C6" i="81"/>
  <c r="N7" i="81"/>
  <c r="Z7" i="81"/>
  <c r="M9" i="81"/>
  <c r="N11" i="81"/>
  <c r="E21" i="81"/>
  <c r="J21" i="81"/>
  <c r="N21" i="81"/>
  <c r="F37" i="81"/>
  <c r="F38" i="81"/>
  <c r="H99" i="81"/>
  <c r="J49" i="67"/>
  <c r="C17" i="82"/>
  <c r="C16" i="82"/>
  <c r="C7" i="81" l="1"/>
  <c r="D26" i="81"/>
  <c r="C25" i="81" s="1"/>
  <c r="E17" i="81"/>
  <c r="H57" i="81"/>
  <c r="H58" i="81"/>
  <c r="H56" i="81"/>
  <c r="H50" i="81"/>
  <c r="H53" i="81"/>
  <c r="H52" i="81"/>
  <c r="H55" i="81"/>
  <c r="H51" i="81"/>
  <c r="C8" i="80"/>
  <c r="D124" i="83"/>
  <c r="D125" i="83" s="1"/>
  <c r="H110" i="83"/>
  <c r="C33" i="80"/>
  <c r="C39" i="80" s="1"/>
  <c r="C46" i="80" s="1"/>
  <c r="C45" i="80" s="1"/>
  <c r="H68" i="81"/>
  <c r="H65" i="81"/>
  <c r="H62" i="81"/>
  <c r="H69" i="81"/>
  <c r="H64" i="81"/>
  <c r="H63" i="81"/>
  <c r="H61" i="81"/>
  <c r="H66" i="81"/>
  <c r="H67" i="81"/>
  <c r="C19" i="82"/>
  <c r="J18" i="82"/>
  <c r="J19" i="82"/>
  <c r="Q52" i="82"/>
  <c r="F1" i="82"/>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22" i="81"/>
  <c r="C122" i="81" s="1"/>
  <c r="B120" i="81"/>
  <c r="C120" i="81" s="1"/>
  <c r="B118" i="81"/>
  <c r="C118" i="81" s="1"/>
  <c r="B121" i="81"/>
  <c r="C121" i="81" s="1"/>
  <c r="B119" i="81"/>
  <c r="C119" i="81" s="1"/>
  <c r="G121" i="81"/>
  <c r="H121" i="81" s="1"/>
  <c r="D116" i="81"/>
  <c r="C47" i="80"/>
  <c r="D45" i="80" s="1"/>
  <c r="C49" i="82"/>
  <c r="G21" i="81"/>
  <c r="C20" i="81" s="1"/>
  <c r="D5" i="81" s="1"/>
  <c r="Q74" i="82"/>
  <c r="Q61" i="82"/>
  <c r="C33" i="82"/>
  <c r="C32" i="82"/>
  <c r="Q73" i="82"/>
  <c r="Q60" i="82"/>
  <c r="Q66" i="82"/>
  <c r="Q57" i="82"/>
  <c r="B21" i="1"/>
  <c r="N19" i="1"/>
  <c r="N21" i="1" s="1"/>
  <c r="N6" i="1" s="1"/>
  <c r="C60" i="78"/>
  <c r="D60" i="78" s="1"/>
  <c r="D53" i="78"/>
  <c r="D52" i="78"/>
  <c r="D51" i="78" s="1"/>
  <c r="B51" i="78"/>
  <c r="B56" i="78" s="1"/>
  <c r="C5" i="81" l="1"/>
  <c r="C42" i="81"/>
  <c r="C41" i="81"/>
  <c r="C20" i="82"/>
  <c r="C61" i="82"/>
  <c r="B55" i="78"/>
  <c r="D55" i="78" s="1"/>
  <c r="C37" i="34"/>
  <c r="Y6" i="1"/>
  <c r="C51" i="78"/>
  <c r="C56" i="78" s="1"/>
  <c r="C58" i="78" s="1"/>
  <c r="B62" i="78"/>
  <c r="B54" i="78"/>
  <c r="D54" i="78" s="1"/>
  <c r="D56" i="78" s="1"/>
  <c r="E41" i="81" l="1"/>
  <c r="G41" i="81"/>
  <c r="I41" i="81" s="1"/>
  <c r="C26" i="82"/>
  <c r="E42" i="81"/>
  <c r="G42" i="81"/>
  <c r="I42" i="81" s="1"/>
  <c r="I37" i="34"/>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U30" i="33"/>
  <c r="AC13" i="34"/>
  <c r="AA47" i="34"/>
  <c r="W28" i="37"/>
  <c r="S19" i="39"/>
  <c r="F12" i="33"/>
  <c r="H12" i="39"/>
  <c r="AB12" i="39" s="1"/>
  <c r="F39" i="40"/>
  <c r="B12" i="1"/>
  <c r="E12" i="1" s="1"/>
  <c r="B10" i="1"/>
  <c r="E10" i="1" s="1"/>
  <c r="K12" i="1"/>
  <c r="M12" i="1" s="1"/>
  <c r="S13" i="1"/>
  <c r="AR13" i="1" s="1"/>
  <c r="R13" i="1"/>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C76" i="67"/>
  <c r="E10" i="76"/>
  <c r="B7" i="76"/>
  <c r="E9" i="76"/>
  <c r="F6" i="67"/>
  <c r="B10" i="76"/>
  <c r="F42" i="67"/>
  <c r="B13" i="76"/>
  <c r="E7" i="76"/>
  <c r="E13" i="76"/>
  <c r="M9" i="67"/>
  <c r="F3" i="73"/>
  <c r="B12" i="76"/>
  <c r="B9" i="76"/>
  <c r="M8" i="67"/>
  <c r="AO13" i="1"/>
  <c r="B11" i="76"/>
  <c r="F7" i="73"/>
  <c r="F9" i="67"/>
  <c r="E2" i="69"/>
  <c r="E8" i="76"/>
  <c r="J15" i="67"/>
  <c r="M28" i="67"/>
  <c r="F4" i="73"/>
  <c r="F38" i="67"/>
  <c r="M24" i="67"/>
  <c r="F37" i="67"/>
  <c r="F20" i="31"/>
  <c r="E11" i="76"/>
  <c r="F6" i="73"/>
  <c r="E12" i="76"/>
  <c r="F16" i="67"/>
  <c r="E2" i="68"/>
  <c r="F36" i="67"/>
  <c r="F13" i="67"/>
  <c r="F5" i="73"/>
  <c r="B8" i="76"/>
  <c r="G7" i="1" l="1"/>
  <c r="I24" i="81"/>
  <c r="C24" i="81" s="1"/>
  <c r="C7" i="35"/>
  <c r="C48" i="35" s="1"/>
  <c r="D48" i="35" s="1"/>
  <c r="J51" i="15"/>
  <c r="J51" i="67"/>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AZ13" i="3" s="1"/>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E13" i="6" s="1"/>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E15" i="6" s="1"/>
  <c r="E64" i="39" s="1"/>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P6" i="1"/>
  <c r="P11" i="1"/>
  <c r="D9" i="11"/>
  <c r="C9" i="11" s="1"/>
  <c r="D19" i="12"/>
  <c r="C19" i="12" s="1"/>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M23" i="67"/>
  <c r="D5" i="73"/>
  <c r="M28" i="15"/>
  <c r="F8" i="67"/>
  <c r="F16" i="15"/>
  <c r="M8" i="15"/>
  <c r="F38" i="15"/>
  <c r="F36" i="15"/>
  <c r="F13" i="15"/>
  <c r="F26" i="15"/>
  <c r="F43" i="67"/>
  <c r="F7" i="15"/>
  <c r="M24" i="15"/>
  <c r="D3" i="73"/>
  <c r="M22" i="67"/>
  <c r="F37" i="15"/>
  <c r="M6" i="67"/>
  <c r="D7" i="73"/>
  <c r="D4" i="73"/>
  <c r="M23" i="15"/>
  <c r="M22" i="15"/>
  <c r="F8" i="15"/>
  <c r="M29" i="67"/>
  <c r="F26" i="67"/>
  <c r="M6" i="15"/>
  <c r="F43" i="15"/>
  <c r="D9" i="68"/>
  <c r="L47" i="15"/>
  <c r="F40" i="15"/>
  <c r="F9" i="15"/>
  <c r="F42" i="15"/>
  <c r="F6" i="15"/>
  <c r="L48" i="15"/>
  <c r="L48" i="67"/>
  <c r="F40" i="67"/>
  <c r="M26" i="15"/>
  <c r="C76" i="15"/>
  <c r="M26" i="67"/>
  <c r="M9" i="15"/>
  <c r="L47" i="67"/>
  <c r="D9" i="69"/>
  <c r="F7" i="67"/>
  <c r="J15" i="15"/>
  <c r="M29" i="15"/>
  <c r="F27" i="69"/>
  <c r="T4" i="81" l="1"/>
  <c r="V4" i="81" s="1"/>
  <c r="T14" i="81"/>
  <c r="V14" i="81" s="1"/>
  <c r="T10" i="81"/>
  <c r="V10" i="81" s="1"/>
  <c r="C38" i="81"/>
  <c r="T3" i="81"/>
  <c r="V3" i="81" s="1"/>
  <c r="T9" i="81"/>
  <c r="V9" i="81" s="1"/>
  <c r="T7" i="81"/>
  <c r="V7" i="81" s="1"/>
  <c r="C40" i="81"/>
  <c r="C37" i="81"/>
  <c r="C33" i="81"/>
  <c r="T12" i="81"/>
  <c r="V12" i="81" s="1"/>
  <c r="C39" i="81"/>
  <c r="T13" i="81"/>
  <c r="V13" i="81" s="1"/>
  <c r="T8" i="81"/>
  <c r="V8" i="81" s="1"/>
  <c r="T5" i="81"/>
  <c r="V5" i="81" s="1"/>
  <c r="T2" i="81"/>
  <c r="V2" i="81" s="1"/>
  <c r="T15" i="81"/>
  <c r="V15" i="81" s="1"/>
  <c r="T11" i="81"/>
  <c r="V11" i="81" s="1"/>
  <c r="T6" i="81"/>
  <c r="V6" i="81" s="1"/>
  <c r="T16" i="81"/>
  <c r="V16" i="81" s="1"/>
  <c r="M11" i="82"/>
  <c r="J10" i="82" s="1"/>
  <c r="J5" i="82" s="1"/>
  <c r="F11" i="82"/>
  <c r="H16" i="1"/>
  <c r="E59" i="40"/>
  <c r="Q16" i="1"/>
  <c r="F28" i="12" s="1"/>
  <c r="C29" i="12" s="1"/>
  <c r="D28" i="12" s="1"/>
  <c r="AB37" i="34"/>
  <c r="C27" i="67"/>
  <c r="L58" i="67"/>
  <c r="Q60" i="67" s="1"/>
  <c r="N59" i="67"/>
  <c r="M59" i="67"/>
  <c r="L59" i="67"/>
  <c r="Q61"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J7" i="36"/>
  <c r="W7"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E60" i="40"/>
  <c r="E51" i="40"/>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F7" i="37"/>
  <c r="P28" i="43"/>
  <c r="B66" i="40" s="1"/>
  <c r="P25" i="43"/>
  <c r="P29" i="43"/>
  <c r="P27" i="43"/>
  <c r="B70" i="39" s="1"/>
  <c r="M11" i="67"/>
  <c r="J10" i="67" s="1"/>
  <c r="F11" i="15"/>
  <c r="M11" i="15"/>
  <c r="J10" i="15" s="1"/>
  <c r="F11" i="67"/>
  <c r="AE11" i="1"/>
  <c r="AE9" i="1"/>
  <c r="AE8" i="1"/>
  <c r="AE12" i="1"/>
  <c r="AE10" i="1"/>
  <c r="F27" i="68"/>
  <c r="C16" i="67"/>
  <c r="C36" i="69"/>
  <c r="AE7" i="1"/>
  <c r="C16" i="15"/>
  <c r="C36" i="68"/>
  <c r="G1" i="73"/>
  <c r="E38" i="81" l="1"/>
  <c r="G38" i="81"/>
  <c r="I38" i="81" s="1"/>
  <c r="C34" i="81"/>
  <c r="E34" i="81" s="1"/>
  <c r="E33" i="81"/>
  <c r="G39" i="81"/>
  <c r="I39" i="81" s="1"/>
  <c r="E39" i="81"/>
  <c r="G40" i="81"/>
  <c r="I40" i="81" s="1"/>
  <c r="E40" i="81"/>
  <c r="E37" i="81"/>
  <c r="G37" i="81"/>
  <c r="I37" i="81" s="1"/>
  <c r="C53" i="82"/>
  <c r="C48" i="82" s="1"/>
  <c r="C10" i="82"/>
  <c r="C5" i="82" s="1"/>
  <c r="J24" i="82"/>
  <c r="J26" i="82"/>
  <c r="Q74" i="67"/>
  <c r="F1" i="67"/>
  <c r="E16" i="6"/>
  <c r="E56" i="40"/>
  <c r="D26" i="43"/>
  <c r="C25" i="43" s="1"/>
  <c r="Q73" i="67"/>
  <c r="S7" i="36"/>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111" i="3"/>
  <c r="AY470" i="3"/>
  <c r="AY541" i="3"/>
  <c r="AY231" i="3"/>
  <c r="AY210" i="3"/>
  <c r="AY510" i="3"/>
  <c r="AY85" i="3"/>
  <c r="AY325" i="3"/>
  <c r="AY81" i="3"/>
  <c r="AY436" i="3"/>
  <c r="AY270" i="3"/>
  <c r="AY483" i="3"/>
  <c r="AY96" i="3"/>
  <c r="AY223" i="3"/>
  <c r="AY442" i="3"/>
  <c r="BR6" i="3"/>
  <c r="AY127" i="3"/>
  <c r="AY424" i="3"/>
  <c r="AY179" i="3"/>
  <c r="AY306" i="3"/>
  <c r="AY122" i="3"/>
  <c r="AY304" i="3"/>
  <c r="AY399" i="3"/>
  <c r="AY530" i="3"/>
  <c r="AY30" i="3"/>
  <c r="AY216" i="3"/>
  <c r="AY440" i="3"/>
  <c r="AY102" i="3"/>
  <c r="AY288" i="3"/>
  <c r="AY322" i="3"/>
  <c r="AY583" i="3"/>
  <c r="AY113" i="3"/>
  <c r="AY337" i="3"/>
  <c r="AY445" i="3"/>
  <c r="AY522" i="3"/>
  <c r="AY493" i="3"/>
  <c r="AY151" i="3"/>
  <c r="AY315" i="3"/>
  <c r="AY547" i="3"/>
  <c r="AY54" i="3"/>
  <c r="AY293" i="3"/>
  <c r="AY351" i="3"/>
  <c r="AY400"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M27" i="67"/>
  <c r="AE6" i="1"/>
  <c r="F41" i="15"/>
  <c r="M27" i="15"/>
  <c r="F41" i="67"/>
  <c r="C30" i="81" l="1"/>
  <c r="B2" i="81" s="1"/>
  <c r="B3" i="81" s="1"/>
  <c r="C7" i="80"/>
  <c r="C5" i="80" s="1"/>
  <c r="C31" i="81"/>
  <c r="L36" i="43"/>
  <c r="L37" i="43" s="1"/>
  <c r="O37" i="43" s="1"/>
  <c r="F24" i="82"/>
  <c r="L36" i="81"/>
  <c r="F22" i="80"/>
  <c r="C38" i="82"/>
  <c r="C66" i="82"/>
  <c r="C60" i="82"/>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5" i="3"/>
  <c r="AY559" i="3"/>
  <c r="AY523" i="3"/>
  <c r="AY191" i="3"/>
  <c r="AY220" i="3"/>
  <c r="AY43" i="3"/>
  <c r="AY343" i="3"/>
  <c r="AY557" i="3"/>
  <c r="AY69" i="3"/>
  <c r="AY193" i="3"/>
  <c r="AY291" i="3"/>
  <c r="AY384" i="3"/>
  <c r="AY88" i="3"/>
  <c r="AY121" i="3"/>
  <c r="AY309" i="3"/>
  <c r="AY438" i="3"/>
  <c r="AY572"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BT6" i="3"/>
  <c r="AY443" i="3"/>
  <c r="AY386" i="3"/>
  <c r="AY143" i="3"/>
  <c r="AY71" i="3"/>
  <c r="AY500" i="3"/>
  <c r="AY394" i="3"/>
  <c r="AY172" i="3"/>
  <c r="BP6" i="3"/>
  <c r="AY505" i="3"/>
  <c r="AY476" i="3"/>
  <c r="AY361" i="3"/>
  <c r="AY174" i="3"/>
  <c r="AY15" i="3"/>
  <c r="AY339" i="3"/>
  <c r="AY175" i="3"/>
  <c r="AY576" i="3"/>
  <c r="AY482" i="3"/>
  <c r="AY296" i="3"/>
  <c r="AY47" i="3"/>
  <c r="AY537" i="3"/>
  <c r="AY418" i="3"/>
  <c r="AY321" i="3"/>
  <c r="AY498" i="3"/>
  <c r="AY367" i="3"/>
  <c r="AY70" i="3"/>
  <c r="AY314" i="3"/>
  <c r="AY187" i="3"/>
  <c r="AY502" i="3"/>
  <c r="AY484" i="3"/>
  <c r="AY282" i="3"/>
  <c r="AY514" i="3"/>
  <c r="AY215" i="3"/>
  <c r="AY141" i="3"/>
  <c r="AY229" i="3"/>
  <c r="AY556" i="3"/>
  <c r="AY186" i="3"/>
  <c r="AY447" i="3"/>
  <c r="BM6" i="3"/>
  <c r="AY177" i="3"/>
  <c r="AY118" i="3"/>
  <c r="AY433" i="3"/>
  <c r="AY204" i="3"/>
  <c r="AY95" i="3"/>
  <c r="AY566" i="3"/>
  <c r="AY477" i="3"/>
  <c r="AY240" i="3"/>
  <c r="AY164" i="3"/>
  <c r="AY107" i="3"/>
  <c r="AY451" i="3"/>
  <c r="AY248" i="3"/>
  <c r="AY19" i="3"/>
  <c r="AY551" i="3"/>
  <c r="AY415" i="3"/>
  <c r="AY479" i="3"/>
  <c r="AY250" i="3"/>
  <c r="AY21" i="3"/>
  <c r="AY413" i="3"/>
  <c r="AY208" i="3"/>
  <c r="AY195" i="3"/>
  <c r="AY528" i="3"/>
  <c r="AY347" i="3"/>
  <c r="AY120" i="3"/>
  <c r="AY110" i="3"/>
  <c r="AY564" i="3"/>
  <c r="AY450" i="3"/>
  <c r="AY385" i="3"/>
  <c r="BC6" i="3"/>
  <c r="AY256" i="3"/>
  <c r="AY587" i="3"/>
  <c r="AY376" i="3"/>
  <c r="AY78" i="3"/>
  <c r="AY499" i="3"/>
  <c r="AY328" i="3"/>
  <c r="AY169" i="3"/>
  <c r="AY552" i="3"/>
  <c r="AY181" i="3"/>
  <c r="AY52" i="3"/>
  <c r="AY455" i="3"/>
  <c r="AY527" i="3"/>
  <c r="AY211" i="3"/>
  <c r="AY526" i="3"/>
  <c r="AY446" i="3"/>
  <c r="AY104" i="3"/>
  <c r="AY201" i="3"/>
  <c r="AY358" i="3"/>
  <c r="AY196" i="3"/>
  <c r="AY34" i="3"/>
  <c r="AY521" i="3"/>
  <c r="AY307" i="3"/>
  <c r="AY257" i="3"/>
  <c r="AY200" i="3"/>
  <c r="AY568" i="3"/>
  <c r="AY485" i="3"/>
  <c r="AY265" i="3"/>
  <c r="AY79" i="3"/>
  <c r="AY515" i="3"/>
  <c r="AY402" i="3"/>
  <c r="AY305" i="3"/>
  <c r="AY267" i="3"/>
  <c r="AY64" i="3"/>
  <c r="AY474" i="3"/>
  <c r="AY272" i="3"/>
  <c r="AY22" i="3"/>
  <c r="AY421" i="3"/>
  <c r="AY383" i="3"/>
  <c r="AY140" i="3"/>
  <c r="AY548" i="3"/>
  <c r="AY17" i="3"/>
  <c r="AY461" i="3"/>
  <c r="AY235" i="3"/>
  <c r="AY416" i="3"/>
  <c r="AY119" i="3"/>
  <c r="AY517" i="3"/>
  <c r="AY264" i="3"/>
  <c r="BA6" i="3"/>
  <c r="AY423" i="3"/>
  <c r="AY345" i="3"/>
  <c r="AY37" i="3"/>
  <c r="AY503" i="3"/>
  <c r="AY368" i="3"/>
  <c r="AY539" i="3"/>
  <c r="AY292" i="3"/>
  <c r="AY422" i="3"/>
  <c r="AY157" i="3"/>
  <c r="AY163" i="3"/>
  <c r="AY332" i="3"/>
  <c r="AY381" i="3"/>
  <c r="AY45" i="3"/>
  <c r="AY180" i="3"/>
  <c r="AY38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E30" i="6"/>
  <c r="E31" i="6" s="1"/>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P14" i="1"/>
  <c r="P16" i="1" s="1"/>
  <c r="C11" i="12" s="1"/>
  <c r="N16" i="1"/>
  <c r="F50" i="80"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82"/>
  <c r="C34" i="69"/>
  <c r="C17" i="67"/>
  <c r="D10" i="68"/>
  <c r="D10" i="69"/>
  <c r="C17" i="15"/>
  <c r="C14" i="67"/>
  <c r="Q37" i="43" l="1"/>
  <c r="M36" i="43"/>
  <c r="M37" i="43"/>
  <c r="N36" i="43"/>
  <c r="N37" i="43"/>
  <c r="P37" i="43"/>
  <c r="Q36" i="43"/>
  <c r="P36" i="43"/>
  <c r="O36" i="43"/>
  <c r="F69" i="82"/>
  <c r="J29" i="82"/>
  <c r="C20" i="80"/>
  <c r="C28" i="80" s="1"/>
  <c r="C27" i="80" s="1"/>
  <c r="L37" i="81"/>
  <c r="P36" i="81"/>
  <c r="O36" i="81"/>
  <c r="N36" i="81"/>
  <c r="Q36" i="81"/>
  <c r="M36" i="81"/>
  <c r="C24" i="82"/>
  <c r="C23" i="82"/>
  <c r="F41" i="80"/>
  <c r="C26" i="80"/>
  <c r="D22" i="80" s="1"/>
  <c r="C24" i="80"/>
  <c r="C44" i="80"/>
  <c r="D41" i="80" s="1"/>
  <c r="C42" i="80"/>
  <c r="C43" i="80"/>
  <c r="C23" i="80"/>
  <c r="C25" i="80"/>
  <c r="H24" i="6"/>
  <c r="D10" i="6"/>
  <c r="D28" i="6"/>
  <c r="D8" i="6"/>
  <c r="D5" i="6"/>
  <c r="D24" i="6"/>
  <c r="D13" i="6"/>
  <c r="D23" i="6"/>
  <c r="H21" i="6"/>
  <c r="R21" i="6" s="1"/>
  <c r="R8" i="1" s="1"/>
  <c r="D9" i="6"/>
  <c r="D26" i="6"/>
  <c r="D21" i="6"/>
  <c r="H26" i="6"/>
  <c r="R26" i="6" s="1"/>
  <c r="D11" i="6"/>
  <c r="C18" i="4"/>
  <c r="H22" i="6"/>
  <c r="R22" i="6" s="1"/>
  <c r="R9" i="1" s="1"/>
  <c r="D6" i="6"/>
  <c r="D22" i="6"/>
  <c r="E61" i="40"/>
  <c r="D12" i="6"/>
  <c r="D19" i="6"/>
  <c r="M19" i="9" s="1"/>
  <c r="C118" i="9" s="1"/>
  <c r="B2" i="74" s="1"/>
  <c r="D29" i="6"/>
  <c r="D30" i="6" s="1"/>
  <c r="D14" i="6"/>
  <c r="D20" i="6"/>
  <c r="D27" i="6" s="1"/>
  <c r="C7" i="68"/>
  <c r="C19" i="71"/>
  <c r="T20" i="71"/>
  <c r="D20" i="71"/>
  <c r="U20" i="71" s="1"/>
  <c r="C60" i="67"/>
  <c r="C6" i="69"/>
  <c r="C7" i="69" s="1"/>
  <c r="E6" i="3"/>
  <c r="C60" i="15"/>
  <c r="R50" i="34"/>
  <c r="C49" i="34" s="1"/>
  <c r="E49" i="34"/>
  <c r="E53" i="34" s="1"/>
  <c r="F53" i="34" s="1"/>
  <c r="H25" i="6"/>
  <c r="R25" i="6" s="1"/>
  <c r="R12" i="1" s="1"/>
  <c r="G54" i="34"/>
  <c r="H54" i="34" s="1"/>
  <c r="C50" i="34"/>
  <c r="F41" i="68"/>
  <c r="C26" i="11"/>
  <c r="D22" i="11" s="1"/>
  <c r="C25" i="11"/>
  <c r="C24" i="11"/>
  <c r="C44" i="11"/>
  <c r="D41" i="11" s="1"/>
  <c r="C44" i="68"/>
  <c r="D41" i="68" s="1"/>
  <c r="C44" i="69"/>
  <c r="D41" i="69" s="1"/>
  <c r="C26" i="69"/>
  <c r="D22" i="69"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R23" i="6"/>
  <c r="R10" i="1" s="1"/>
  <c r="D7" i="74"/>
  <c r="C10" i="69"/>
  <c r="C8"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C22" i="80" l="1"/>
  <c r="C31" i="80" s="1"/>
  <c r="C41" i="80"/>
  <c r="C49" i="80" s="1"/>
  <c r="C51" i="80" s="1"/>
  <c r="C29" i="82"/>
  <c r="P37" i="81"/>
  <c r="O37" i="81"/>
  <c r="N37" i="81"/>
  <c r="M37" i="81"/>
  <c r="Q37" i="81"/>
  <c r="C5" i="68"/>
  <c r="C23" i="68" s="1"/>
  <c r="R20" i="6"/>
  <c r="R7" i="1" s="1"/>
  <c r="D16" i="6"/>
  <c r="D31" i="6"/>
  <c r="I6" i="6"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E2" i="76"/>
  <c r="B2" i="76"/>
  <c r="I69" i="39"/>
  <c r="J67" i="39"/>
  <c r="I63" i="40"/>
  <c r="H65" i="40"/>
  <c r="I58" i="21"/>
  <c r="J58" i="21" s="1"/>
  <c r="K58" i="21" s="1"/>
  <c r="L58" i="21" s="1"/>
  <c r="M58" i="21" s="1"/>
  <c r="N58" i="21" s="1"/>
  <c r="O58" i="21" s="1"/>
  <c r="H7" i="21" s="1"/>
  <c r="J48" i="35"/>
  <c r="C36" i="82" l="1"/>
  <c r="C57" i="82"/>
  <c r="C64" i="82" s="1"/>
  <c r="C13" i="82"/>
  <c r="J14" i="82"/>
  <c r="Q49" i="82"/>
  <c r="J59" i="82"/>
  <c r="J60" i="82" s="1"/>
  <c r="C52" i="80"/>
  <c r="B2" i="80"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0"/>
  <c r="J13" i="82" l="1"/>
  <c r="J23" i="82" s="1"/>
  <c r="J22" i="82"/>
  <c r="C57" i="80"/>
  <c r="C56" i="80" s="1"/>
  <c r="C56" i="82"/>
  <c r="C65" i="82" s="1"/>
  <c r="C37" i="82"/>
  <c r="C75" i="82"/>
  <c r="Q70" i="82"/>
  <c r="Q48" i="82"/>
  <c r="L46" i="82"/>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H31" i="68" s="1"/>
  <c r="C46" i="68"/>
  <c r="C45" i="68" s="1"/>
  <c r="C43" i="68"/>
  <c r="L67" i="39"/>
  <c r="K69" i="39"/>
  <c r="J65" i="40"/>
  <c r="K63" i="40"/>
  <c r="I52" i="21"/>
  <c r="J52" i="21" s="1"/>
  <c r="U7" i="35"/>
  <c r="AB7" i="35"/>
  <c r="T38" i="35" s="1"/>
  <c r="G38" i="35" s="1"/>
  <c r="G52" i="21"/>
  <c r="H52" i="21" s="1"/>
  <c r="G53" i="21"/>
  <c r="H53" i="21" s="1"/>
  <c r="F7" i="35"/>
  <c r="M21" i="15"/>
  <c r="F35" i="67"/>
  <c r="M21" i="82"/>
  <c r="F35" i="15"/>
  <c r="F35" i="82"/>
  <c r="M21" i="67"/>
  <c r="F63" i="82" l="1"/>
  <c r="C62" i="82" s="1"/>
  <c r="C59" i="82" s="1"/>
  <c r="C58" i="82" s="1"/>
  <c r="C67" i="82" s="1"/>
  <c r="C68" i="82" s="1"/>
  <c r="C34" i="82"/>
  <c r="C31" i="82" s="1"/>
  <c r="C30" i="82" s="1"/>
  <c r="C39" i="82" s="1"/>
  <c r="C80" i="82" s="1"/>
  <c r="C79" i="82" s="1"/>
  <c r="J20" i="82"/>
  <c r="J17" i="82" s="1"/>
  <c r="J16" i="82" s="1"/>
  <c r="J25" i="82"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C20" i="83"/>
  <c r="C19" i="83"/>
  <c r="C52" i="68" l="1"/>
  <c r="B2" i="68" s="1"/>
  <c r="H51" i="68"/>
  <c r="C103" i="83"/>
  <c r="C102" i="83"/>
  <c r="C21" i="83"/>
  <c r="C40" i="82"/>
  <c r="C46" i="82" s="1"/>
  <c r="Q69" i="82"/>
  <c r="Q68" i="82" s="1"/>
  <c r="C71" i="82"/>
  <c r="I53" i="2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B3" i="68"/>
  <c r="D35" i="83"/>
  <c r="L51" i="82"/>
  <c r="C56" i="68" l="1"/>
  <c r="Q67" i="82"/>
  <c r="C43" i="82"/>
  <c r="Q65" i="82"/>
  <c r="Q75" i="82" s="1"/>
  <c r="Q47" i="82"/>
  <c r="Q53" i="82" s="1"/>
  <c r="B2" i="82"/>
  <c r="B3" i="82" s="1"/>
  <c r="Q56" i="82"/>
  <c r="Q62" i="82" s="1"/>
  <c r="C83" i="82"/>
  <c r="C82" i="82"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8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9" i="1"/>
  <c r="AO10" i="1"/>
  <c r="AO8" i="1"/>
  <c r="C19" i="9"/>
  <c r="AO11" i="1"/>
  <c r="AO12"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3"/>
  <c r="D19" i="9"/>
  <c r="C20" i="9"/>
  <c r="B6" i="70" l="1"/>
  <c r="D102" i="83"/>
  <c r="D21" i="83"/>
  <c r="D22" i="83"/>
  <c r="G19" i="83"/>
  <c r="D21" i="9"/>
  <c r="D102" i="9"/>
  <c r="G19" i="9"/>
  <c r="G21" i="9" s="1"/>
  <c r="D22" i="9"/>
  <c r="B3" i="15"/>
  <c r="D10" i="71"/>
  <c r="C9" i="7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D103" i="83" l="1"/>
  <c r="G20" i="83"/>
  <c r="G21" i="83"/>
  <c r="C32" i="83"/>
  <c r="D103" i="9"/>
  <c r="G20" i="9"/>
  <c r="C32" i="9" s="1"/>
  <c r="C8" i="71"/>
  <c r="D9" i="71"/>
  <c r="C42" i="40"/>
  <c r="C43" i="40"/>
  <c r="E47" i="40"/>
  <c r="F47" i="40" s="1"/>
  <c r="E46" i="40"/>
  <c r="F46" i="40" s="1"/>
  <c r="I47" i="40"/>
  <c r="J47" i="40" s="1"/>
  <c r="H118" i="83" l="1"/>
  <c r="D15" i="74" s="1"/>
  <c r="G15" i="74" s="1"/>
  <c r="C35" i="83"/>
  <c r="F118" i="83"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F15" i="74" l="1"/>
  <c r="E15" i="74"/>
  <c r="F119" i="83"/>
  <c r="G118" i="83"/>
  <c r="C34" i="83"/>
  <c r="D118" i="83" s="1"/>
  <c r="D119" i="83" s="1"/>
  <c r="I118" i="83"/>
  <c r="H101" i="83"/>
  <c r="H119" i="83"/>
  <c r="C104" i="83"/>
  <c r="C35" i="9"/>
  <c r="C34" i="9" s="1"/>
  <c r="D7" i="71"/>
  <c r="C6" i="71"/>
  <c r="E118" i="83" l="1"/>
  <c r="C105" i="83"/>
  <c r="H102" i="83"/>
  <c r="M48" i="83"/>
  <c r="D45" i="83"/>
  <c r="H107" i="83"/>
  <c r="D6" i="71"/>
  <c r="C5" i="71"/>
  <c r="D5" i="71" s="1"/>
  <c r="M24" i="43" s="1"/>
  <c r="H118" i="9"/>
  <c r="M49" i="83" l="1"/>
  <c r="H108" i="83"/>
  <c r="D122" i="83"/>
  <c r="D123" i="83" s="1"/>
  <c r="C72" i="83"/>
  <c r="C64" i="83"/>
  <c r="C63" i="83" s="1"/>
  <c r="C67" i="83" s="1"/>
  <c r="C68" i="83" s="1"/>
  <c r="D54" i="83" s="1"/>
  <c r="D53" i="83"/>
  <c r="D48" i="83" s="1"/>
  <c r="M52" i="83" s="1"/>
  <c r="D52" i="83"/>
  <c r="C85" i="83"/>
  <c r="D55" i="83"/>
  <c r="M53" i="83" s="1"/>
  <c r="C93" i="83"/>
  <c r="C86" i="83" s="1"/>
  <c r="C78" i="83"/>
  <c r="C73" i="83" s="1"/>
  <c r="D14" i="74"/>
  <c r="I118" i="9"/>
  <c r="D118" i="9"/>
  <c r="H4" i="52"/>
  <c r="H119" i="9"/>
  <c r="H5" i="52" s="1"/>
  <c r="C104" i="9"/>
  <c r="H101" i="9"/>
  <c r="C95" i="83" l="1"/>
  <c r="C97" i="83" s="1"/>
  <c r="D58" i="83" s="1"/>
  <c r="D56" i="83" s="1"/>
  <c r="M54" i="83" s="1"/>
  <c r="N57" i="83" s="1"/>
  <c r="N59" i="83" s="1"/>
  <c r="C79" i="83"/>
  <c r="C80" i="83" s="1"/>
  <c r="E80" i="83" s="1"/>
  <c r="E81" i="83" s="1"/>
  <c r="C96" i="83"/>
  <c r="E96" i="83" s="1"/>
  <c r="E97" i="83" s="1"/>
  <c r="L68" i="83"/>
  <c r="M68" i="83" s="1"/>
  <c r="L67" i="83"/>
  <c r="M67" i="83" s="1"/>
  <c r="L65" i="83"/>
  <c r="M65" i="83" s="1"/>
  <c r="L63" i="83"/>
  <c r="M63" i="83" s="1"/>
  <c r="L66" i="83"/>
  <c r="M66" i="83" s="1"/>
  <c r="L64" i="83"/>
  <c r="M64" i="83" s="1"/>
  <c r="E14" i="74"/>
  <c r="H102" i="9"/>
  <c r="D7" i="53" s="1"/>
  <c r="B21" i="72" s="1"/>
  <c r="C105" i="9"/>
  <c r="I4" i="52"/>
  <c r="G14" i="74"/>
  <c r="B6" i="74" s="1"/>
  <c r="D6" i="74" s="1"/>
  <c r="M48" i="9"/>
  <c r="B5" i="74"/>
  <c r="F14" i="74"/>
  <c r="H107" i="9"/>
  <c r="M49" i="9" s="1"/>
  <c r="D45" i="9"/>
  <c r="D5" i="53"/>
  <c r="D4" i="52"/>
  <c r="B47" i="72" s="1"/>
  <c r="D119" i="9"/>
  <c r="D5" i="52" s="1"/>
  <c r="B49" i="72" s="1"/>
  <c r="N61" i="83" l="1"/>
  <c r="I15" i="74"/>
  <c r="H112" i="83"/>
  <c r="N60" i="83"/>
  <c r="H111" i="83"/>
  <c r="D126" i="83" s="1"/>
  <c r="D127" i="83" s="1"/>
  <c r="C81" i="83"/>
  <c r="M69" i="83"/>
  <c r="N69" i="83" s="1"/>
  <c r="N58" i="83"/>
  <c r="P57" i="83"/>
  <c r="D5" i="74"/>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s="1"/>
  <c r="H111" i="9" l="1"/>
  <c r="D126" i="9" s="1"/>
  <c r="H112" i="9"/>
  <c r="D21" i="53" s="1"/>
  <c r="B39" i="72" s="1"/>
  <c r="D19" i="53"/>
  <c r="I14" i="74"/>
  <c r="B8" i="74"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B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2077D56-C7D1-4666-977C-578312EBEA2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96D63D6-7C7F-4049-8249-CAFD9AFDEAA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33FE806-BAB8-47D7-B7D7-5A5AB3BE4444}">
      <text>
        <r>
          <rPr>
            <sz val="11"/>
            <color indexed="81"/>
            <rFont val="宋体"/>
            <family val="3"/>
            <charset val="134"/>
          </rPr>
          <t>需在下方列示计算过程</t>
        </r>
        <r>
          <rPr>
            <sz val="9"/>
            <color indexed="81"/>
            <rFont val="宋体"/>
            <family val="3"/>
            <charset val="134"/>
          </rPr>
          <t xml:space="preserve">
</t>
        </r>
      </text>
    </comment>
    <comment ref="H75" authorId="2" shapeId="0" xr:uid="{92B68847-D33B-4449-81DB-33BB5472511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BBFF3E0E-374B-4B06-B034-F1E8E369318A}">
      <text>
        <r>
          <rPr>
            <b/>
            <sz val="9"/>
            <color indexed="81"/>
            <rFont val="宋体"/>
            <family val="3"/>
            <charset val="134"/>
          </rPr>
          <t>对应区片地价表</t>
        </r>
        <r>
          <rPr>
            <sz val="9"/>
            <color indexed="81"/>
            <rFont val="宋体"/>
            <family val="3"/>
            <charset val="134"/>
          </rPr>
          <t xml:space="preserve">
</t>
        </r>
      </text>
    </comment>
    <comment ref="Y9" authorId="1" shapeId="0" xr:uid="{00E8CDA5-E9C8-4036-88E1-3620337D2376}">
      <text>
        <r>
          <rPr>
            <sz val="11"/>
            <color indexed="81"/>
            <rFont val="宋体"/>
            <family val="3"/>
            <charset val="134"/>
          </rPr>
          <t xml:space="preserve">录入层数，将对应的结果录入至左侧相应层的楼层修正系数单元格中
</t>
        </r>
      </text>
    </comment>
    <comment ref="C16" authorId="1" shapeId="0" xr:uid="{B17E2E58-F5A0-46EC-9C50-E75DF518100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D1CC3AA-EF98-4E29-9694-1A839203AC0C}">
      <text>
        <r>
          <rPr>
            <sz val="12"/>
            <color indexed="81"/>
            <rFont val="宋体"/>
            <family val="3"/>
            <charset val="134"/>
          </rPr>
          <t>1.05~1.1</t>
        </r>
        <r>
          <rPr>
            <sz val="9"/>
            <color indexed="81"/>
            <rFont val="宋体"/>
            <family val="3"/>
            <charset val="134"/>
          </rPr>
          <t xml:space="preserve">
</t>
        </r>
      </text>
    </comment>
    <comment ref="E16" authorId="1" shapeId="0" xr:uid="{5A6BA753-911C-4A1B-AA0F-9E99EE48B74A}">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32EB8ED-0110-40FF-B8EF-C8918880D193}">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F8D9CF26-01DF-4D8F-A0E5-236124F82997}">
      <text>
        <r>
          <rPr>
            <b/>
            <sz val="14"/>
            <color indexed="81"/>
            <rFont val="宋体"/>
            <family val="3"/>
            <charset val="134"/>
          </rPr>
          <t>工业选“中心城区”</t>
        </r>
        <r>
          <rPr>
            <sz val="9"/>
            <color indexed="81"/>
            <rFont val="宋体"/>
            <family val="3"/>
            <charset val="134"/>
          </rPr>
          <t xml:space="preserve">
</t>
        </r>
      </text>
    </comment>
    <comment ref="B35" authorId="4" shapeId="0" xr:uid="{D2198475-AEC3-434B-B720-807E21491801}">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6A710E4-86F3-4762-954B-55CB3B5F75DF}">
      <text>
        <r>
          <rPr>
            <sz val="9"/>
            <color indexed="81"/>
            <rFont val="宋体"/>
            <family val="3"/>
            <charset val="134"/>
          </rPr>
          <t xml:space="preserve">需在此处填写剩余土地年限
</t>
        </r>
      </text>
    </comment>
    <comment ref="C111" authorId="0" shapeId="0" xr:uid="{B307A43A-18DC-4200-A1C2-20EE99B8ECEB}">
      <text>
        <r>
          <rPr>
            <b/>
            <sz val="9"/>
            <color indexed="81"/>
            <rFont val="宋体"/>
            <family val="3"/>
            <charset val="134"/>
          </rPr>
          <t xml:space="preserve">所在楼层
</t>
        </r>
        <r>
          <rPr>
            <sz val="9"/>
            <color indexed="81"/>
            <rFont val="宋体"/>
            <family val="3"/>
            <charset val="134"/>
          </rPr>
          <t xml:space="preserve">
</t>
        </r>
      </text>
    </comment>
    <comment ref="D111" authorId="0" shapeId="0" xr:uid="{6D74AA6B-3C2E-4AEA-94C6-690FE60CDCE0}">
      <text>
        <r>
          <rPr>
            <b/>
            <sz val="9"/>
            <color indexed="81"/>
            <rFont val="宋体"/>
            <family val="3"/>
            <charset val="134"/>
          </rPr>
          <t xml:space="preserve">所在楼层
</t>
        </r>
        <r>
          <rPr>
            <sz val="9"/>
            <color indexed="81"/>
            <rFont val="宋体"/>
            <family val="3"/>
            <charset val="134"/>
          </rPr>
          <t xml:space="preserve">
</t>
        </r>
      </text>
    </comment>
    <comment ref="E111" authorId="0" shapeId="0" xr:uid="{C52E6FCC-E698-496E-964A-F8073AD7F73D}">
      <text>
        <r>
          <rPr>
            <b/>
            <sz val="9"/>
            <color indexed="81"/>
            <rFont val="宋体"/>
            <family val="3"/>
            <charset val="134"/>
          </rPr>
          <t xml:space="preserve">所在楼层
</t>
        </r>
        <r>
          <rPr>
            <sz val="9"/>
            <color indexed="81"/>
            <rFont val="宋体"/>
            <family val="3"/>
            <charset val="134"/>
          </rPr>
          <t xml:space="preserve">
</t>
        </r>
      </text>
    </comment>
    <comment ref="F111" authorId="0" shapeId="0" xr:uid="{83EC9167-EB20-4C3C-857D-A4B593AFE739}">
      <text>
        <r>
          <rPr>
            <b/>
            <sz val="9"/>
            <color indexed="81"/>
            <rFont val="宋体"/>
            <family val="3"/>
            <charset val="134"/>
          </rPr>
          <t xml:space="preserve">所在楼层
</t>
        </r>
        <r>
          <rPr>
            <sz val="9"/>
            <color indexed="81"/>
            <rFont val="宋体"/>
            <family val="3"/>
            <charset val="134"/>
          </rPr>
          <t xml:space="preserve">
</t>
        </r>
      </text>
    </comment>
    <comment ref="G111" authorId="0" shapeId="0" xr:uid="{CC5AEDEA-F387-461F-B3A0-D04EF09D0874}">
      <text>
        <r>
          <rPr>
            <b/>
            <sz val="9"/>
            <color indexed="81"/>
            <rFont val="宋体"/>
            <family val="3"/>
            <charset val="134"/>
          </rPr>
          <t xml:space="preserve">所在楼层
</t>
        </r>
        <r>
          <rPr>
            <sz val="9"/>
            <color indexed="81"/>
            <rFont val="宋体"/>
            <family val="3"/>
            <charset val="134"/>
          </rPr>
          <t xml:space="preserve">
</t>
        </r>
      </text>
    </comment>
    <comment ref="H111" authorId="0" shapeId="0" xr:uid="{E9938E7C-E0A8-4DB7-A7DE-914080D90DDD}">
      <text>
        <r>
          <rPr>
            <b/>
            <sz val="9"/>
            <color indexed="81"/>
            <rFont val="宋体"/>
            <family val="3"/>
            <charset val="134"/>
          </rPr>
          <t xml:space="preserve">所在楼层
</t>
        </r>
        <r>
          <rPr>
            <sz val="9"/>
            <color indexed="81"/>
            <rFont val="宋体"/>
            <family val="3"/>
            <charset val="134"/>
          </rPr>
          <t xml:space="preserve">
</t>
        </r>
      </text>
    </comment>
    <comment ref="I111" authorId="0" shapeId="0" xr:uid="{8B0BEACB-3D58-4AC2-8512-D45517E434B3}">
      <text>
        <r>
          <rPr>
            <b/>
            <sz val="9"/>
            <color indexed="81"/>
            <rFont val="宋体"/>
            <family val="3"/>
            <charset val="134"/>
          </rPr>
          <t xml:space="preserve">所在楼层
</t>
        </r>
        <r>
          <rPr>
            <sz val="9"/>
            <color indexed="81"/>
            <rFont val="宋体"/>
            <family val="3"/>
            <charset val="134"/>
          </rPr>
          <t xml:space="preserve">
</t>
        </r>
      </text>
    </comment>
    <comment ref="J111" authorId="0" shapeId="0" xr:uid="{42EF1E24-01DC-408D-8C78-253EA3774966}">
      <text>
        <r>
          <rPr>
            <b/>
            <sz val="9"/>
            <color indexed="81"/>
            <rFont val="宋体"/>
            <family val="3"/>
            <charset val="134"/>
          </rPr>
          <t xml:space="preserve">所在楼层
</t>
        </r>
        <r>
          <rPr>
            <sz val="9"/>
            <color indexed="81"/>
            <rFont val="宋体"/>
            <family val="3"/>
            <charset val="134"/>
          </rPr>
          <t xml:space="preserve">
</t>
        </r>
      </text>
    </comment>
    <comment ref="K111" authorId="0" shapeId="0" xr:uid="{39D87155-157B-44B0-9490-F9E039EAFB27}">
      <text>
        <r>
          <rPr>
            <b/>
            <sz val="9"/>
            <color indexed="81"/>
            <rFont val="宋体"/>
            <family val="3"/>
            <charset val="134"/>
          </rPr>
          <t xml:space="preserve">所在楼层
</t>
        </r>
        <r>
          <rPr>
            <sz val="9"/>
            <color indexed="81"/>
            <rFont val="宋体"/>
            <family val="3"/>
            <charset val="134"/>
          </rPr>
          <t xml:space="preserve">
</t>
        </r>
      </text>
    </comment>
    <comment ref="L111" authorId="0" shapeId="0" xr:uid="{04A4BA0B-9E63-48A1-B687-881A9268B5F2}">
      <text>
        <r>
          <rPr>
            <b/>
            <sz val="9"/>
            <color indexed="81"/>
            <rFont val="宋体"/>
            <family val="3"/>
            <charset val="134"/>
          </rPr>
          <t xml:space="preserve">所在楼层
</t>
        </r>
        <r>
          <rPr>
            <sz val="9"/>
            <color indexed="81"/>
            <rFont val="宋体"/>
            <family val="3"/>
            <charset val="134"/>
          </rPr>
          <t xml:space="preserve">
</t>
        </r>
      </text>
    </comment>
    <comment ref="M111" authorId="0" shapeId="0" xr:uid="{49E2879D-528D-4640-B6F1-A5F4B5772F96}">
      <text>
        <r>
          <rPr>
            <b/>
            <sz val="9"/>
            <color indexed="81"/>
            <rFont val="宋体"/>
            <family val="3"/>
            <charset val="134"/>
          </rPr>
          <t xml:space="preserve">所在楼层
</t>
        </r>
        <r>
          <rPr>
            <sz val="9"/>
            <color indexed="81"/>
            <rFont val="宋体"/>
            <family val="3"/>
            <charset val="134"/>
          </rPr>
          <t xml:space="preserve">
</t>
        </r>
      </text>
    </comment>
    <comment ref="N111" authorId="0" shapeId="0" xr:uid="{A6D085AD-47A8-4747-A11A-164ABFE89E8D}">
      <text>
        <r>
          <rPr>
            <b/>
            <sz val="9"/>
            <color indexed="81"/>
            <rFont val="宋体"/>
            <family val="3"/>
            <charset val="134"/>
          </rPr>
          <t xml:space="preserve">所在楼层
</t>
        </r>
        <r>
          <rPr>
            <sz val="9"/>
            <color indexed="81"/>
            <rFont val="宋体"/>
            <family val="3"/>
            <charset val="134"/>
          </rPr>
          <t xml:space="preserve">
</t>
        </r>
      </text>
    </comment>
    <comment ref="D116" authorId="0" shapeId="0" xr:uid="{F69637F7-B852-459E-BB08-71F20AA7F8DB}">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7CC4ADC5-F4D0-4E70-8B7D-7F6B09FB869B}">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F13FFE8-ABF8-4856-AF39-82EB6CBE465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6271024-43CF-4EC7-99A3-D0E879CFE7C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A6A2734-0F64-4B37-9E0E-76BAD44340F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636F862-B4BC-4361-9C99-820BB61EAE27}">
      <text>
        <r>
          <rPr>
            <sz val="11"/>
            <color indexed="81"/>
            <rFont val="宋体"/>
            <family val="3"/>
            <charset val="134"/>
          </rPr>
          <t>在建项目均选择“是”</t>
        </r>
      </text>
    </comment>
    <comment ref="F59" authorId="1" shapeId="0" xr:uid="{A35C3509-18E7-4BD0-9E63-C1686E1F4C7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B6C6E91-5949-4865-B74D-8E865EED78B8}">
      <text>
        <r>
          <rPr>
            <sz val="10"/>
            <color indexed="81"/>
            <rFont val="宋体"/>
            <family val="3"/>
            <charset val="134"/>
          </rPr>
          <t xml:space="preserve">在建
</t>
        </r>
      </text>
    </comment>
    <comment ref="N59" authorId="0" shapeId="0" xr:uid="{C5FC02C3-38FA-4021-A678-E2B05CAC2FB1}">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<sst xmlns="http://schemas.openxmlformats.org/spreadsheetml/2006/main" count="9221" uniqueCount="3509">
  <si>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</si>
  <si>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</si>
  <si>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</si>
  <si>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</si>
  <si>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</si>
  <si>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</si>
  <si>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</si>
  <si>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</si>
  <si>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</si>
  <si>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</si>
  <si>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</si>
  <si>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</si>
  <si>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</si>
  <si>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</si>
  <si>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</si>
  <si>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</si>
  <si>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</si>
  <si>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</si>
  <si>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</si>
  <si>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</si>
  <si>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</si>
  <si>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</si>
  <si>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</si>
  <si>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</si>
  <si>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</si>
  <si>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</si>
  <si>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</si>
  <si>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</si>
  <si>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</si>
  <si>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</si>
  <si>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</si>
  <si>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</si>
  <si>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</si>
  <si>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</si>
  <si>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</si>
  <si>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</si>
  <si>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</si>
  <si>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</si>
  <si>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</si>
  <si>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</si>
  <si>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</si>
  <si>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</si>
  <si>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</si>
  <si>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</si>
  <si>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</si>
  <si>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</si>
  <si>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</si>
  <si>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</si>
  <si>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</si>
  <si>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</si>
  <si>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</si>
  <si>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</si>
  <si>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</si>
  <si>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</si>
  <si>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</si>
  <si>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</si>
  <si>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</si>
  <si>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</si>
  <si>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</si>
  <si>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</si>
  <si>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</si>
  <si>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</si>
  <si>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</si>
  <si>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</si>
  <si>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</si>
  <si>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</si>
  <si>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</si>
  <si>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</si>
  <si>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</si>
  <si>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</si>
  <si>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</si>
  <si>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</si>
  <si>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</si>
  <si>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</si>
  <si>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</si>
  <si>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</si>
  <si>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</si>
  <si>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</si>
  <si>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</si>
  <si>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</si>
  <si>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</si>
  <si>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</si>
  <si>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</si>
  <si>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</si>
  <si>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</si>
  <si>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</si>
  <si>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</si>
  <si>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</si>
  <si>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</si>
  <si>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</si>
  <si>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</si>
  <si>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</si>
  <si>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</si>
  <si>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</si>
  <si>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</si>
  <si>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</si>
  <si>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</si>
  <si>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</si>
  <si>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</si>
  <si>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</si>
  <si>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</si>
  <si>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</si>
  <si>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</si>
  <si>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</si>
  <si>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</si>
  <si>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</si>
  <si>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</si>
  <si>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</si>
  <si>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</si>
  <si>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</si>
  <si>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</si>
  <si>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</si>
  <si>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</si>
  <si>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</si>
  <si>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</si>
  <si>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</si>
  <si>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</si>
  <si>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</si>
  <si>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</si>
  <si>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</si>
  <si>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</si>
  <si>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</si>
  <si>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</si>
  <si>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</si>
  <si>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</si>
  <si>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</si>
  <si>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</si>
  <si>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</si>
  <si>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</si>
  <si>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</si>
  <si>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</si>
  <si>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</si>
  <si>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</si>
  <si>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</si>
  <si>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</si>
  <si>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</si>
  <si>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</si>
  <si>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</si>
  <si>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</si>
  <si>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</si>
  <si>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</si>
  <si>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</si>
  <si>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</si>
  <si>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</si>
  <si>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</si>
  <si>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</si>
  <si>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</si>
  <si>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</si>
  <si>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</si>
  <si>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</si>
  <si>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</si>
  <si>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</si>
  <si>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</si>
  <si>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</si>
  <si>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</si>
  <si>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</si>
  <si>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</si>
  <si>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</si>
  <si>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</si>
  <si>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</si>
  <si>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</si>
  <si>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</si>
  <si>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</si>
  <si>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</si>
  <si>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</si>
  <si>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</si>
  <si>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</si>
  <si>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</si>
  <si>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</si>
  <si>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</si>
  <si>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</si>
  <si>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</si>
  <si>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</si>
  <si>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</si>
  <si>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</si>
  <si>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</si>
  <si>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</si>
  <si>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</si>
  <si>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</si>
  <si>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</si>
  <si>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</si>
  <si>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</si>
  <si>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</si>
  <si>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</si>
  <si>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</si>
  <si>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</si>
  <si>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</si>
  <si>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</si>
  <si>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</si>
  <si>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</si>
  <si>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</si>
  <si>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</si>
  <si>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</si>
  <si>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</si>
  <si>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</si>
  <si>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</si>
  <si>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</si>
  <si>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</si>
  <si>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</si>
  <si>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</si>
  <si>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</si>
  <si>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</si>
  <si>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</si>
  <si>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</si>
  <si>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</si>
  <si>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</si>
  <si>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</si>
  <si>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</si>
  <si>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</si>
  <si>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</si>
  <si>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</si>
  <si>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</si>
  <si>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</si>
  <si>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</si>
  <si>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</si>
  <si>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</si>
  <si>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</si>
  <si>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</si>
  <si>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</si>
  <si>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</si>
  <si>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</si>
  <si>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</si>
  <si>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</si>
  <si>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</si>
  <si>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</si>
  <si>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</si>
  <si>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</si>
  <si>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</si>
  <si>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</si>
  <si>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</si>
  <si>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</si>
  <si>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</si>
  <si>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</si>
  <si>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</si>
  <si>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</si>
  <si>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</si>
  <si>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</si>
  <si>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</si>
  <si>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</si>
  <si>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</si>
  <si>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</si>
  <si>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</si>
  <si>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</si>
  <si>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</si>
  <si>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</si>
  <si>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</si>
  <si>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</si>
  <si>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</si>
  <si>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</si>
  <si>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</si>
  <si>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</si>
  <si>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</si>
  <si>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</si>
  <si>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</si>
  <si>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</si>
  <si>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</si>
  <si>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</si>
  <si>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</si>
  <si>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</si>
  <si>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</si>
  <si>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</si>
  <si>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</si>
  <si>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</si>
  <si>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</si>
  <si>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</si>
  <si>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</si>
  <si>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</si>
  <si>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</si>
  <si>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</si>
  <si>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</si>
  <si>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</si>
  <si>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</si>
  <si>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</si>
  <si>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</si>
  <si>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</si>
  <si>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</si>
  <si>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</si>
  <si>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</si>
  <si>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</si>
  <si>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</si>
  <si>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</si>
  <si>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</si>
  <si>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</si>
  <si>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</si>
  <si>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</si>
  <si>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</si>
  <si>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</si>
  <si>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</si>
  <si>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</si>
  <si>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</si>
  <si>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</si>
  <si>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</si>
  <si>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</si>
  <si>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</si>
  <si>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</si>
  <si>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</si>
  <si>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</si>
  <si>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</si>
  <si>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</si>
  <si>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</si>
  <si>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</si>
  <si>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</si>
  <si>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</si>
  <si>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</si>
  <si>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</si>
  <si>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</si>
  <si>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</si>
  <si>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</si>
  <si>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</si>
  <si>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</si>
  <si>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</si>
  <si>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</si>
  <si>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</si>
  <si>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</si>
  <si>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</si>
  <si>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</si>
  <si>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</si>
  <si>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</si>
  <si>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</si>
  <si>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</si>
  <si>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</si>
  <si>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</si>
  <si>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</si>
  <si>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</si>
  <si>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</si>
  <si>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</si>
  <si>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</si>
  <si>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</si>
  <si>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</si>
  <si>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</si>
  <si>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</si>
  <si>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</si>
  <si>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</si>
  <si>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</si>
  <si>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</si>
  <si>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</si>
  <si>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</si>
  <si>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</si>
  <si>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</si>
  <si>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</si>
  <si>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</si>
  <si>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</si>
  <si>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</si>
  <si>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</si>
  <si>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</si>
  <si>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</si>
  <si>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</si>
  <si>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</si>
  <si>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</si>
  <si>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</si>
  <si>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</si>
  <si>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</si>
  <si>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</si>
  <si>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</si>
  <si>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</si>
  <si>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</si>
  <si>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</si>
  <si>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</si>
  <si>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</si>
  <si>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</si>
  <si>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</si>
  <si>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</si>
  <si>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</si>
  <si>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</si>
  <si>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</si>
  <si>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</si>
  <si>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</si>
  <si>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</si>
  <si>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</si>
  <si>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</si>
  <si>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</si>
  <si>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</si>
  <si>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</si>
  <si>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</si>
  <si>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</si>
  <si>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</si>
  <si>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</si>
  <si>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</si>
  <si>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</si>
  <si>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</si>
  <si>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</si>
  <si>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</si>
  <si>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</si>
  <si>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</si>
  <si>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</si>
  <si>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</si>
  <si>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</si>
  <si>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</si>
  <si>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</si>
  <si>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</si>
  <si>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</si>
  <si>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</si>
  <si>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</si>
  <si>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</si>
  <si>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</si>
  <si>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</si>
  <si>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</si>
  <si>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</si>
  <si>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</si>
  <si>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</si>
  <si>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</si>
  <si>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</si>
  <si>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</si>
  <si>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</si>
  <si>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</si>
  <si>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</si>
  <si>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</si>
  <si>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</si>
  <si>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</si>
  <si>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</si>
  <si>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</si>
  <si>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</si>
  <si>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</si>
  <si>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</si>
  <si>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</si>
  <si>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</si>
  <si>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</si>
  <si>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</si>
  <si>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</si>
  <si>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</si>
  <si>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</si>
  <si>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</si>
  <si>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</si>
  <si>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</si>
  <si>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</si>
  <si>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</si>
  <si>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</si>
  <si>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</si>
  <si>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</si>
  <si>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</si>
  <si>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</si>
  <si>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</si>
  <si>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</si>
  <si>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</si>
  <si>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</si>
  <si>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</si>
  <si>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</si>
  <si>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</si>
  <si>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</si>
  <si>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</si>
  <si>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</si>
  <si>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</si>
  <si>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</si>
  <si>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</si>
  <si>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</si>
  <si>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</si>
  <si>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</si>
  <si>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</si>
  <si>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</si>
  <si>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</si>
  <si>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</si>
  <si>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</si>
  <si>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</si>
  <si>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</si>
  <si>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</si>
  <si>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</si>
  <si>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</si>
  <si>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</si>
  <si>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</si>
  <si>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</si>
  <si>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</si>
  <si>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</si>
  <si>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</si>
  <si>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</si>
  <si>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</si>
  <si>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</si>
  <si>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</si>
  <si>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</si>
  <si>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</si>
  <si>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</si>
  <si>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</si>
  <si>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</si>
  <si>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</si>
  <si>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</si>
  <si>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</si>
  <si>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</si>
  <si>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</si>
  <si>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</si>
  <si>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</si>
  <si>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</si>
  <si>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</si>
  <si>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</si>
  <si>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</si>
  <si>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</si>
  <si>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</si>
  <si>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</si>
  <si>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</si>
  <si>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</si>
  <si>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</si>
  <si>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</si>
  <si>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</si>
  <si>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</si>
  <si>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</si>
  <si>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</si>
  <si>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</si>
  <si>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</si>
  <si>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</si>
  <si>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</si>
  <si>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</si>
  <si>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</si>
  <si>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</si>
  <si>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</si>
  <si>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</si>
  <si>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</si>
  <si>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</si>
  <si>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</si>
  <si>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</si>
  <si>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</si>
  <si>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</si>
  <si>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</si>
  <si>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</si>
  <si>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</si>
  <si>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</si>
  <si>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</si>
  <si>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</si>
  <si>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</si>
  <si>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</si>
  <si>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</si>
  <si>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</si>
  <si>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</si>
  <si>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</si>
  <si>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</si>
  <si>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</si>
  <si>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</si>
  <si>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</si>
  <si>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</si>
  <si>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</si>
  <si>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</si>
  <si>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</si>
  <si>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</si>
  <si>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</si>
  <si>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</si>
  <si>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</si>
  <si>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</si>
  <si>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</si>
  <si>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</si>
  <si>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</si>
  <si>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</si>
  <si>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</si>
  <si>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</si>
  <si>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</si>
  <si>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</si>
  <si>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</si>
  <si>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</si>
  <si>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</si>
  <si>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</si>
  <si>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</si>
  <si>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</si>
  <si>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</si>
  <si>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</si>
  <si>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</si>
  <si>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</si>
  <si>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</si>
  <si>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</si>
  <si>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</si>
  <si>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</si>
  <si>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</si>
  <si>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</si>
  <si>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</si>
  <si>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</si>
  <si>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</si>
  <si>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</si>
  <si>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</si>
  <si>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</si>
  <si>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</si>
  <si>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</si>
  <si>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</si>
  <si>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</si>
  <si>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</si>
  <si>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</si>
  <si>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</si>
  <si>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</si>
  <si>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</si>
  <si>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</si>
  <si>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</si>
  <si>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</si>
  <si>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</si>
  <si>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</si>
  <si>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</si>
  <si>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</si>
  <si>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</si>
  <si>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</si>
  <si>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</si>
  <si>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</si>
  <si>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</si>
  <si>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</si>
  <si>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</si>
  <si>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</si>
  <si>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</si>
  <si>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</si>
  <si>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</si>
  <si>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</si>
  <si>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</si>
  <si>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</si>
  <si>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</si>
  <si>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</si>
  <si>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</si>
  <si>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</si>
  <si>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</si>
  <si>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</si>
  <si>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</si>
  <si>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</si>
  <si>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</si>
  <si>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</si>
  <si>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</si>
  <si>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</si>
  <si>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</si>
  <si>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</si>
  <si>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</si>
  <si>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</si>
  <si>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</si>
  <si>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</si>
  <si>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</si>
  <si>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</si>
  <si>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</si>
  <si>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</si>
  <si>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</si>
  <si>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</si>
  <si>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</si>
  <si>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</si>
  <si>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</si>
  <si>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</si>
  <si>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</si>
  <si>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</si>
  <si>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</si>
  <si>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</si>
  <si>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</si>
  <si>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</si>
  <si>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</si>
  <si>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</si>
  <si>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</si>
  <si>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</si>
  <si>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</si>
  <si>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</si>
  <si>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</si>
  <si>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</si>
  <si>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</si>
  <si>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</si>
  <si>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</si>
  <si>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</si>
  <si>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</si>
  <si>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</si>
  <si>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</si>
  <si>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</si>
  <si>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</si>
  <si>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</si>
  <si>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</si>
  <si>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</si>
  <si>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</si>
  <si>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</si>
  <si>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</si>
  <si>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</si>
  <si>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</si>
  <si>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</si>
  <si>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</si>
  <si>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</si>
  <si>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</si>
  <si>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</si>
  <si>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</si>
  <si>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</si>
  <si>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</si>
  <si>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</si>
  <si>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</si>
  <si>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</si>
  <si>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</si>
  <si>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</si>
  <si>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</si>
  <si>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</si>
  <si>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</si>
  <si>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</si>
  <si>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</si>
  <si>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</si>
  <si>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</si>
  <si>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</si>
  <si>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</si>
  <si>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</si>
  <si>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</si>
  <si>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</si>
  <si>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</si>
  <si>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</si>
  <si>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</si>
  <si>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</si>
  <si>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</si>
  <si>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</si>
  <si>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</si>
  <si>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</si>
  <si>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</si>
  <si>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</si>
  <si>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</si>
  <si>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</si>
  <si>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</si>
  <si>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</si>
  <si>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</si>
  <si>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</si>
  <si>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</si>
  <si>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</si>
  <si>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</si>
  <si>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</si>
  <si>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</si>
  <si>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</si>
  <si>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</si>
  <si>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</si>
  <si>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</si>
  <si>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</si>
  <si>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</si>
  <si>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</si>
  <si>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</si>
  <si>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</si>
  <si>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</si>
  <si>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</si>
  <si>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</si>
  <si>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</si>
  <si>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</si>
  <si>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</si>
  <si>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</si>
  <si>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</si>
  <si>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</si>
  <si>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</si>
  <si>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</si>
  <si>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</si>
  <si>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</si>
  <si>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</si>
  <si>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</si>
  <si>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</si>
  <si>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</si>
  <si>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</si>
  <si>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</si>
  <si>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</si>
  <si>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</si>
  <si>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</si>
  <si>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</si>
  <si>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</si>
  <si>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</si>
  <si>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</si>
  <si>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</si>
  <si>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</si>
  <si>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</si>
  <si>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</si>
  <si>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</si>
  <si>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</si>
  <si>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</si>
  <si>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</si>
  <si>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</si>
  <si>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</si>
  <si>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</si>
  <si>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</si>
  <si>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</si>
  <si>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</si>
  <si>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</si>
  <si>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</si>
  <si>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</si>
  <si>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</si>
  <si>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</si>
  <si>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</si>
  <si>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</si>
  <si>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</si>
  <si>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</si>
  <si>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</si>
  <si>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</si>
  <si>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</si>
  <si>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</si>
  <si>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</si>
  <si>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</si>
  <si>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</si>
  <si>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</si>
  <si>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</si>
  <si>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</si>
  <si>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</si>
  <si>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</si>
  <si>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</si>
  <si>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</si>
  <si>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</si>
  <si>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</si>
  <si>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</si>
  <si>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</si>
  <si>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</si>
  <si>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</si>
  <si>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</si>
  <si>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</si>
  <si>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</si>
  <si>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</si>
  <si>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</si>
  <si>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</si>
  <si>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</si>
  <si>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</si>
  <si>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</si>
  <si>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</si>
  <si>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</si>
  <si>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</si>
  <si>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</si>
  <si>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</si>
  <si>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</si>
  <si>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</si>
  <si>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</si>
  <si>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</si>
  <si>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</si>
  <si>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</si>
  <si>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</si>
  <si>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</si>
  <si>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</si>
  <si>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</si>
  <si>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</si>
  <si>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</si>
  <si>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</si>
  <si>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</si>
  <si>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</si>
  <si>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</si>
  <si>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</si>
  <si>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</si>
  <si>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</si>
  <si>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</si>
  <si>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</si>
  <si>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</si>
  <si>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</si>
  <si>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</si>
  <si>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</si>
  <si>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</si>
  <si>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</si>
  <si>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</si>
  <si>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</si>
  <si>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</si>
  <si>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</si>
  <si>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</si>
  <si>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</si>
  <si>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</si>
  <si>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</si>
  <si>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</si>
  <si>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</si>
  <si>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</si>
  <si>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</si>
  <si>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</si>
  <si>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</si>
  <si>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</si>
  <si>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</si>
  <si>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</si>
  <si>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</si>
  <si>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</si>
  <si>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</si>
  <si>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</si>
  <si>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</si>
  <si>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</si>
  <si>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</si>
  <si>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</si>
  <si>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</si>
  <si>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</si>
  <si>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</si>
  <si>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</si>
  <si>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</si>
  <si>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</si>
  <si>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</si>
  <si>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</si>
  <si>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</si>
  <si>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</si>
  <si>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</si>
  <si>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</si>
  <si>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</si>
  <si>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</si>
  <si>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</si>
  <si>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</si>
  <si>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</si>
  <si>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</si>
  <si>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</si>
  <si>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</si>
  <si>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</si>
  <si>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</si>
  <si>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</si>
  <si>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</si>
  <si>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</si>
  <si>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</si>
  <si>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</si>
  <si>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</si>
  <si>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</si>
  <si>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</si>
  <si>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</si>
  <si>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</si>
  <si>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</si>
  <si>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</si>
  <si>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</si>
  <si>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</si>
  <si>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</si>
  <si>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</si>
  <si>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</si>
  <si>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</si>
  <si>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</si>
  <si>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</si>
  <si>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</si>
  <si>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</si>
  <si>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</si>
  <si>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</si>
  <si>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</si>
  <si>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</si>
  <si>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</si>
  <si>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</si>
  <si>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</si>
  <si>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</si>
  <si>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</si>
  <si>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</si>
  <si>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</si>
  <si>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</si>
  <si>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</si>
  <si>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</si>
  <si>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</si>
  <si>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</si>
  <si>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</si>
  <si>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</si>
  <si>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</si>
  <si>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</si>
  <si>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</si>
  <si>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</si>
  <si>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</si>
  <si>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</si>
  <si>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</si>
  <si>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</si>
  <si>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</si>
  <si>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</si>
  <si>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</si>
  <si>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</si>
  <si>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</si>
  <si>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</si>
  <si>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</si>
  <si>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</si>
  <si>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</si>
  <si>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</si>
  <si>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</si>
  <si>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</si>
  <si>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</si>
  <si>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</si>
  <si>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</si>
  <si>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</si>
  <si>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</si>
  <si>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</si>
  <si>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</si>
  <si>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</si>
  <si>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</si>
  <si>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</si>
  <si>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</si>
  <si>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</si>
  <si>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</si>
  <si>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</si>
  <si>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</si>
  <si>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</si>
  <si>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</si>
  <si>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</si>
  <si>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</si>
  <si>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</si>
  <si>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</si>
  <si>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</si>
  <si>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</si>
  <si>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</si>
  <si>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</si>
  <si>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</si>
  <si>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</si>
  <si>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</si>
  <si>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</si>
  <si>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</si>
  <si>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</si>
  <si>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</si>
  <si>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</si>
  <si>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</si>
  <si>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</si>
  <si>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</si>
  <si>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</si>
  <si>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</si>
  <si>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</si>
  <si>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</si>
  <si>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</si>
  <si>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</si>
  <si>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</si>
  <si>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</si>
  <si>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</si>
  <si>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</si>
  <si>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</si>
  <si>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</si>
  <si>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</si>
  <si>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</si>
  <si>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</si>
  <si>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</si>
  <si>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</si>
  <si>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</si>
  <si>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</si>
  <si>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</si>
  <si>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</si>
  <si>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</si>
  <si>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</si>
  <si>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</si>
  <si>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</si>
  <si>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</si>
  <si>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</si>
  <si>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</si>
  <si>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</si>
  <si>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</si>
  <si>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</si>
  <si>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</si>
  <si>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</si>
  <si>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</si>
  <si>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</si>
  <si>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</si>
  <si>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</si>
  <si>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</si>
  <si>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</si>
  <si>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</si>
  <si>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</si>
  <si>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</si>
  <si>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</si>
  <si>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</si>
  <si>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</si>
  <si>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</si>
  <si>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</si>
  <si>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</si>
  <si>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</si>
  <si>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</si>
  <si>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</si>
  <si>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</si>
  <si>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</si>
  <si>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</si>
  <si>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</si>
  <si>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</si>
  <si>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</si>
  <si>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</si>
  <si>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</si>
  <si>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</si>
  <si>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</si>
  <si>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</si>
  <si>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</si>
  <si>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</si>
  <si>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</si>
  <si>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</si>
  <si>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</si>
  <si>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</si>
  <si>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</si>
  <si>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</si>
  <si>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</si>
  <si>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</si>
  <si>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</si>
  <si>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</si>
  <si>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</si>
  <si>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</si>
  <si>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</si>
  <si>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</si>
  <si>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</si>
  <si>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</si>
  <si>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</si>
  <si>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</si>
  <si>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</si>
  <si>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</si>
  <si>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</si>
  <si>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</si>
  <si>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</si>
  <si>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</si>
  <si>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</si>
  <si>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</si>
  <si>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</si>
  <si>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</si>
  <si>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</si>
  <si>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</si>
  <si>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</si>
  <si>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</si>
  <si>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</si>
  <si>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</si>
  <si>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</si>
  <si>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</si>
  <si>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</si>
  <si>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</si>
  <si>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</si>
  <si>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</si>
  <si>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</si>
  <si>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</si>
  <si>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</si>
  <si>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</si>
  <si>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</si>
  <si>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</si>
  <si>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</si>
  <si>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</si>
  <si>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</si>
  <si>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</si>
  <si>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</si>
  <si>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</si>
  <si>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</si>
  <si>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</si>
  <si>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</si>
  <si>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</si>
  <si>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</si>
  <si>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</si>
  <si>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</si>
  <si>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</si>
  <si>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</si>
  <si>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</si>
  <si>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</si>
  <si>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</si>
  <si>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</si>
  <si>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</si>
  <si>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</si>
  <si>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</si>
  <si>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</si>
  <si>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</si>
  <si>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</si>
  <si>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</si>
  <si>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</si>
  <si>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</si>
  <si>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</si>
  <si>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</si>
  <si>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</si>
  <si>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</si>
  <si>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</si>
  <si>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</si>
  <si>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</si>
  <si>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</si>
  <si>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</si>
  <si>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</si>
  <si>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</si>
  <si>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</si>
  <si>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</si>
  <si>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</si>
  <si>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</si>
  <si>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</si>
  <si>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</si>
  <si>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</si>
  <si>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</si>
  <si>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</si>
  <si>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</si>
  <si>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</si>
  <si>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</si>
  <si>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</si>
  <si>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</si>
  <si>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</si>
  <si>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</si>
  <si>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</si>
  <si>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</si>
  <si>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</si>
  <si>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</si>
  <si>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</si>
  <si>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</si>
  <si>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</si>
  <si>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</si>
  <si>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</si>
  <si>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</si>
  <si>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</si>
  <si>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</si>
  <si>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</si>
  <si>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</si>
  <si>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</si>
  <si>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</si>
  <si>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</si>
  <si>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</si>
  <si>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</si>
  <si>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</si>
  <si>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</si>
  <si>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</si>
  <si>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</si>
  <si>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</si>
  <si>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</si>
  <si>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</si>
  <si>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</si>
  <si>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</si>
  <si>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</si>
  <si>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</si>
  <si>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</si>
  <si>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</si>
  <si>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</si>
  <si>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</si>
  <si>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</si>
  <si>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</si>
  <si>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</si>
  <si>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</si>
  <si>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</si>
  <si>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</si>
  <si>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</si>
  <si>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</si>
  <si>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</si>
  <si>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</si>
  <si>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</si>
  <si>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</si>
  <si>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</si>
  <si>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</si>
  <si>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</si>
  <si>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</si>
  <si>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</si>
  <si>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</si>
  <si>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</si>
  <si>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</si>
  <si>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</si>
  <si>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</si>
  <si>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</si>
  <si>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</si>
  <si>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</si>
  <si>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</si>
  <si>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</si>
  <si>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</si>
  <si>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</si>
  <si>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</si>
  <si>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</si>
  <si>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</si>
  <si>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</si>
  <si>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</si>
  <si>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</si>
  <si>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</si>
  <si>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</si>
  <si>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</si>
  <si>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</si>
  <si>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</si>
  <si>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</si>
  <si>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</si>
  <si>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</si>
  <si>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</si>
  <si>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</si>
  <si>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</si>
  <si>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</si>
  <si>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</si>
  <si>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</si>
  <si>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</si>
  <si>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</si>
  <si>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</si>
  <si>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</si>
  <si>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</si>
  <si>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</si>
  <si>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</si>
  <si>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</si>
  <si>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</si>
  <si>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</si>
  <si>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</si>
  <si>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</si>
  <si>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</si>
  <si>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</si>
  <si>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</si>
  <si>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</si>
  <si>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</si>
  <si>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</si>
  <si>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</si>
  <si>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</si>
  <si>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</si>
  <si>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</si>
  <si>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</si>
  <si>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</si>
  <si>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</si>
  <si>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</si>
  <si>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</si>
  <si>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</si>
  <si>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</si>
  <si>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</si>
  <si>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</si>
  <si>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</si>
  <si>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</si>
  <si>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</si>
  <si>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</si>
  <si>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</si>
  <si>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</si>
  <si>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</si>
  <si>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</si>
  <si>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</si>
  <si>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</si>
  <si>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</si>
  <si>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</si>
  <si>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</si>
  <si>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</si>
  <si>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</si>
  <si>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</si>
  <si>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</si>
  <si>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</si>
  <si>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</si>
  <si>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</si>
  <si>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</si>
  <si>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</si>
  <si>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</si>
  <si>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</si>
  <si>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</si>
  <si>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</si>
  <si>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</si>
  <si>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</si>
  <si>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</si>
  <si>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</si>
  <si>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</si>
  <si>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</si>
  <si>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</si>
  <si>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</si>
  <si>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</si>
  <si>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</si>
  <si>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</si>
  <si>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</si>
  <si>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</si>
  <si>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</si>
  <si>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</si>
  <si>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</si>
  <si>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</si>
  <si>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</si>
  <si>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</si>
  <si>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</si>
  <si>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</si>
  <si>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</si>
  <si>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</si>
  <si>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</si>
  <si>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</si>
  <si>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</si>
  <si>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</si>
  <si>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</si>
  <si>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</si>
  <si>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</si>
  <si>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</si>
  <si>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</si>
  <si>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</si>
  <si>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</si>
  <si>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</si>
  <si>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</si>
  <si>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</si>
  <si>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</si>
  <si>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</si>
  <si>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</si>
  <si>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</si>
  <si>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</si>
  <si>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</si>
  <si>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</si>
  <si>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</si>
  <si>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</si>
  <si>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</si>
  <si>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</si>
  <si>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</si>
  <si>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</si>
  <si>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</si>
  <si>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</si>
  <si>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</si>
  <si>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</si>
  <si>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</si>
  <si>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</si>
  <si>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</si>
  <si>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</si>
  <si>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</si>
  <si>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</si>
  <si>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</si>
  <si>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</si>
  <si>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</si>
  <si>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</si>
  <si>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</si>
  <si>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</si>
  <si>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</si>
  <si>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</si>
  <si>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</si>
  <si>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</si>
  <si>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</si>
  <si>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</si>
  <si>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</si>
  <si>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</si>
  <si>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</si>
  <si>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</si>
  <si>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</si>
  <si>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</si>
  <si>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</si>
  <si>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</si>
  <si>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</si>
  <si>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</si>
  <si>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</si>
  <si>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</si>
  <si>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</si>
  <si>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</si>
  <si>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</si>
  <si>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</si>
  <si>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</si>
  <si>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</si>
  <si>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</si>
  <si>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</si>
  <si>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</si>
  <si>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</si>
  <si>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</si>
  <si>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</si>
  <si>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</si>
  <si>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</si>
  <si>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</si>
  <si>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</si>
  <si>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</si>
  <si>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</si>
  <si>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</si>
  <si>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</si>
  <si>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</si>
  <si>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</si>
  <si>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</si>
  <si>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</si>
  <si>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</si>
  <si>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</si>
  <si>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</si>
  <si>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</si>
  <si>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</si>
  <si>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</si>
  <si>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</si>
  <si>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</si>
  <si>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</si>
  <si>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</si>
  <si>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</si>
  <si>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</si>
  <si>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</si>
  <si>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</si>
  <si>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</si>
  <si>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</si>
  <si>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</si>
  <si>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</si>
  <si>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</si>
  <si>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</si>
  <si>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</si>
  <si>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</si>
  <si>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</si>
  <si>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</si>
  <si>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</si>
  <si>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</si>
  <si>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</si>
  <si>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</si>
  <si>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</si>
  <si>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</si>
  <si>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</si>
  <si>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</si>
  <si>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</si>
  <si>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</si>
  <si>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</si>
  <si>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</si>
  <si>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</si>
  <si>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</si>
  <si>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</si>
  <si>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</si>
  <si>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</si>
  <si>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</si>
  <si>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</si>
  <si>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</si>
  <si>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</si>
  <si>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</si>
  <si>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</si>
  <si>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</si>
  <si>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</si>
  <si>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</si>
  <si>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</si>
  <si>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</si>
  <si>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</si>
  <si>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</si>
  <si>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</si>
  <si>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</si>
  <si>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</si>
  <si>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</si>
  <si>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</si>
  <si>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</si>
  <si>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</si>
  <si>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</si>
  <si>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</si>
  <si>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</si>
  <si>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</si>
  <si>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</si>
  <si>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</si>
  <si>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</si>
  <si>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</si>
  <si>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</si>
  <si>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</si>
  <si>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</si>
  <si>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</si>
  <si>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</si>
  <si>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</si>
  <si>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</si>
  <si>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</si>
  <si>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</si>
  <si>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</si>
  <si>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</si>
  <si>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</si>
  <si>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</si>
  <si>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</si>
  <si>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</si>
  <si>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</si>
  <si>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</si>
  <si>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</si>
  <si>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</si>
  <si>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</si>
  <si>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</si>
  <si>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</si>
  <si>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</si>
  <si>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</si>
  <si>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</si>
  <si>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</si>
  <si>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</si>
  <si>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</si>
  <si>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</si>
  <si>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</si>
  <si>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</si>
  <si>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</si>
  <si>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</si>
  <si>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</si>
  <si>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</si>
  <si>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</si>
  <si>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</si>
  <si>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</si>
  <si>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</si>
  <si>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</si>
  <si>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</si>
  <si>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</si>
  <si>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</si>
  <si>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</si>
  <si>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</si>
  <si>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</si>
  <si>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</si>
  <si>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</si>
  <si>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</si>
  <si>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</si>
  <si>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</si>
  <si>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</si>
  <si>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</si>
  <si>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</si>
  <si>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</si>
  <si>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</si>
  <si>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</si>
  <si>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</si>
  <si>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</si>
  <si>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</si>
  <si>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</si>
  <si>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</si>
  <si>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</si>
  <si>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</si>
  <si>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</si>
  <si>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</si>
  <si>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</si>
  <si>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</si>
  <si>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</si>
  <si>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</si>
  <si>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</si>
  <si>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</si>
  <si>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</si>
  <si>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</si>
  <si>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</si>
  <si>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</si>
  <si>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</si>
  <si>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</si>
  <si>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</si>
  <si>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</si>
  <si>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</si>
  <si>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</si>
  <si>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</si>
  <si>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</si>
  <si>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</si>
  <si>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</si>
  <si>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</si>
  <si>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</si>
  <si>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</si>
  <si>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</si>
  <si>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</si>
  <si>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</si>
  <si>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</si>
  <si>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</si>
  <si>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</si>
  <si>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</si>
  <si>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</si>
  <si>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</si>
  <si>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</si>
  <si>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</si>
  <si>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</si>
  <si>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</si>
  <si>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</si>
  <si>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</si>
  <si>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</si>
  <si>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</si>
  <si>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</si>
  <si>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</si>
  <si>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</si>
  <si>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</si>
  <si>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</si>
  <si>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</si>
  <si>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</si>
  <si>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</si>
  <si>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</si>
  <si>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</si>
  <si>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</si>
  <si>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</si>
  <si>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</si>
  <si>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</si>
  <si>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</si>
  <si>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</si>
  <si>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</si>
  <si>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</si>
  <si>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</si>
  <si>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</si>
  <si>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</si>
  <si>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</si>
  <si>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</si>
  <si>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</si>
  <si>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</si>
  <si>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</si>
  <si>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</si>
  <si>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</si>
  <si>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</si>
  <si>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</si>
  <si>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</si>
  <si>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</si>
  <si>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</si>
  <si>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</si>
  <si>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</si>
  <si>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</si>
  <si>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</si>
  <si>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</si>
  <si>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</si>
  <si>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</si>
  <si>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</si>
  <si>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</si>
  <si>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</si>
  <si>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</si>
  <si>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</si>
  <si>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</si>
  <si>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</si>
  <si>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</si>
  <si>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</si>
  <si>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</si>
  <si>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</si>
  <si>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</si>
  <si>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</si>
  <si>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</si>
  <si>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</si>
  <si>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</si>
  <si>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</si>
  <si>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</si>
  <si>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</si>
  <si>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</si>
  <si>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</si>
  <si>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</si>
  <si>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</si>
  <si>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</si>
  <si>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</si>
  <si>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</si>
  <si>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</si>
  <si>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</si>
  <si>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</si>
  <si>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</si>
  <si>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</si>
  <si>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</si>
  <si>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</si>
  <si>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</si>
  <si>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</si>
  <si>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</si>
  <si>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</si>
  <si>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</si>
  <si>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</si>
  <si>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</si>
  <si>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</si>
  <si>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</si>
  <si>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</si>
  <si>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</si>
  <si>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</si>
  <si>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</si>
  <si>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</si>
  <si>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</si>
  <si>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</si>
  <si>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</si>
  <si>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</si>
  <si>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</si>
  <si>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</si>
  <si>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</si>
  <si>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</si>
  <si>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</si>
  <si>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</si>
  <si>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</si>
  <si>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</si>
  <si>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</si>
  <si>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</si>
  <si>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</si>
  <si>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</si>
  <si>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</si>
  <si>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</si>
  <si>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</si>
  <si>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</si>
  <si>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</si>
  <si>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</si>
  <si>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</si>
  <si>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</si>
  <si>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</si>
  <si>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</si>
  <si>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</si>
  <si>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</si>
  <si>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</si>
  <si>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</si>
  <si>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</si>
  <si>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</si>
  <si>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</si>
  <si>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</si>
  <si>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</si>
  <si>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</si>
  <si>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</si>
  <si>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</si>
  <si>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</si>
  <si>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</si>
  <si>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</si>
  <si>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</si>
  <si>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</si>
  <si>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</si>
  <si>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</si>
  <si>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</si>
  <si>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</si>
  <si>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</si>
  <si>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</si>
  <si>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</si>
  <si>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</si>
  <si>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</si>
  <si>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</si>
  <si>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</si>
  <si>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</si>
  <si>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</si>
  <si>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</si>
  <si>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</si>
  <si>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</si>
  <si>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</si>
  <si>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</si>
  <si>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</si>
  <si>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</si>
  <si>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</si>
  <si>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</si>
  <si>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</si>
  <si>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</si>
  <si>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</si>
  <si>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</si>
  <si>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</si>
  <si>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</si>
  <si>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</si>
  <si>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</si>
  <si>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</si>
  <si>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</si>
  <si>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</si>
  <si>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</si>
  <si>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</si>
  <si>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</si>
  <si>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</si>
  <si>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</si>
  <si>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</si>
  <si>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</si>
  <si>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</si>
  <si>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</si>
  <si>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</si>
  <si>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</si>
  <si>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</si>
  <si>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</si>
  <si>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</si>
  <si>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</si>
  <si>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</si>
  <si>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</si>
  <si>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</si>
  <si>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</si>
  <si>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</si>
  <si>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</si>
  <si>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</si>
  <si>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</si>
  <si>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</si>
  <si>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</si>
  <si>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</si>
  <si>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</si>
  <si>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</si>
  <si>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</si>
  <si>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</si>
  <si>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</si>
  <si>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</si>
  <si>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</si>
  <si>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</si>
  <si>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</si>
  <si>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</si>
  <si>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</si>
  <si>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</si>
  <si>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</si>
  <si>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</si>
  <si>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</si>
  <si>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</si>
  <si>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</si>
  <si>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</si>
  <si>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</si>
  <si>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</si>
  <si>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</si>
  <si>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</si>
  <si>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</si>
  <si>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</si>
  <si>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</si>
  <si>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</si>
  <si>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</si>
  <si>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</si>
  <si>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</si>
  <si>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</si>
  <si>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</si>
  <si>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</si>
  <si>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</si>
  <si>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</si>
  <si>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</si>
  <si>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</si>
  <si>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</si>
  <si>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</si>
  <si>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</si>
  <si>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</si>
  <si>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</si>
  <si>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</si>
  <si>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</si>
  <si>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</si>
  <si>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</si>
  <si>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</si>
  <si>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</si>
  <si>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</si>
  <si>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</si>
  <si>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</si>
  <si>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</si>
  <si>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</si>
  <si>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</si>
  <si>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</si>
  <si>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</si>
  <si>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</si>
  <si>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</si>
  <si>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</si>
  <si>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</si>
  <si>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</si>
  <si>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</si>
  <si>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</si>
  <si>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</si>
  <si>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</si>
  <si>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</si>
  <si>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</si>
  <si>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</si>
  <si>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</si>
  <si>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</si>
  <si>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</si>
  <si>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</si>
  <si>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</si>
  <si>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</si>
  <si>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</si>
  <si>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</si>
  <si>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</si>
  <si>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</si>
  <si>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</si>
  <si>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</si>
  <si>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</si>
  <si>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</si>
  <si>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</si>
  <si>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</si>
  <si>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</si>
  <si>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</si>
  <si>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</si>
  <si>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</si>
  <si>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</si>
  <si>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</si>
  <si>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</si>
  <si>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</si>
  <si>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</si>
  <si>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</si>
  <si>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</si>
  <si>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</si>
  <si>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</si>
  <si>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</si>
  <si>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</si>
  <si>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</si>
  <si>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</si>
  <si>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</si>
  <si>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</si>
  <si>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</si>
  <si>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</si>
  <si>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</si>
  <si>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</si>
  <si>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</si>
  <si>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</si>
  <si>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</si>
  <si>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</si>
  <si>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</si>
  <si>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</si>
  <si>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</si>
  <si>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</si>
  <si>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</si>
  <si>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</si>
  <si>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</si>
  <si>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</si>
  <si>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</si>
  <si>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</si>
  <si>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</si>
  <si>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</si>
  <si>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</si>
  <si>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</si>
  <si>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</si>
  <si>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</si>
  <si>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</si>
  <si>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</si>
  <si>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</si>
  <si>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</si>
  <si>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</si>
  <si>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</si>
  <si>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</si>
  <si>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</si>
  <si>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</si>
  <si>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</si>
  <si>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</si>
  <si>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</si>
  <si>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</si>
  <si>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</si>
  <si>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</si>
  <si>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</si>
  <si>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</si>
  <si>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</si>
  <si>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</si>
  <si>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</si>
  <si>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</si>
  <si>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</si>
  <si>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</si>
  <si>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</si>
  <si>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</si>
  <si>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</si>
  <si>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</si>
  <si>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</si>
  <si>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</si>
  <si>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</si>
  <si>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</si>
  <si>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</si>
  <si>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</si>
  <si>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</si>
  <si>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</si>
  <si>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</si>
  <si>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</si>
  <si>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</si>
  <si>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</si>
  <si>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</si>
  <si>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</si>
  <si>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</si>
  <si>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</si>
  <si>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</si>
  <si>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</si>
  <si>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</si>
  <si>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</si>
  <si>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</si>
  <si>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</si>
  <si>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</si>
  <si>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</si>
  <si>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</si>
  <si>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</si>
  <si>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</si>
  <si>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</si>
  <si>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</si>
  <si>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</si>
  <si>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</si>
  <si>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</si>
  <si>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</si>
  <si>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</si>
  <si>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</si>
  <si>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</si>
  <si>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</si>
  <si>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</si>
  <si>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</si>
  <si>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</si>
  <si>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</si>
  <si>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</si>
  <si>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</si>
  <si>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</si>
  <si>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</si>
  <si>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</si>
  <si>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</si>
  <si>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</si>
  <si>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</si>
  <si>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</si>
  <si>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</si>
  <si>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</si>
  <si>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</si>
  <si>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</si>
  <si>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</si>
  <si>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</si>
  <si>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</si>
  <si>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</si>
  <si>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</si>
  <si>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</si>
  <si>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</si>
  <si>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</si>
  <si>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</si>
  <si>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</si>
  <si>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</si>
  <si>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</si>
  <si>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</si>
  <si>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</si>
  <si>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</si>
  <si>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</si>
  <si>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</si>
  <si>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</si>
  <si>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</si>
  <si>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</si>
  <si>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</si>
  <si>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</si>
  <si>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</si>
  <si>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</si>
  <si>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</si>
  <si>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</si>
  <si>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</si>
  <si>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</si>
  <si>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</si>
  <si>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</si>
  <si>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</si>
  <si>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</si>
  <si>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</si>
  <si>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</si>
  <si>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</si>
  <si>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</si>
  <si>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</si>
  <si>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</si>
  <si>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</si>
  <si>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</si>
  <si>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</si>
  <si>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</si>
  <si>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</si>
  <si>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</si>
  <si>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</si>
  <si>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</si>
  <si>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</si>
  <si>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</si>
  <si>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</si>
  <si>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</si>
  <si>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</si>
  <si>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</si>
  <si>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</si>
  <si>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</si>
  <si>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</si>
  <si>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</si>
  <si>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</si>
  <si>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</si>
  <si>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</si>
  <si>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</si>
  <si>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</si>
  <si>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</si>
  <si>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</si>
  <si>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</si>
  <si>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</si>
  <si>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</si>
  <si>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</si>
  <si>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</si>
  <si>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</si>
  <si>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</si>
  <si>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</si>
  <si>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</si>
  <si>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</si>
  <si>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</si>
  <si>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</si>
  <si>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</si>
  <si>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</si>
  <si>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</si>
  <si>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</si>
  <si>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</si>
  <si>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</si>
  <si>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</si>
  <si>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</si>
  <si>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</si>
  <si>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</si>
  <si>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</si>
  <si>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</si>
  <si>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</si>
  <si>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</si>
  <si>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</si>
  <si>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</si>
  <si>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</si>
  <si>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</si>
  <si>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</si>
  <si>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</si>
  <si>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</si>
  <si>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</si>
  <si>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</si>
  <si>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</si>
  <si>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</si>
  <si>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</si>
  <si>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</si>
  <si>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</si>
  <si>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</si>
  <si>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</si>
  <si>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</si>
  <si>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</si>
  <si>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</si>
  <si>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</si>
  <si>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</si>
  <si>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</si>
  <si>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</si>
  <si>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</si>
  <si>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</si>
  <si>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</si>
  <si>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</si>
  <si>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</si>
  <si>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</si>
  <si>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</si>
  <si>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</si>
  <si>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</si>
  <si>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</si>
  <si>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</si>
  <si>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</si>
  <si>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</si>
  <si>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</si>
  <si>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</si>
  <si>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</si>
  <si>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</si>
  <si>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</si>
  <si>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</si>
  <si>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</si>
  <si>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</si>
  <si>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</si>
  <si>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</si>
  <si>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</si>
  <si>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</si>
  <si>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</si>
  <si>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</si>
  <si>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</si>
  <si>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</si>
  <si>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</si>
  <si>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</si>
  <si>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</si>
  <si>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</si>
  <si>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</si>
  <si>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</si>
  <si>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</si>
  <si>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</si>
  <si>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</si>
  <si>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</si>
  <si>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</si>
  <si>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</si>
  <si>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</si>
  <si>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</si>
  <si>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</si>
  <si>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</si>
  <si>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</si>
  <si>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</si>
  <si>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</si>
  <si>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</si>
  <si>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</si>
  <si>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</si>
  <si>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</si>
  <si>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</si>
  <si>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</si>
  <si>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</si>
  <si>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</si>
  <si>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</si>
  <si>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</si>
  <si>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</si>
  <si>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</si>
  <si>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</si>
  <si>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</si>
  <si>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</si>
  <si>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</si>
  <si>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</si>
  <si>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</si>
  <si>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</si>
  <si>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</si>
  <si>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</si>
  <si>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</si>
  <si>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</si>
  <si>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</si>
  <si>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</si>
  <si>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</si>
  <si>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</si>
  <si>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</si>
  <si>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</si>
  <si>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</si>
  <si>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</si>
  <si>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</si>
  <si>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</si>
  <si>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</si>
  <si>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</si>
  <si>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</si>
  <si>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</si>
  <si>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</si>
  <si>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</si>
  <si>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</si>
  <si>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</si>
  <si>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</si>
  <si>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</si>
  <si>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</si>
  <si>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</si>
  <si>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</si>
  <si>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</si>
  <si>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</si>
  <si>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</si>
  <si>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</si>
  <si>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</si>
  <si>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</si>
  <si>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</si>
  <si>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</si>
  <si>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</si>
  <si>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</si>
  <si>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</si>
  <si>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</si>
  <si>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</si>
  <si>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</si>
  <si>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</si>
  <si>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</si>
  <si>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</si>
  <si>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</si>
  <si>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</si>
  <si>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</si>
  <si>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</si>
  <si>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</si>
  <si>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</si>
  <si>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</si>
  <si>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</si>
  <si>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</si>
  <si>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</si>
  <si>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</si>
  <si>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</si>
  <si>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</si>
  <si>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</si>
  <si>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</si>
  <si>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</si>
  <si>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</si>
  <si>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</si>
  <si>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</si>
  <si>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</si>
  <si>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</si>
  <si>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</si>
  <si>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</si>
  <si>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</si>
  <si>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</si>
  <si>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</si>
  <si>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</si>
  <si>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</si>
  <si>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</si>
  <si>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</si>
  <si>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</si>
  <si>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</si>
  <si>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</si>
  <si>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</si>
  <si>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</si>
  <si>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</si>
  <si>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</si>
  <si>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</si>
  <si>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</si>
  <si>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</si>
  <si>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</si>
  <si>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</si>
  <si>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</si>
  <si>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</si>
  <si>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</si>
  <si>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</si>
  <si>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</si>
  <si>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</si>
  <si>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</si>
  <si>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</si>
  <si>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</si>
  <si>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</si>
  <si>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</si>
  <si>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</si>
  <si>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</si>
  <si>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</si>
  <si>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</si>
  <si>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</si>
  <si>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</si>
  <si>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</si>
  <si>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</si>
  <si>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</si>
  <si>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</si>
  <si>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</si>
  <si>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</si>
  <si>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</si>
  <si>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</si>
  <si>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</si>
  <si>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</si>
  <si>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</si>
  <si>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</si>
  <si>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</si>
  <si>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</si>
  <si>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</si>
  <si>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</si>
  <si>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</si>
  <si>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</si>
  <si>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</si>
  <si>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</si>
  <si>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</si>
  <si>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</si>
  <si>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</si>
  <si>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</si>
  <si>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</si>
  <si>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</si>
  <si>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</si>
  <si>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</si>
  <si>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</si>
  <si>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</si>
  <si>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</si>
  <si>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</si>
  <si>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</si>
  <si>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</si>
  <si>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</si>
  <si>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</si>
  <si>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</si>
  <si>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</si>
  <si>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</si>
  <si>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</si>
  <si>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</si>
  <si>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</si>
  <si>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</si>
  <si>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</si>
  <si>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</si>
  <si>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</si>
  <si>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</si>
  <si>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</si>
  <si>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</si>
  <si>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</si>
  <si>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</si>
  <si>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</si>
  <si>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</si>
  <si>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</si>
  <si>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</si>
  <si>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</si>
  <si>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</si>
  <si>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</si>
  <si>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</si>
  <si>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</si>
  <si>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</si>
  <si>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</si>
  <si>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</si>
  <si>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</si>
  <si>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</si>
  <si>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</si>
  <si>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</si>
  <si>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</si>
  <si>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</si>
  <si>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</si>
  <si>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</si>
  <si>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</si>
  <si>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</si>
  <si>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</si>
  <si>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</si>
  <si>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</si>
  <si>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</si>
  <si>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</si>
  <si>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</si>
  <si>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</si>
  <si>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</si>
  <si>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</si>
  <si>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</si>
  <si>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</si>
  <si>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</si>
  <si>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</si>
  <si>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</si>
  <si>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</si>
  <si>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</si>
  <si>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</si>
  <si>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</si>
  <si>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</si>
  <si>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</si>
  <si>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</si>
  <si>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</si>
  <si>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</si>
  <si>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</si>
  <si>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</si>
  <si>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</si>
  <si>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</si>
  <si>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</si>
  <si>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</si>
  <si>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</si>
  <si>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</si>
  <si>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</si>
  <si>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</si>
  <si>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</si>
  <si>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</si>
  <si>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</si>
  <si>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</si>
  <si>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</si>
  <si>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</si>
  <si>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</si>
  <si>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</si>
  <si>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</si>
  <si>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</si>
  <si>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</si>
  <si>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</si>
  <si>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</si>
  <si>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</si>
  <si>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</si>
  <si>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</si>
  <si>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</si>
  <si>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</si>
  <si>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</si>
  <si>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</si>
  <si>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</si>
  <si>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</si>
  <si>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</si>
  <si>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</si>
  <si>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</si>
  <si>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</si>
  <si>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</si>
  <si>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</si>
  <si>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</si>
  <si>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</si>
  <si>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</si>
  <si>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</si>
  <si>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</si>
  <si>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</si>
  <si>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</si>
  <si>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</si>
  <si>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</si>
  <si>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</si>
  <si>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</si>
  <si>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</si>
  <si>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</si>
  <si>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</si>
  <si>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</si>
  <si>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</si>
  <si>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</si>
  <si>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</si>
  <si>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</si>
  <si>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</si>
  <si>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</si>
  <si>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</si>
  <si>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</si>
  <si>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</si>
  <si>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</si>
  <si>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</si>
  <si>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</si>
  <si>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</si>
  <si>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</si>
  <si>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</si>
  <si>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</si>
  <si>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</si>
  <si>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</si>
  <si>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</si>
  <si>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</si>
  <si>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</si>
  <si>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</si>
  <si>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</si>
  <si>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</si>
  <si>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</si>
  <si>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</si>
  <si>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</si>
  <si>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</si>
  <si>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</si>
  <si>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</si>
  <si>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</si>
  <si>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</si>
  <si>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</si>
  <si>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</si>
  <si>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</si>
  <si>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</si>
  <si>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</si>
  <si>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</si>
  <si>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</si>
  <si>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</si>
  <si>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</si>
  <si>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</si>
  <si>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</si>
  <si>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</si>
  <si>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</si>
  <si>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</si>
  <si>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</si>
  <si>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</si>
  <si>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</si>
  <si>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</si>
  <si>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</si>
  <si>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</si>
  <si>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</si>
  <si>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</si>
  <si>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</si>
  <si>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</si>
  <si>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</si>
  <si>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</si>
  <si>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</si>
  <si>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</si>
  <si>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</si>
  <si>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</si>
  <si>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</si>
  <si>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</si>
  <si>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</si>
  <si>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</si>
  <si>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</si>
  <si>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</si>
  <si>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</si>
  <si>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</si>
  <si>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</si>
  <si>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</si>
  <si>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</si>
  <si>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</si>
  <si>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</si>
  <si>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</si>
  <si>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</si>
  <si>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</si>
  <si>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</si>
  <si>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</si>
  <si>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</si>
  <si>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</si>
  <si>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</si>
  <si>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</si>
  <si>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</si>
  <si>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</si>
  <si>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</si>
  <si>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</si>
  <si>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</si>
  <si>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</si>
  <si>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</si>
  <si>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</si>
  <si>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</si>
  <si>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</si>
  <si>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</si>
  <si>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</si>
  <si>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</si>
  <si>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</si>
  <si>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</si>
  <si>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</si>
  <si>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</si>
  <si>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</si>
  <si>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</si>
  <si>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</si>
  <si>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</si>
  <si>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</si>
  <si>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</si>
  <si>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</si>
  <si>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</si>
  <si>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</si>
  <si>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</si>
  <si>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</si>
  <si>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</si>
  <si>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</si>
  <si>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</si>
  <si>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</si>
  <si>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</si>
  <si>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</si>
  <si>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</si>
  <si>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</si>
  <si>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</si>
  <si>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</si>
  <si>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</si>
  <si>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</si>
  <si>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</si>
  <si>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</si>
  <si>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</si>
  <si>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</si>
  <si>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</si>
  <si>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</si>
  <si>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</si>
  <si>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</si>
  <si>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</si>
  <si>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</si>
  <si>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</si>
  <si>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</si>
  <si>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</si>
  <si>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</si>
  <si>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</si>
  <si>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</si>
  <si>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</si>
  <si>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</si>
  <si>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</si>
  <si>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</si>
  <si>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</si>
  <si>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</si>
  <si>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</si>
  <si>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</si>
  <si>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</si>
  <si>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</si>
  <si>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</si>
  <si>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</si>
  <si>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</si>
  <si>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</si>
  <si>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</si>
  <si>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</si>
  <si>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</si>
  <si>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</si>
  <si>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</si>
  <si>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</si>
  <si>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</si>
  <si>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</si>
  <si>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</si>
  <si>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</si>
  <si>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</si>
  <si>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</si>
  <si>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</si>
  <si>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</si>
  <si>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</si>
  <si>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</si>
  <si>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</si>
  <si>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</si>
  <si>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</si>
  <si>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</si>
  <si>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</si>
  <si>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</si>
  <si>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</si>
  <si>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</si>
  <si>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</si>
  <si>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</si>
  <si>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</si>
  <si>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</si>
  <si>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</si>
  <si>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</si>
  <si>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</si>
  <si>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</si>
  <si>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</si>
  <si>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</si>
  <si>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</si>
  <si>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</si>
  <si>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</si>
  <si>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</si>
  <si>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</si>
  <si>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</si>
  <si>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</si>
  <si>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</si>
  <si>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</si>
  <si>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</si>
  <si>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</si>
  <si>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</si>
  <si>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</si>
  <si>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</si>
  <si>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</si>
  <si>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</si>
  <si>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</si>
  <si>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</si>
  <si>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</si>
  <si>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</si>
  <si>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</si>
  <si>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</si>
  <si>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</si>
  <si>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</si>
  <si>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</si>
  <si>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</si>
  <si>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</si>
  <si>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</si>
  <si>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</si>
  <si>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</si>
  <si>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</si>
  <si>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</si>
  <si>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</si>
  <si>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</si>
  <si>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</si>
  <si>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</si>
  <si>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</si>
  <si>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</si>
  <si>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</si>
  <si>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</si>
  <si>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</si>
  <si>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</si>
  <si>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</si>
  <si>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</si>
  <si>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</si>
  <si>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</si>
  <si>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</si>
  <si>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</si>
  <si>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</si>
  <si>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</si>
  <si>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</si>
  <si>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</si>
  <si>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</si>
  <si>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</si>
  <si>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</si>
  <si>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</si>
  <si>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</si>
  <si>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</si>
  <si>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</si>
  <si>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</si>
  <si>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</si>
  <si>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</si>
  <si>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</si>
  <si>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</si>
  <si>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</si>
  <si>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</si>
  <si>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</si>
  <si>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</si>
  <si>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</si>
  <si>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</si>
  <si>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</si>
  <si>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</si>
  <si>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</si>
  <si>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</si>
  <si>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</si>
  <si>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</si>
  <si>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</si>
  <si>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</si>
  <si>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</si>
  <si>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</si>
  <si>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</si>
  <si>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</si>
  <si>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</si>
  <si>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</si>
  <si>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</si>
  <si>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</si>
  <si>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</si>
  <si>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</si>
  <si>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</si>
  <si>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</si>
  <si>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</si>
  <si>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</si>
  <si>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</si>
  <si>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</si>
  <si>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</si>
  <si>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</si>
  <si>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</si>
  <si>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</si>
  <si>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</si>
  <si>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</si>
  <si>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</si>
  <si>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</si>
  <si>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</si>
  <si>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</si>
  <si>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</si>
  <si>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</si>
  <si>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</si>
  <si>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</si>
  <si>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</si>
  <si>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</si>
  <si>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</si>
  <si>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</si>
  <si>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</si>
  <si>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</si>
  <si>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</si>
  <si>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</si>
  <si>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</si>
  <si>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</si>
  <si>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</si>
  <si>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</si>
  <si>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</si>
  <si>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</si>
  <si>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</si>
  <si>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</si>
  <si>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</si>
  <si>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</si>
  <si>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</si>
  <si>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</si>
  <si>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</si>
  <si>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</si>
  <si>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</si>
  <si>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</si>
  <si>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</si>
  <si>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</si>
  <si>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</si>
  <si>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</si>
  <si>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</si>
  <si>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</si>
  <si>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</si>
  <si>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</si>
  <si>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</si>
  <si>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</si>
  <si>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</si>
  <si>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</si>
  <si>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</si>
  <si>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</si>
  <si>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</si>
  <si>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</si>
  <si>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</si>
  <si>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</si>
  <si>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</si>
  <si>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</si>
  <si>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</si>
  <si>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</si>
  <si>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</si>
  <si>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</si>
  <si>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</si>
  <si>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</si>
  <si>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</si>
  <si>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</si>
  <si>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</si>
  <si>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</si>
  <si>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</si>
  <si>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</si>
  <si>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</si>
  <si>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</si>
  <si>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</si>
  <si>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</si>
  <si>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</si>
  <si>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</si>
  <si>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</si>
  <si>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</si>
  <si>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</si>
  <si>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</si>
  <si>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</si>
  <si>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</si>
  <si>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</si>
  <si>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</si>
  <si>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</si>
  <si>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</si>
  <si>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</si>
  <si>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</si>
  <si>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</si>
  <si>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</si>
  <si>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</si>
  <si>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</si>
  <si>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</si>
  <si>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</si>
  <si>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</si>
  <si>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</si>
  <si>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</si>
  <si>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</si>
  <si>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</si>
  <si>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</si>
  <si>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</si>
  <si>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</si>
  <si>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</si>
  <si>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</si>
  <si>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</si>
  <si>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</si>
  <si>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</si>
  <si>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</si>
  <si>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</si>
  <si>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</si>
  <si>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</si>
  <si>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</si>
  <si>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</si>
  <si>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</si>
  <si>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</si>
  <si>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</si>
  <si>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</si>
  <si>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</si>
  <si>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</si>
  <si>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</si>
  <si>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</si>
  <si>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</si>
  <si>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</si>
  <si>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</si>
  <si>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</si>
  <si>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</si>
  <si>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</si>
  <si>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</si>
  <si>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</si>
  <si>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</si>
  <si>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</si>
  <si>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</si>
  <si>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</si>
  <si>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</si>
  <si>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</si>
  <si>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</si>
  <si>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</si>
  <si>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</si>
  <si>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</si>
  <si>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</si>
  <si>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</si>
  <si>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</si>
  <si>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</si>
  <si>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</si>
  <si>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</si>
  <si>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</si>
  <si>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</si>
  <si>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</si>
  <si>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</si>
  <si>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</si>
  <si>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</si>
  <si>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</si>
  <si>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</si>
  <si>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</si>
  <si>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</si>
  <si>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</si>
  <si>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</si>
  <si>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</si>
  <si>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</si>
  <si>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</si>
  <si>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</si>
  <si>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</si>
  <si>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</si>
  <si>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</si>
  <si>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</si>
  <si>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</si>
  <si>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</si>
  <si>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</si>
  <si>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</si>
  <si>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</si>
  <si>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</si>
  <si>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</si>
  <si>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</si>
  <si>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</si>
  <si>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</si>
  <si>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</si>
  <si>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</si>
  <si>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</si>
  <si>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</si>
  <si>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</si>
  <si>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</si>
  <si>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</si>
  <si>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</si>
  <si>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</si>
  <si>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</si>
  <si>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</si>
  <si>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</si>
  <si>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</si>
  <si>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</si>
  <si>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</si>
  <si>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</si>
  <si>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</si>
  <si>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</si>
  <si>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</si>
  <si>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</si>
  <si>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</si>
  <si>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</si>
  <si>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</si>
  <si>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</si>
  <si>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</si>
  <si>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</si>
  <si>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</si>
  <si>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</si>
  <si>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</si>
  <si>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</si>
  <si>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</si>
  <si>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</si>
  <si>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</si>
  <si>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</si>
  <si>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</si>
  <si>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</si>
  <si>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</si>
  <si>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</si>
  <si>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</si>
  <si>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</si>
  <si>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</si>
  <si>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</si>
  <si>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</si>
  <si>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</si>
  <si>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</si>
  <si>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</si>
  <si>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</si>
  <si>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</si>
  <si>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</si>
  <si>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</si>
  <si>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</si>
  <si>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</si>
  <si>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</si>
  <si>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</si>
  <si>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</si>
  <si>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</si>
  <si>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</si>
  <si>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</si>
  <si>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</si>
  <si>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</si>
  <si>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</si>
  <si>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</si>
  <si>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</si>
  <si>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</si>
  <si>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</si>
  <si>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</si>
  <si>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</si>
  <si>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</si>
  <si>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</si>
  <si>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</si>
  <si>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</si>
  <si>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</si>
  <si>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</si>
  <si>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</si>
  <si>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</si>
  <si>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</si>
  <si>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</si>
  <si>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</si>
  <si>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</si>
  <si>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</si>
  <si>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</si>
  <si>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</si>
  <si>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</si>
  <si>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</si>
  <si>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</si>
  <si>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</si>
  <si>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</si>
  <si>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</si>
  <si>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</si>
  <si>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</si>
  <si>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</si>
  <si>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</si>
  <si>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</si>
  <si>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</si>
  <si>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</si>
  <si>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</si>
  <si>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</si>
  <si>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</si>
  <si>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</si>
  <si>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</si>
  <si>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</si>
  <si>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</si>
  <si>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</si>
  <si>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</si>
  <si>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</si>
  <si>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</si>
  <si>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</si>
  <si>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</si>
  <si>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</si>
  <si>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</si>
  <si>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</si>
  <si>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</si>
  <si>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</si>
  <si>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</si>
  <si>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</si>
  <si>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</si>
  <si>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</si>
  <si>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</si>
  <si>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</si>
  <si>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</si>
  <si>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</si>
  <si>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</si>
  <si>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</si>
  <si>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</si>
  <si>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</si>
  <si>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</si>
  <si>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</si>
  <si>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</si>
  <si>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</si>
  <si>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</si>
  <si>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</si>
  <si>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</si>
  <si>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</si>
  <si>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</si>
  <si>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</si>
  <si>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</si>
  <si>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</si>
  <si>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</si>
  <si>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</si>
  <si>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</si>
  <si>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</si>
  <si>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</si>
  <si>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</si>
  <si>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</si>
  <si>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</si>
  <si>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</si>
  <si>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</si>
  <si>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</si>
  <si>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</si>
  <si>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</si>
  <si>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</si>
  <si>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</si>
  <si>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</si>
  <si>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</si>
  <si>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</si>
  <si>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</si>
  <si>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</si>
  <si>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</si>
  <si>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</si>
  <si>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</si>
  <si>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</si>
  <si>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</si>
  <si>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</si>
  <si>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</si>
  <si>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</si>
  <si>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</si>
  <si>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</si>
  <si>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</si>
  <si>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</si>
  <si>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</si>
  <si>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</si>
  <si>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</si>
  <si>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</si>
  <si>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</si>
  <si>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</si>
  <si>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</si>
  <si>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</si>
  <si>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</si>
  <si>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</si>
  <si>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</si>
  <si>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</si>
  <si>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</si>
  <si>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</si>
  <si>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</si>
  <si>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</si>
  <si>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</si>
  <si>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</si>
  <si>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</si>
  <si>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</si>
  <si>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</si>
  <si>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</si>
  <si>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</si>
  <si>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</si>
  <si>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</si>
  <si>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</si>
  <si>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</si>
  <si>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</si>
  <si>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</si>
  <si>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</si>
  <si>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</si>
  <si>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</si>
  <si>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</si>
  <si>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</si>
  <si>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</si>
  <si>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</si>
  <si>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</si>
  <si>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</si>
  <si>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</si>
  <si>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</si>
  <si>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</si>
  <si>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</si>
  <si>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</si>
  <si>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</si>
  <si>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</si>
  <si>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</si>
  <si>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</si>
  <si>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</si>
  <si>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</si>
  <si>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</si>
  <si>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</si>
  <si>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</si>
  <si>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</si>
  <si>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</si>
  <si>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</si>
  <si>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</si>
  <si>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</si>
  <si>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</si>
  <si>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</si>
  <si>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</si>
  <si>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</si>
  <si>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</si>
  <si>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</si>
  <si>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</si>
  <si>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</si>
  <si>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</si>
  <si>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</si>
  <si>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</si>
  <si>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</si>
  <si>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</si>
  <si>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</si>
  <si>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</si>
  <si>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</si>
  <si>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</si>
  <si>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</si>
  <si>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</si>
  <si>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</si>
  <si>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</si>
  <si>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</si>
  <si>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</si>
  <si>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</si>
  <si>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</si>
  <si>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</si>
  <si>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</si>
  <si>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</si>
  <si>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</si>
  <si>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</si>
  <si>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</si>
  <si>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</si>
  <si>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</si>
  <si>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</si>
  <si>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</si>
  <si>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</si>
  <si>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</si>
  <si>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</si>
  <si>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</si>
  <si>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</si>
  <si>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</si>
  <si>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</si>
  <si>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</si>
  <si>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</si>
  <si>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</si>
  <si>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</si>
  <si>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</si>
  <si>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</si>
  <si>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</si>
  <si>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</si>
  <si>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</si>
  <si>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</si>
  <si>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</si>
  <si>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</si>
  <si>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</si>
  <si>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</si>
  <si>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</si>
  <si>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</si>
  <si>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</si>
  <si>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</si>
  <si>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</si>
  <si>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</si>
  <si>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</si>
  <si>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</si>
  <si>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</si>
  <si>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</si>
  <si>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</si>
  <si>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</si>
  <si>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</si>
  <si>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</si>
  <si>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</si>
  <si>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</si>
  <si>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</si>
  <si>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</si>
  <si>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</si>
  <si>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</si>
  <si>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</si>
  <si>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</si>
  <si>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</si>
  <si>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</si>
  <si>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</si>
  <si>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</si>
  <si>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</si>
  <si>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</si>
  <si>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</si>
  <si>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</si>
  <si>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</si>
  <si>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</si>
  <si>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</si>
  <si>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</si>
  <si>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</si>
  <si>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</si>
  <si>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</si>
  <si>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</si>
  <si>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</si>
  <si>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</si>
  <si>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</si>
  <si>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</si>
  <si>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</si>
  <si>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</si>
  <si>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</si>
  <si>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</si>
  <si>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</si>
  <si>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</si>
  <si>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</si>
  <si>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</si>
  <si>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</si>
  <si>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</si>
  <si>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</si>
  <si>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</si>
  <si>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</si>
  <si>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</si>
  <si>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</si>
  <si>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</si>
  <si>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</si>
  <si>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</si>
  <si>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</si>
  <si>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</si>
  <si>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</si>
  <si>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</si>
  <si>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</si>
  <si>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</si>
  <si>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</si>
  <si>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</si>
  <si>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</si>
  <si>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</si>
  <si>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</si>
  <si>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</si>
  <si>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</si>
  <si>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</si>
  <si>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</si>
  <si>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</si>
  <si>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</si>
  <si>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</si>
  <si>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</si>
  <si>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</si>
  <si>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</si>
  <si>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</si>
  <si>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</si>
  <si>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</si>
  <si>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</si>
  <si>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</si>
  <si>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</si>
  <si>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</si>
  <si>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</si>
  <si>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</si>
  <si>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</si>
  <si>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</si>
  <si>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</si>
  <si>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</si>
  <si>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</si>
  <si>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</si>
  <si>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</si>
  <si>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</si>
  <si>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</si>
  <si>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</si>
  <si>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</si>
  <si>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</si>
  <si>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</si>
  <si>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</si>
  <si>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</si>
  <si>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</si>
  <si>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</si>
  <si>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</si>
  <si>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</si>
  <si>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</si>
  <si>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</si>
  <si>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</si>
  <si>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</si>
  <si>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</si>
  <si>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</si>
  <si>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</si>
  <si>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</si>
  <si>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</si>
  <si>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</si>
  <si>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</si>
  <si>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</si>
  <si>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</si>
  <si>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</si>
  <si>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</si>
  <si>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</si>
  <si>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</si>
  <si>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</si>
  <si>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</si>
  <si>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</si>
  <si>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</si>
  <si>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</si>
  <si>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</si>
  <si>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</si>
  <si>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</si>
  <si>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</si>
  <si>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</si>
  <si>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</si>
  <si>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</si>
  <si>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</si>
  <si>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</si>
  <si>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</si>
  <si>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</si>
  <si>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</si>
  <si>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</si>
  <si>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</si>
  <si>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</si>
  <si>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</si>
  <si>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</si>
  <si>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</si>
  <si>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</si>
  <si>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</si>
  <si>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</si>
  <si>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</si>
  <si>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</si>
  <si>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</si>
  <si>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</si>
  <si>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</si>
  <si>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</si>
  <si>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</si>
  <si>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</si>
  <si>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</si>
  <si>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</si>
  <si>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</si>
  <si>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</si>
  <si>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</si>
  <si>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</si>
  <si>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</si>
  <si>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</si>
  <si>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</si>
  <si>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</si>
  <si>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</si>
  <si>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</si>
  <si>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</si>
  <si>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</si>
  <si>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</si>
  <si>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</si>
  <si>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</si>
  <si>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</si>
  <si>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</si>
  <si>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</si>
  <si>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</si>
  <si>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</si>
  <si>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</si>
  <si>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</si>
  <si>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</si>
  <si>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</si>
  <si>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</si>
  <si>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</si>
  <si>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</si>
  <si>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</si>
  <si>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</si>
  <si>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</si>
  <si>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</si>
  <si>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</si>
  <si>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</si>
  <si>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</si>
  <si>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</si>
  <si>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</si>
  <si>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</si>
  <si>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</si>
  <si>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</si>
  <si>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</si>
  <si>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</si>
  <si>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</si>
  <si>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</si>
  <si>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</si>
  <si>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</si>
  <si>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</si>
  <si>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</si>
  <si>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</si>
  <si>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</si>
  <si>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</si>
  <si>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</si>
  <si>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</si>
  <si>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</si>
  <si>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</si>
  <si>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</si>
  <si>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</si>
  <si>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</si>
  <si>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</si>
  <si>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</si>
  <si>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</si>
  <si>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</si>
  <si>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</si>
  <si>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</si>
  <si>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</si>
  <si>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</si>
  <si>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</si>
  <si>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</si>
  <si>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</si>
  <si>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</si>
  <si>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</si>
  <si>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</si>
  <si>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</si>
  <si>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</si>
  <si>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</si>
  <si>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</si>
  <si>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</si>
  <si>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</si>
  <si>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</si>
  <si>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</si>
  <si>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</si>
  <si>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</si>
  <si>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</si>
  <si>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</si>
  <si>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</si>
  <si>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</si>
  <si>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</si>
  <si>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</si>
  <si>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</si>
  <si>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</si>
  <si>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</si>
  <si>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</si>
  <si>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</si>
  <si>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</si>
  <si>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</si>
  <si>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</si>
  <si>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</si>
  <si>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</si>
  <si>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</si>
  <si>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</si>
  <si>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</si>
  <si>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</si>
  <si>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</si>
  <si>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</si>
  <si>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</si>
  <si>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</si>
  <si>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</si>
  <si>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</si>
  <si>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</si>
  <si>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</si>
  <si>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</si>
  <si>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</si>
  <si>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</si>
  <si>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</si>
  <si>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</si>
  <si>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</si>
  <si>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</si>
  <si>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</si>
  <si>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</si>
  <si>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</si>
  <si>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</si>
  <si>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</si>
  <si>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</si>
  <si>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</si>
  <si>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</si>
  <si>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</si>
  <si>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</si>
  <si>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</si>
  <si>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</si>
  <si>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</si>
  <si>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</si>
  <si>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</si>
  <si>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</si>
  <si>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</si>
  <si>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</si>
  <si>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</si>
  <si>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</si>
  <si>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</si>
  <si>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</si>
  <si>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</si>
  <si>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</si>
  <si>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</si>
  <si>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</si>
  <si>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</si>
  <si>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</si>
  <si>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</si>
  <si>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</si>
  <si>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</si>
  <si>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</si>
  <si>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</si>
  <si>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</si>
  <si>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</si>
  <si>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</si>
  <si>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</si>
  <si>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</si>
  <si>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</si>
  <si>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</si>
  <si>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</si>
  <si>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</si>
  <si>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</si>
  <si>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</si>
  <si>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</si>
  <si>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</si>
  <si>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</si>
  <si>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</si>
  <si>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</si>
  <si>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</si>
  <si>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</si>
  <si>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</si>
  <si>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</si>
  <si>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</si>
  <si>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</si>
  <si>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</si>
  <si>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</si>
  <si>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</si>
  <si>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</si>
  <si>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</si>
  <si>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</si>
  <si>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</si>
  <si>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</si>
  <si>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</si>
  <si>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</si>
  <si>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</si>
  <si>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</si>
  <si>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</si>
  <si>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</si>
  <si>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</si>
  <si>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</si>
  <si>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</si>
  <si>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</si>
  <si>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</si>
  <si>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</si>
  <si>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</si>
  <si>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</si>
  <si>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</si>
  <si>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</si>
  <si>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</si>
  <si>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</si>
  <si>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</si>
  <si>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</si>
  <si>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</si>
  <si>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</si>
  <si>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</si>
  <si>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总建筑面积</t>
    <phoneticPr fontId="3" type="noConversion"/>
  </si>
  <si>
    <t>总土地面积</t>
    <phoneticPr fontId="3"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</si>
  <si>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</si>
  <si>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</si>
  <si>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</si>
  <si>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</si>
  <si>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</si>
  <si>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</si>
  <si>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宗地容积率</t>
  </si>
  <si>
    <t>情况3</t>
  </si>
  <si>
    <t>自行开发建设</t>
  </si>
  <si>
    <t>出让金+开发费</t>
  </si>
  <si>
    <t>企业提供（在右侧录入）</t>
  </si>
  <si>
    <t>全部缴纳</t>
  </si>
  <si>
    <t>成本法</t>
  </si>
  <si>
    <t>收益法</t>
  </si>
  <si>
    <t>总价</t>
  </si>
  <si>
    <t>成本比率</t>
  </si>
  <si>
    <t>办公</t>
    <phoneticPr fontId="3" type="noConversion"/>
  </si>
  <si>
    <t>商业</t>
    <phoneticPr fontId="3" type="noConversion"/>
  </si>
  <si>
    <t>地下</t>
  </si>
  <si>
    <t>商业</t>
    <phoneticPr fontId="7" type="noConversion"/>
  </si>
  <si>
    <t>朝阳门外大街</t>
  </si>
  <si>
    <t>燃气</t>
  </si>
  <si>
    <t>与级别开发程度一致</t>
  </si>
  <si>
    <t>收益法商</t>
  </si>
  <si>
    <t>收益法商</t>
    <phoneticPr fontId="16" type="noConversion"/>
  </si>
  <si>
    <t>楼层修正</t>
  </si>
  <si>
    <t>成本法商</t>
  </si>
  <si>
    <t>成本法商</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</si>
</sst>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北京市朝阳区朝阳门外大街18号房地产抵押价值预评估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受贵公司委托，我公司对北京市朝阳区朝阳门外大街18号房地产抵押价值进行了预评估。</v>
      </c>
    </row>
    <row r="7" spans="1:2">
      <c r="A7" s="1119" t="s">
        <v>566</v>
      </c>
      <c r="B7" s="1120" t="str">
        <f>'预评函-1'!A7</f>
        <v>估价对象为北京市朝阳区朝阳门外大街18号房地产，为所有。根据《国有土地使用证》[]，估价对象（分摊）出让国有建设用地使用权面积为54.66平方米，建筑面积为2441.15平方米。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门外大街18号房地产,属开发建设的办公项目，该项目尚在开发建设中。根据《国有土地使用证》[]，估价对象（分摊）出让国有建设用地使用权面积为54.66平方米，规划建筑面积为2441.15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2025年3月31日</v>
      </c>
    </row>
    <row r="13" spans="1:2">
      <c r="A13" s="1119" t="s">
        <v>529</v>
      </c>
      <c r="B13" s="1120"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1604</v>
      </c>
    </row>
    <row r="21" spans="1:2">
      <c r="A21" s="1119" t="s">
        <v>537</v>
      </c>
      <c r="B21" s="1120">
        <f ca="1">'预评函-2'!D7</f>
        <v>33631</v>
      </c>
    </row>
    <row r="22" spans="1:2">
      <c r="A22" s="1119" t="s">
        <v>538</v>
      </c>
      <c r="B22" s="1120" t="str">
        <f ca="1">'预评函-2'!D6</f>
        <v>壹仟陆佰零肆万元整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1604</v>
      </c>
    </row>
    <row r="31" spans="1:2">
      <c r="A31" s="1119" t="s">
        <v>576</v>
      </c>
      <c r="B31" s="1120">
        <f ca="1">'预评函-2'!D15</f>
        <v>33631</v>
      </c>
    </row>
    <row r="32" spans="1:2">
      <c r="A32" s="1119" t="s">
        <v>543</v>
      </c>
      <c r="B32" s="1120" t="str">
        <f ca="1">'预评函-2'!D14</f>
        <v>壹仟陆佰零肆万元整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1517</v>
      </c>
    </row>
    <row r="39" spans="1:2">
      <c r="A39" s="1119" t="s">
        <v>545</v>
      </c>
      <c r="B39" s="1120">
        <f ca="1">'预评函-2'!D21</f>
        <v>31807</v>
      </c>
    </row>
    <row r="40" spans="1:2">
      <c r="A40" s="1119" t="s">
        <v>546</v>
      </c>
      <c r="B40" s="1120" t="str">
        <f ca="1">'预评函-2'!D20</f>
        <v>壹仟伍佰壹拾柒万元整</v>
      </c>
    </row>
    <row r="41" spans="1:2">
      <c r="A41" s="1119" t="s">
        <v>592</v>
      </c>
      <c r="B41" s="1120" t="str">
        <f>'预评函-3'!A4</f>
        <v>北京市朝阳区朝阳门外大街18号房地产</v>
      </c>
    </row>
    <row r="42" spans="1:2" ht="31.2">
      <c r="A42" s="1119" t="s">
        <v>590</v>
      </c>
      <c r="B42" s="1120" t="str">
        <f>'预评函-3'!B2</f>
        <v>建筑面积</v>
      </c>
    </row>
    <row r="43" spans="1:2">
      <c r="A43" s="1119" t="s">
        <v>591</v>
      </c>
      <c r="B43" s="1120">
        <f>'预评函-3'!B4</f>
        <v>2441.15</v>
      </c>
    </row>
    <row r="44" spans="1:2" ht="31.2">
      <c r="A44" s="1119" t="s">
        <v>575</v>
      </c>
      <c r="B44" s="1120" t="str">
        <f>'预评函-3'!C2</f>
        <v>(分摊)土地面积</v>
      </c>
    </row>
    <row r="45" spans="1:2">
      <c r="A45" s="1119" t="s">
        <v>547</v>
      </c>
      <c r="B45" s="1120">
        <f>'预评函-3'!C4</f>
        <v>54.66</v>
      </c>
    </row>
    <row r="46" spans="1:2">
      <c r="A46" s="1119" t="s">
        <v>573</v>
      </c>
      <c r="B46" s="1120" t="str">
        <f>'预评函-3'!D2</f>
        <v>出让国有建设用地使用权价值</v>
      </c>
    </row>
    <row r="47" spans="1:2">
      <c r="A47" s="1119" t="s">
        <v>548</v>
      </c>
      <c r="B47" s="1120">
        <f ca="1">'预评函-3'!D4</f>
        <v>1346</v>
      </c>
    </row>
    <row r="48" spans="1:2">
      <c r="A48" s="1119" t="s">
        <v>549</v>
      </c>
      <c r="B48" s="1120">
        <f ca="1">'预评函-3'!E4</f>
        <v>28222</v>
      </c>
    </row>
    <row r="49" spans="1:2">
      <c r="A49" s="1119" t="s">
        <v>550</v>
      </c>
      <c r="B49" s="1120" t="str">
        <f ca="1">'预评函-3'!D5</f>
        <v>壹仟叁佰肆拾陆万元整</v>
      </c>
    </row>
    <row r="50" spans="1:2">
      <c r="A50" s="1119" t="s">
        <v>574</v>
      </c>
      <c r="B50" s="1120" t="str">
        <f>'预评函-3'!F2</f>
        <v>在建建筑物价值</v>
      </c>
    </row>
    <row r="51" spans="1:2">
      <c r="A51" s="1119" t="s">
        <v>551</v>
      </c>
      <c r="B51" s="1120">
        <f ca="1">'预评函-3'!F4</f>
        <v>258</v>
      </c>
    </row>
    <row r="52" spans="1:2">
      <c r="A52" s="1119" t="s">
        <v>552</v>
      </c>
      <c r="B52" s="1120">
        <f ca="1">'预评函-3'!G4</f>
        <v>5409</v>
      </c>
    </row>
    <row r="53" spans="1:2">
      <c r="A53" s="1119" t="s">
        <v>580</v>
      </c>
      <c r="B53" s="1120" t="str">
        <f ca="1">'预评函-3'!F5</f>
        <v>贰佰伍拾捌万元整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3505</v>
      </c>
      <c r="C19" s="1442"/>
    </row>
    <row r="20" spans="1:3">
      <c r="A20" s="1441" t="s">
        <v>1048</v>
      </c>
      <c r="B20" s="1441" t="s">
        <v>3508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7" t="s">
        <v>2576</v>
      </c>
      <c r="J2" s="3207"/>
      <c r="K2" s="3207"/>
      <c r="L2" s="3207"/>
      <c r="M2" s="3207"/>
      <c r="N2" s="3207"/>
      <c r="O2" s="3207"/>
      <c r="P2" s="3207"/>
      <c r="Q2" s="3207"/>
      <c r="R2" s="3207"/>
    </row>
    <row r="3" spans="1:18">
      <c r="A3" s="2760" t="s">
        <v>2497</v>
      </c>
      <c r="B3" s="2761">
        <f>项目基本情况!D3</f>
        <v>45747</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1.72</v>
      </c>
      <c r="D5" s="2765">
        <f>IF(ISERROR(ROUND(POWER(1+E5,A5-C5)*(POWER(1+E5,C5)-1)/(POWER(1+E5,A5)-1),3)),0,ROUND(POWER(1+E5,A5-C5)*(POWER(1+E5,C5)-1)/(POWER(1+E5,A5)-1),4))</f>
        <v>8.2400000000000001E-2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11.72</v>
      </c>
      <c r="D6" s="2765">
        <f>IF(ISERROR(ROUND(POWER(1+E6,A6-C6)*(POWER(1+E6,C6)-1)/(POWER(1+E6,A6)-1),3)),0,ROUND(POWER(1+E6,A6-C6)*(POWER(1+E6,C6)-1)/(POWER(1+E6,A6)-1),4))</f>
        <v>0.4289</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31.74</v>
      </c>
      <c r="D7" s="2765">
        <f>IF(ISERROR(ROUND(POWER(1+E7,A7-C7)*(POWER(1+E7,C7)-1)/(POWER(1+E7,A7)-1),3)),0,ROUND(POWER(1+E7,A7-C7)*(POWER(1+E7,C7)-1)/(POWER(1+E7,A7)-1),4))</f>
        <v>0.76090000000000002</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31" sqref="L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北京市朝阳区朝阳门外大街18号房地产抵押价值预评估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北京市朝阳区朝阳门外大街18号房地产</v>
      </c>
      <c r="T2" s="1618"/>
      <c r="U2" s="1618"/>
      <c r="V2" s="1618"/>
      <c r="W2" s="1618"/>
      <c r="X2" s="1618"/>
      <c r="Y2" s="1618"/>
      <c r="Z2" s="1618"/>
      <c r="AA2" s="1618"/>
      <c r="AB2" s="1618"/>
    </row>
    <row r="3" spans="1:30">
      <c r="A3" s="294" t="s">
        <v>2170</v>
      </c>
      <c r="B3" s="2185"/>
      <c r="C3" s="2186" t="s">
        <v>2171</v>
      </c>
      <c r="D3" s="2185">
        <v>45747</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3401</v>
      </c>
      <c r="C8" s="2201"/>
      <c r="D8" s="3218" t="s">
        <v>2177</v>
      </c>
      <c r="E8" s="2202" t="s">
        <v>3402</v>
      </c>
      <c r="F8" s="2203"/>
      <c r="G8" s="2440"/>
      <c r="H8" s="2440"/>
      <c r="I8" s="2440"/>
      <c r="J8" s="2244"/>
      <c r="K8" s="2398"/>
      <c r="L8" s="2397"/>
      <c r="M8" s="2397"/>
      <c r="N8" s="2244"/>
      <c r="O8" s="1670"/>
      <c r="P8" s="2244"/>
      <c r="Q8" s="2244"/>
      <c r="R8" s="2244"/>
    </row>
    <row r="9" spans="1:30" ht="13.8" thickBot="1">
      <c r="A9" s="2204" t="s">
        <v>2178</v>
      </c>
      <c r="B9" s="2205" t="s">
        <v>3402</v>
      </c>
      <c r="C9" s="2206"/>
      <c r="D9" s="3219"/>
      <c r="E9" s="2205" t="s">
        <v>587</v>
      </c>
      <c r="F9" s="2207"/>
      <c r="G9" s="2441"/>
      <c r="H9" s="2441"/>
      <c r="I9" s="2441"/>
      <c r="J9" s="2244"/>
      <c r="K9" s="2400"/>
      <c r="L9" s="2397"/>
      <c r="M9" s="2397"/>
      <c r="N9" s="2244"/>
      <c r="O9" s="1670"/>
      <c r="P9" s="2244"/>
      <c r="Q9" s="2244"/>
      <c r="R9" s="2244"/>
    </row>
    <row r="10" spans="1:30" ht="13.8" thickTop="1">
      <c r="A10" s="2208" t="s">
        <v>2179</v>
      </c>
      <c r="B10" s="2209" t="s">
        <v>3403</v>
      </c>
      <c r="C10" s="2210"/>
      <c r="D10" s="2193"/>
      <c r="E10" s="2211" t="s">
        <v>2180</v>
      </c>
      <c r="F10" s="3162" t="s">
        <v>3478</v>
      </c>
      <c r="G10" s="2442"/>
      <c r="H10" s="2443"/>
      <c r="I10" s="2444"/>
      <c r="J10" s="2244"/>
      <c r="K10" s="2400"/>
      <c r="L10" s="2397"/>
      <c r="M10" s="2397"/>
      <c r="N10" s="2244"/>
      <c r="O10" s="1670"/>
      <c r="P10" s="2244"/>
      <c r="Q10" s="2244"/>
      <c r="R10" s="2244"/>
    </row>
    <row r="11" spans="1:30">
      <c r="A11" s="2212" t="s">
        <v>2181</v>
      </c>
      <c r="B11" s="2213" t="s">
        <v>3473</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v>48977</v>
      </c>
      <c r="E13" s="803">
        <v>52629</v>
      </c>
      <c r="F13" s="803"/>
      <c r="G13" s="803"/>
      <c r="H13" s="803"/>
      <c r="I13" s="803"/>
      <c r="J13" s="2800"/>
      <c r="K13" s="2397"/>
      <c r="L13" s="2397"/>
      <c r="M13" s="2244"/>
      <c r="N13" s="1670"/>
      <c r="O13" s="2244"/>
      <c r="P13" s="2244"/>
      <c r="Q13" s="2244"/>
      <c r="AD13" s="1618"/>
    </row>
    <row r="14" spans="1:30">
      <c r="A14" s="1018"/>
      <c r="B14" s="2217" t="s">
        <v>2191</v>
      </c>
      <c r="C14" s="2218"/>
      <c r="D14" s="2218">
        <v>40</v>
      </c>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f>IF(A13="出让",IF(D13="","",ROUNDDOWN(MIN((D13-$D$3)/365,D14),2)),D14)</f>
        <v>8.84</v>
      </c>
      <c r="E15" s="2220">
        <f>IF(A13="出让",IF(E13="","",ROUNDDOWN(MIN((E13-$D$3)/365,E14),2)),E14)</f>
        <v>18.850000000000001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25"/>
      <c r="C16" s="3226"/>
      <c r="D16" s="3227"/>
      <c r="E16" s="2221" t="s">
        <v>2194</v>
      </c>
      <c r="F16" s="3228"/>
      <c r="G16" s="3229"/>
      <c r="H16" s="3229"/>
      <c r="I16" s="3230"/>
      <c r="J16" s="2244"/>
      <c r="K16" s="2401"/>
      <c r="L16" s="1670"/>
      <c r="M16" s="1670"/>
      <c r="N16" s="2244"/>
      <c r="O16" s="1670"/>
      <c r="P16" s="2244"/>
      <c r="Q16" s="2244"/>
      <c r="R16" s="2244"/>
    </row>
    <row r="17" spans="1:28">
      <c r="A17" s="305" t="s">
        <v>2195</v>
      </c>
      <c r="B17" s="294" t="s">
        <v>2196</v>
      </c>
      <c r="C17" s="8">
        <f>'数据-汇总表'!E3</f>
        <v>2441.15</v>
      </c>
      <c r="D17" s="1256" t="s">
        <v>2197</v>
      </c>
      <c r="E17" s="3231" t="s">
        <v>2198</v>
      </c>
      <c r="F17" s="3232"/>
      <c r="G17" s="3232"/>
      <c r="H17" s="3232"/>
      <c r="I17" s="3233"/>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54.66</v>
      </c>
      <c r="D18" s="1029" t="s">
        <v>2201</v>
      </c>
      <c r="E18" s="3234" t="s">
        <v>2202</v>
      </c>
      <c r="F18" s="3235"/>
      <c r="G18" s="3235"/>
      <c r="H18" s="3235"/>
      <c r="I18" s="3236"/>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3404</v>
      </c>
      <c r="D19" s="1456" t="s">
        <v>2204</v>
      </c>
      <c r="E19" s="1457" t="s">
        <v>3405</v>
      </c>
      <c r="F19" s="1458" t="str">
        <f>IF(AND(C19="是",E19="否"),"是否提供他项权证或相关说明","")</f>
        <v>是否提供他项权证或相关说明</v>
      </c>
      <c r="G19" s="1459" t="s">
        <v>3405</v>
      </c>
      <c r="H19" s="2440"/>
      <c r="I19" s="2440"/>
      <c r="J19" s="2244"/>
      <c r="K19" s="2400"/>
      <c r="L19" s="2397"/>
      <c r="M19" s="2397"/>
      <c r="N19" s="2244"/>
      <c r="O19" s="1670"/>
      <c r="P19" s="2244"/>
      <c r="Q19" s="2244"/>
      <c r="R19" s="2244"/>
      <c r="S19" s="2244"/>
      <c r="T19" s="2244"/>
      <c r="U19" s="2244"/>
      <c r="V19" s="2244"/>
    </row>
    <row r="20" spans="1:28">
      <c r="A20" s="2415" t="s">
        <v>2205</v>
      </c>
      <c r="B20" s="3221" t="s">
        <v>2206</v>
      </c>
      <c r="C20" s="3222"/>
      <c r="D20" s="3223" t="s">
        <v>2207</v>
      </c>
      <c r="E20" s="3224"/>
      <c r="F20" s="2428" t="s">
        <v>1056</v>
      </c>
      <c r="G20" s="2440"/>
      <c r="H20" s="2440"/>
      <c r="I20" s="2440"/>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09" t="s">
        <v>2214</v>
      </c>
      <c r="B27" s="312" t="s">
        <v>2215</v>
      </c>
      <c r="C27" s="2224" t="s">
        <v>3406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09"/>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09"/>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10"/>
      <c r="B30" s="294" t="s">
        <v>2218</v>
      </c>
      <c r="C30" s="3211"/>
      <c r="D30" s="3212"/>
      <c r="E30" s="2440"/>
      <c r="F30" s="2440"/>
      <c r="G30" s="2440"/>
      <c r="H30" s="2440"/>
      <c r="I30" s="2440"/>
      <c r="J30" s="2244"/>
      <c r="K30" s="2400"/>
      <c r="L30" s="2397"/>
      <c r="M30" s="2397"/>
      <c r="N30" s="2244"/>
      <c r="O30" s="1670"/>
      <c r="P30" s="2244"/>
      <c r="Q30" s="2244"/>
      <c r="R30" s="2244"/>
      <c r="S30" s="2244"/>
      <c r="T30" s="2244"/>
      <c r="U30" s="2244"/>
      <c r="V30" s="2244"/>
    </row>
    <row r="31" spans="1:28">
      <c r="A31" s="3213" t="s">
        <v>2219</v>
      </c>
      <c r="B31" s="2230" t="s">
        <v>3407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4"/>
      <c r="V34" s="2244"/>
    </row>
    <row r="35" spans="1:30">
      <c r="A35" s="2235"/>
      <c r="B35" s="3208" t="s">
        <v>2229</v>
      </c>
      <c r="C35" s="3208"/>
      <c r="D35" s="3208"/>
      <c r="E35" s="3208"/>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t="s">
        <v>144</v>
      </c>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t="s">
        <v>145</v>
      </c>
      <c r="C38" s="2237" t="s">
        <v>145</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6" sqref="I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ROUND(I13/B13*B14,2)</f>
        <v>54.66</v>
      </c>
      <c r="B3" s="11">
        <f>IF(C3="否",G5-AT5,G5)</f>
        <v>2441.15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2441.15</v>
      </c>
      <c r="H5" s="13">
        <f t="shared" ref="H5:AT5" si="0">SUM(H13:H656)</f>
        <v>2441.15</v>
      </c>
      <c r="I5" s="13">
        <f t="shared" si="0"/>
        <v>476.94000000000005</v>
      </c>
      <c r="J5" s="13">
        <f t="shared" si="0"/>
        <v>0</v>
      </c>
      <c r="K5" s="13">
        <f t="shared" si="0"/>
        <v>1964.21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2441.15</v>
      </c>
      <c r="BA5" s="15">
        <f t="shared" si="1"/>
        <v>2441.15</v>
      </c>
      <c r="BB5" s="15">
        <f t="shared" si="1"/>
        <v>476.94000000000005</v>
      </c>
      <c r="BC5" s="15">
        <f t="shared" si="1"/>
        <v>1964.21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54.66</v>
      </c>
      <c r="F6" s="13" t="s">
        <v>0</v>
      </c>
      <c r="G6" s="13" t="s">
        <v>1</v>
      </c>
      <c r="H6" s="17">
        <f>SUMIF(I$12:AB$12,"总值",I6:AB6)</f>
        <v>54.66</v>
      </c>
      <c r="I6" s="13">
        <f t="shared" ref="I6:AB6" si="2">ROUND($A$3*I5/$B$3,2)</f>
        <v>10.68</v>
      </c>
      <c r="J6" s="13">
        <f t="shared" si="2"/>
        <v>0</v>
      </c>
      <c r="K6" s="13">
        <f t="shared" si="2"/>
        <v>43.98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54.66</v>
      </c>
      <c r="AZ6" s="13" t="s">
        <v>2</v>
      </c>
      <c r="BA6" s="13">
        <f>ROUND($AY$6*BA5/$AZ$5,2)</f>
        <v>54.66</v>
      </c>
      <c r="BB6" s="13">
        <f>ROUND($AY$6*BB5/$AZ$5,2)</f>
        <v>10.68</v>
      </c>
      <c r="BC6" s="13">
        <f t="shared" ref="BC6:BH6" si="4">ROUND($AY$6*BC5/$AZ$5,2)</f>
        <v>43.98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t="s">
        <v>3499</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3479</v>
      </c>
      <c r="B13" s="31">
        <v>93222.79</v>
      </c>
      <c r="C13" s="3164" t="s">
        <v>3497</v>
      </c>
      <c r="D13" s="1513" t="s">
        <v>3404</v>
      </c>
      <c r="E13" s="13">
        <f>IF($C$3="是",ROUND($A$3*G13/$B$3,2),ROUND($A$3*(G13-AT13)/$B$3,2))</f>
        <v>10.68</v>
      </c>
      <c r="F13" s="29"/>
      <c r="G13" s="30">
        <f>H13+AC13+AT13</f>
        <v>476.94000000000005</v>
      </c>
      <c r="H13" s="17">
        <f>SUMIF(I$12:AB$12,"总值",I13:AB13)</f>
        <v>476.94000000000005</v>
      </c>
      <c r="I13" s="1514">
        <f>236.83+240.11</f>
        <v>476.94000000000005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办公</v>
      </c>
      <c r="AY13" s="1260">
        <f>ROUND($AY$6*AZ13/$AZ$5,2)</f>
        <v>10.68</v>
      </c>
      <c r="AZ13" s="13">
        <f>BA13+BL13</f>
        <v>476.94000000000005</v>
      </c>
      <c r="BA13" s="13">
        <f>SUM(BB13:BK13)</f>
        <v>476.94000000000005</v>
      </c>
      <c r="BB13" s="13">
        <f>IF($D13="是",I13-J13,0)</f>
        <v>476.94000000000005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3480</v>
      </c>
      <c r="B14" s="31">
        <v>10682.89</v>
      </c>
      <c r="C14" s="3165" t="s">
        <v>3498</v>
      </c>
      <c r="D14" s="1513" t="s">
        <v>3404</v>
      </c>
      <c r="E14" s="13">
        <f>IF($C$3="是",ROUND($A$3*G14/$B$3,2),ROUND($A$3*(G14-AT14)/$B$3,2))</f>
        <v>43.98</v>
      </c>
      <c r="F14" s="29"/>
      <c r="G14" s="30">
        <f>H14+AC14+AT14</f>
        <v>1964.21</v>
      </c>
      <c r="H14" s="17">
        <f>SUMIF(I$12:AB$12,"总值",I14:AB14)</f>
        <v>1964.21</v>
      </c>
      <c r="I14" s="1514"/>
      <c r="J14" s="1514"/>
      <c r="K14" s="1514">
        <f>1964.21</f>
        <v>1964.21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t="str">
        <f t="shared" si="6"/>
        <v>商业</v>
      </c>
      <c r="AY14" s="1260">
        <f>ROUND($AY$6*AZ14/$AZ$5,2)</f>
        <v>43.98</v>
      </c>
      <c r="AZ14" s="13">
        <f>BA14+BL14</f>
        <v>1964.21</v>
      </c>
      <c r="BA14" s="13">
        <f>SUM(BB14:BK14)</f>
        <v>1964.21</v>
      </c>
      <c r="BB14" s="13">
        <f>IF($D14="是",I14-J14,0)</f>
        <v>0</v>
      </c>
      <c r="BC14" s="13">
        <f>IF($D14="是",K14-L14,0)</f>
        <v>1964.21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9" sqref="K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7"/>
      <c r="G2" s="2430"/>
      <c r="H2" s="2431"/>
      <c r="I2" s="2146" t="s">
        <v>1132</v>
      </c>
      <c r="J2" s="2437"/>
      <c r="K2" s="2437"/>
      <c r="L2" s="2437"/>
      <c r="M2" s="2437"/>
      <c r="N2" s="2438"/>
      <c r="O2" s="2437"/>
      <c r="P2" s="2437"/>
    </row>
    <row r="3" spans="1:16" ht="15" thickBot="1">
      <c r="A3" s="3247" t="s">
        <v>1105</v>
      </c>
      <c r="B3" s="3247"/>
      <c r="C3" s="3247"/>
      <c r="D3" s="41">
        <f>'数据-基础表'!AY6</f>
        <v>54.66</v>
      </c>
      <c r="E3" s="41">
        <f>'数据-基础表'!AZ5</f>
        <v>2441.15</v>
      </c>
      <c r="F3" s="2437"/>
      <c r="G3" s="42"/>
      <c r="H3" s="43" t="s">
        <v>1106</v>
      </c>
      <c r="I3" s="802">
        <f>ROUND('数据-基础表'!B3/'数据-基础表'!A3,2)</f>
        <v>44.66</v>
      </c>
      <c r="J3" s="2437"/>
      <c r="K3" s="2437"/>
      <c r="L3" s="2437"/>
      <c r="M3" s="2437"/>
      <c r="N3" s="2438"/>
      <c r="O3" s="2437"/>
      <c r="P3" s="2437"/>
    </row>
    <row r="4" spans="1:16" ht="14.4">
      <c r="A4" s="3248"/>
      <c r="B4" s="3249"/>
      <c r="C4" s="3250"/>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51" t="s">
        <v>1110</v>
      </c>
      <c r="C5" s="3251"/>
      <c r="D5" s="43">
        <f>ROUND($D$3*E5/$E$3,2)</f>
        <v>0</v>
      </c>
      <c r="E5" s="44">
        <f>SUMIF('数据-基础表'!$11:$11,"住宅",'数据-基础表'!$5:$5)</f>
        <v>0</v>
      </c>
      <c r="F5" s="2437"/>
      <c r="G5" s="42"/>
      <c r="H5" s="43" t="s">
        <v>1106</v>
      </c>
      <c r="I5" s="802">
        <f>ROUND(E31/D31,2)</f>
        <v>44.66</v>
      </c>
      <c r="J5" s="2437"/>
      <c r="K5" s="2437"/>
      <c r="L5" s="2437"/>
      <c r="M5" s="2437"/>
      <c r="N5" s="2437"/>
      <c r="O5" s="2437"/>
      <c r="P5" s="2437"/>
    </row>
    <row r="6" spans="1:16" ht="15" thickBot="1">
      <c r="A6" s="1527"/>
      <c r="B6" s="3251" t="s">
        <v>1111</v>
      </c>
      <c r="C6" s="3251"/>
      <c r="D6" s="43">
        <f>ROUND($D$3*E6/$E$3,2)</f>
        <v>54.66</v>
      </c>
      <c r="E6" s="44">
        <f>E3-E5</f>
        <v>2441.15</v>
      </c>
      <c r="F6" s="2437"/>
      <c r="G6" s="1529" t="s">
        <v>1112</v>
      </c>
      <c r="H6" s="45" t="s">
        <v>1113</v>
      </c>
      <c r="I6" s="2433">
        <f>ROUND(F31/D31,2)</f>
        <v>8.73</v>
      </c>
      <c r="J6" s="2437"/>
      <c r="K6" s="2437"/>
      <c r="L6" s="2437"/>
      <c r="M6" s="2437"/>
      <c r="N6" s="2437"/>
      <c r="O6" s="2437"/>
      <c r="P6" s="2437"/>
    </row>
    <row r="7" spans="1:16" ht="15" thickBot="1">
      <c r="A7" s="3243"/>
      <c r="B7" s="3244"/>
      <c r="C7" s="3245"/>
      <c r="D7" s="1524" t="s">
        <v>1107</v>
      </c>
      <c r="E7" s="1528" t="s">
        <v>1114</v>
      </c>
      <c r="F7" s="2437"/>
      <c r="G7" s="2434" t="s">
        <v>1115</v>
      </c>
      <c r="H7" s="95"/>
      <c r="I7" s="2435">
        <v>2.65</v>
      </c>
      <c r="J7" s="2437"/>
      <c r="K7" s="2437"/>
      <c r="L7" s="2437"/>
      <c r="M7" s="2437"/>
      <c r="N7" s="2437"/>
      <c r="O7" s="2437"/>
      <c r="P7" s="2437"/>
    </row>
    <row r="8" spans="1:16" ht="14.4">
      <c r="A8" s="42" t="s">
        <v>1116</v>
      </c>
      <c r="B8" s="45" t="s">
        <v>1117</v>
      </c>
      <c r="C8" s="43" t="s">
        <v>1118</v>
      </c>
      <c r="D8" s="43">
        <f t="shared" ref="D8:D15" si="0">ROUND($D$3*E8/$E$3,2)</f>
        <v>10.68</v>
      </c>
      <c r="E8" s="46">
        <f>SUMIF('数据-基础表'!BB10:BK10,"地上",'数据-基础表'!BB5:BK5)</f>
        <v>476.94000000000005</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43.98</v>
      </c>
      <c r="E10" s="46">
        <f>SUMPRODUCT(('数据-基础表'!BB10:BK10="地下")*('数据-基础表'!BB11:BK11="商业")*('数据-基础表'!BB5:BK5))</f>
        <v>1964.21</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54.66</v>
      </c>
      <c r="E16" s="48">
        <f>SUM(E8:E15)</f>
        <v>2441.15</v>
      </c>
      <c r="F16" s="2437"/>
      <c r="G16" s="2437"/>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3409</v>
      </c>
      <c r="D19" s="43">
        <f>ROUND($D$3*E19/$E$3,2)</f>
        <v>10.68</v>
      </c>
      <c r="E19" s="51">
        <f t="shared" ref="E19:E26" si="1">SUM(F19:G19)</f>
        <v>476.94000000000005</v>
      </c>
      <c r="F19" s="2555">
        <f>'数据-基础表'!H13</f>
        <v>476.94000000000005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10.68</v>
      </c>
      <c r="S19" s="51">
        <f t="shared" si="5"/>
        <v>476.94000000000005</v>
      </c>
    </row>
    <row r="20" spans="1:19" ht="14.4">
      <c r="A20" s="1549"/>
      <c r="B20" s="45" t="s">
        <v>1153</v>
      </c>
      <c r="C20" s="3113" t="s">
        <v>3500</v>
      </c>
      <c r="D20" s="43">
        <f t="shared" ref="D20:D26" si="6">ROUND($D$3*E20/$E$3,2)</f>
        <v>43.98</v>
      </c>
      <c r="E20" s="51">
        <f t="shared" si="1"/>
        <v>1964.21</v>
      </c>
      <c r="F20" s="2555"/>
      <c r="G20" s="1243">
        <f>'数据-基础表'!K14</f>
        <v>1964.21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43.98</v>
      </c>
      <c r="S20" s="51">
        <f t="shared" si="5"/>
        <v>1964.21</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54.66</v>
      </c>
      <c r="E27" s="1073">
        <f>IF(SUM(E19:E26)='数据-基础表'!BA5,SUM(E19:E26),IF(F27="地上面积有误","面积有误","地下面积有误"))</f>
        <v>2441.15</v>
      </c>
      <c r="F27" s="1072">
        <f>IF(SUM(F19:F26)=E8,SUM(F19:F26),"地上面积有误")</f>
        <v>476.94000000000005</v>
      </c>
      <c r="G27" s="1074">
        <f>SUM(G19:G26)</f>
        <v>1964.21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54.66</v>
      </c>
      <c r="S27" s="43">
        <f>IF(SUM(S19:S26)=$E$3,SUM(S19:S26),SUM(S19:S26)&amp;"误差"&amp;ROUND(SUM(S19:S26)-E3,2))</f>
        <v>2441.15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54.66</v>
      </c>
      <c r="E31" s="643">
        <f>E27+E30</f>
        <v>2441.15</v>
      </c>
      <c r="F31" s="644">
        <f>F27+F30</f>
        <v>476.94000000000005</v>
      </c>
      <c r="G31" s="645">
        <f>G27+G30</f>
        <v>1964.21</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J17" sqref="AJ1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18.850000000000001</v>
      </c>
      <c r="G6" s="62">
        <f>IF(ISERROR(ROUND(POWER(1+H6,D6-F6)*(POWER(1+H6,F6)-1)/(POWER(1+H6,D6)-1),3)),0,ROUND(POWER(1+H6,D6-F6)*(POWER(1+H6,F6)-1)/(POWER(1+H6,D6)-1),3))</f>
        <v>0.65900000000000003</v>
      </c>
      <c r="H6" s="691">
        <v>0.05</v>
      </c>
      <c r="I6" s="691">
        <v>5.5E-2</v>
      </c>
      <c r="J6" s="63">
        <v>7.0000000000000007E-2</v>
      </c>
      <c r="K6" s="970">
        <f>SUMIF('数据-汇总表'!C$19:C$33,A6,'数据-汇总表'!E$19:E$33)</f>
        <v>476.94000000000005</v>
      </c>
      <c r="L6" s="692">
        <v>5600</v>
      </c>
      <c r="M6" s="64">
        <f t="shared" ref="M6:M14" si="0">ROUND(K6*L6/10000,0)</f>
        <v>267</v>
      </c>
      <c r="N6" s="690">
        <f>N21</f>
        <v>0.69</v>
      </c>
      <c r="O6" s="64" t="str">
        <f>IF($N$5="成新度","——",ROUND(M6*N6,0))</f>
        <v>——</v>
      </c>
      <c r="P6" s="65" t="str">
        <f>IF($N$5="成新度","——",M6-O6)</f>
        <v>——</v>
      </c>
      <c r="Q6" s="693">
        <v>0.2</v>
      </c>
      <c r="R6" s="66">
        <f ca="1">SUMIF('数据-汇总表'!C$19:C$33,A6,'数据-汇总表'!R$19:R$27)</f>
        <v>10.68</v>
      </c>
      <c r="S6" s="49">
        <f>IF('数据-汇总表'!$I$17="按面积比例",SUMIF('数据-汇总表'!C$19:C$33,A6,'数据-汇总表'!K$19:K$33),SUMIF('数据-汇总表'!C$19:C$33,A6,'数据-汇总表'!N$19:N$33))</f>
        <v>0</v>
      </c>
      <c r="T6" s="1092">
        <f>ROUND($L$14*S6/10000,0)</f>
        <v>0</v>
      </c>
      <c r="U6" s="3124">
        <v>6.3</v>
      </c>
      <c r="V6" s="67">
        <v>0.02</v>
      </c>
      <c r="W6" s="67">
        <v>0.1</v>
      </c>
      <c r="X6" s="979"/>
      <c r="Y6" s="68">
        <f>N6</f>
        <v>0.69</v>
      </c>
      <c r="Z6" s="69"/>
      <c r="AA6" s="63"/>
      <c r="AB6" s="63"/>
      <c r="AC6" s="979"/>
      <c r="AD6" s="70"/>
      <c r="AE6" s="980">
        <f ca="1">IF(AN6="",0,SUMIF(INDIRECT("'"&amp;AN6&amp;"'"&amp;"!E:E"),$AE$5,INDIRECT("'"&amp;AN6&amp;"'"&amp;"!F:F")))</f>
        <v>18.850000000000001</v>
      </c>
      <c r="AF6" s="74"/>
      <c r="AG6" s="130">
        <f>IF(AF6="",0,AE6-AF6)</f>
        <v>0</v>
      </c>
      <c r="AH6" s="71"/>
      <c r="AI6" s="73">
        <v>365</v>
      </c>
      <c r="AJ6" s="74"/>
      <c r="AK6" s="75">
        <v>0.01</v>
      </c>
      <c r="AL6" s="76">
        <v>1E-3</v>
      </c>
      <c r="AM6" s="77">
        <v>5.0000000000000001E-3</v>
      </c>
      <c r="AN6" s="1589" t="s">
        <v>3494</v>
      </c>
      <c r="AO6" s="50">
        <f ca="1">SUMIF(INDIRECT("'"&amp;AN6&amp;"'"&amp;"!A:A"),"总价",INDIRECT("'"&amp;AN6&amp;"'"&amp;"!B:B"))</f>
        <v>1082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48977</v>
      </c>
      <c r="F7" s="61">
        <f>SUMIF(项目基本情况!C$12:I$12,C7,项目基本情况!C$15:I$15)</f>
        <v>8.84</v>
      </c>
      <c r="G7" s="62">
        <f t="shared" ref="G7:G11" si="2">IF(ISERROR(ROUND(POWER(1+H7,D7-F7)*(POWER(1+H7,F7)-1)/(POWER(1+H7,D7)-1),3)),0,ROUND(POWER(1+H7,D7-F7)*(POWER(1+H7,F7)-1)/(POWER(1+H7,D7)-1),3))</f>
        <v>0.40799999999999997</v>
      </c>
      <c r="H7" s="691">
        <v>0.05</v>
      </c>
      <c r="I7" s="691">
        <v>5.5E-2</v>
      </c>
      <c r="J7" s="63">
        <v>7.0000000000000007E-2</v>
      </c>
      <c r="K7" s="970">
        <f>SUMIF('数据-汇总表'!C$19:C$33,A7,'数据-汇总表'!E$19:E$33)</f>
        <v>1964.21</v>
      </c>
      <c r="L7" s="692">
        <v>5600</v>
      </c>
      <c r="M7" s="64">
        <f t="shared" si="0"/>
        <v>1100</v>
      </c>
      <c r="N7" s="690">
        <f>N6</f>
        <v>0.69</v>
      </c>
      <c r="O7" s="64" t="str">
        <f t="shared" ref="O7:O14" si="3">IF($N$5="成新度","——",ROUND(M7*N7,0))</f>
        <v>——</v>
      </c>
      <c r="P7" s="65" t="str">
        <f t="shared" ref="P7:P14" si="4">IF($N$5="成新度","——",M7-O7)</f>
        <v>——</v>
      </c>
      <c r="Q7" s="693">
        <v>0.15</v>
      </c>
      <c r="R7" s="66">
        <f ca="1">SUMIF('数据-汇总表'!C$19:C$33,A7,'数据-汇总表'!R$19:R$27)</f>
        <v>43.98</v>
      </c>
      <c r="S7" s="49">
        <f>IF('数据-汇总表'!$I$17="按面积比例",SUMIF('数据-汇总表'!C$19:C$33,A7,'数据-汇总表'!K$19:K$33),SUMIF('数据-汇总表'!C$19:C$33,A7,'数据-汇总表'!N$19:N$33))</f>
        <v>0</v>
      </c>
      <c r="T7" s="1092">
        <f t="shared" ref="T7:T13" si="5">ROUND($L$14*S7/10000,0)</f>
        <v>0</v>
      </c>
      <c r="U7" s="3124">
        <v>5</v>
      </c>
      <c r="V7" s="67">
        <v>0.02</v>
      </c>
      <c r="W7" s="67">
        <v>0.1</v>
      </c>
      <c r="X7" s="979"/>
      <c r="Y7" s="68">
        <f>Y6</f>
        <v>0.69</v>
      </c>
      <c r="Z7" s="69"/>
      <c r="AA7" s="63"/>
      <c r="AB7" s="63"/>
      <c r="AC7" s="979"/>
      <c r="AD7" s="70"/>
      <c r="AE7" s="980">
        <f t="shared" ref="AE7:AE13" ca="1" si="6">IF(AN7="",0,SUMIF(INDIRECT("'"&amp;AN7&amp;"'"&amp;"!E:E"),$AE$5,INDIRECT("'"&amp;AN7&amp;"'"&amp;"!F:F")))</f>
        <v>8.84</v>
      </c>
      <c r="AF7" s="74"/>
      <c r="AG7" s="130">
        <f t="shared" ref="AG7:AG13" si="7">IF(AF7="",0,AE7-AF7)</f>
        <v>0</v>
      </c>
      <c r="AH7" s="71"/>
      <c r="AI7" s="73">
        <v>365</v>
      </c>
      <c r="AJ7" s="74"/>
      <c r="AK7" s="75">
        <v>0.01</v>
      </c>
      <c r="AL7" s="76">
        <v>1E-3</v>
      </c>
      <c r="AM7" s="77">
        <v>5.0000000000000001E-3</v>
      </c>
      <c r="AN7" s="1589" t="s">
        <v>3504</v>
      </c>
      <c r="AO7" s="50">
        <f t="shared" ref="AO7:AO13" ca="1" si="8">SUMIF(INDIRECT("'"&amp;AN7&amp;"'"&amp;"!A:A"),"总价",INDIRECT("'"&amp;AN7&amp;"'"&amp;"!B:B"))</f>
        <v>2205</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0.45700000000000002</v>
      </c>
      <c r="H16" s="84">
        <f>ROUND(SUMPRODUCT(H6:H13,K6:K13)/SUMPRODUCT((H6:H13&gt;0)*(K6:K13)),3)</f>
        <v>0.05</v>
      </c>
      <c r="I16" s="85"/>
      <c r="J16" s="85"/>
      <c r="K16" s="86">
        <f>SUM(K6:K15)</f>
        <v>2441.15</v>
      </c>
      <c r="L16" s="87">
        <f>ROUND(M16*10000/SUM(K6:K14),0)</f>
        <v>5600</v>
      </c>
      <c r="M16" s="87">
        <f>SUM(M6:M14)</f>
        <v>1367</v>
      </c>
      <c r="N16" s="88">
        <f>ROUND(SUMPRODUCT(M6:M14,N6:N14)/M16,3)</f>
        <v>0.69</v>
      </c>
      <c r="O16" s="87">
        <f>SUM(O6:O14)</f>
        <v>0</v>
      </c>
      <c r="P16" s="87">
        <f>SUM(P6:P14)</f>
        <v>0</v>
      </c>
      <c r="Q16" s="89">
        <f>ROUND(SUMPRODUCT(Q6:Q13,K6:K13)/SUMPRODUCT((Q6:Q13&gt;0)*(K6:K13)),2)</f>
        <v>0.16</v>
      </c>
      <c r="R16" s="974">
        <f ca="1">SUM(R6:R13)</f>
        <v>54.66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3411</v>
      </c>
      <c r="N18" s="2446">
        <v>1996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3412</v>
      </c>
      <c r="N19" s="2446">
        <f>ROUND(1-(1-0)*(2025-N18)/60,2)</f>
        <v>0.52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9" t="s">
        <v>2296</v>
      </c>
      <c r="D20" s="2449"/>
      <c r="E20" s="2437"/>
      <c r="F20" s="2437"/>
      <c r="G20" s="2437"/>
      <c r="H20" s="2437"/>
      <c r="I20" s="2437"/>
      <c r="J20" s="2437"/>
      <c r="K20" s="2447"/>
      <c r="L20" s="2447"/>
      <c r="M20" s="3152" t="s">
        <v>3413</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52" t="s">
        <v>3414</v>
      </c>
      <c r="N21" s="2446">
        <f>ROUND((N20+N19)/2,2)</f>
        <v>0.69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49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2.5000000000000001E-2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2" t="s">
        <v>2282</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3481</v>
      </c>
      <c r="D5" s="2265"/>
      <c r="E5" s="2269"/>
      <c r="F5" s="315" t="s">
        <v>2258</v>
      </c>
      <c r="G5" s="2270" t="s">
        <v>2259</v>
      </c>
      <c r="H5" s="751"/>
      <c r="I5" s="751"/>
      <c r="J5" s="751"/>
      <c r="K5" s="751"/>
      <c r="L5" s="751"/>
      <c r="M5" s="751"/>
      <c r="N5" s="751"/>
      <c r="O5" s="751"/>
      <c r="P5" s="751"/>
      <c r="Q5" s="751"/>
    </row>
    <row r="6" spans="1:29" ht="53.4" thickBot="1">
      <c r="A6" s="2247"/>
      <c r="B6" s="315" t="s">
        <v>2260</v>
      </c>
      <c r="C6" s="2264" t="s">
        <v>3482</v>
      </c>
      <c r="D6" s="2265"/>
      <c r="E6" s="2269"/>
      <c r="F6" s="315" t="s">
        <v>2261</v>
      </c>
      <c r="G6" s="2270" t="s">
        <v>2262</v>
      </c>
      <c r="H6" s="751"/>
      <c r="I6" s="751"/>
      <c r="J6" s="751"/>
      <c r="K6" s="751"/>
      <c r="L6" s="751"/>
      <c r="M6" s="751"/>
      <c r="N6" s="751"/>
      <c r="O6" s="751"/>
      <c r="P6" s="751"/>
      <c r="Q6" s="751"/>
    </row>
    <row r="7" spans="1:29" ht="53.4" thickBot="1">
      <c r="A7" s="2247"/>
      <c r="B7" s="315" t="s">
        <v>2258</v>
      </c>
      <c r="C7" s="2264" t="s">
        <v>3483</v>
      </c>
      <c r="D7" s="2244"/>
      <c r="E7" s="2271"/>
      <c r="F7" s="2272" t="s">
        <v>2263</v>
      </c>
      <c r="G7" s="2273" t="s">
        <v>2264</v>
      </c>
      <c r="H7" s="751"/>
      <c r="I7" s="751"/>
      <c r="J7" s="751"/>
      <c r="K7" s="751"/>
      <c r="L7" s="751"/>
      <c r="M7" s="751"/>
      <c r="N7" s="751"/>
      <c r="O7" s="751"/>
      <c r="P7" s="751"/>
      <c r="Q7" s="751"/>
    </row>
    <row r="8" spans="1:29" ht="27" thickBot="1">
      <c r="A8" s="2247"/>
      <c r="B8" s="315" t="s">
        <v>2261</v>
      </c>
      <c r="C8" s="2264" t="s">
        <v>3484</v>
      </c>
      <c r="D8" s="2244"/>
      <c r="E8" s="2244"/>
      <c r="F8" s="121"/>
      <c r="G8" s="121"/>
      <c r="H8" s="751"/>
      <c r="I8" s="751"/>
      <c r="J8" s="751"/>
      <c r="K8" s="751"/>
      <c r="L8" s="751"/>
      <c r="M8" s="751"/>
      <c r="N8" s="751"/>
      <c r="O8" s="751"/>
      <c r="P8" s="751"/>
      <c r="Q8" s="751"/>
    </row>
    <row r="9" spans="1:29" ht="53.4" thickBot="1">
      <c r="A9" s="2247"/>
      <c r="B9" s="315" t="s">
        <v>2265</v>
      </c>
      <c r="C9" s="2264" t="s">
        <v>3485</v>
      </c>
      <c r="D9" s="2265"/>
      <c r="E9" s="2244"/>
      <c r="F9" s="121"/>
      <c r="G9" s="121"/>
      <c r="H9" s="751"/>
      <c r="I9" s="751"/>
      <c r="J9" s="751"/>
      <c r="K9" s="751"/>
      <c r="L9" s="751"/>
      <c r="M9" s="751"/>
      <c r="N9" s="751"/>
      <c r="O9" s="751"/>
      <c r="P9" s="751"/>
      <c r="Q9" s="751"/>
    </row>
    <row r="10" spans="1:29" ht="27" thickBot="1">
      <c r="A10" s="2248"/>
      <c r="B10" s="2274" t="s">
        <v>2266</v>
      </c>
      <c r="C10" s="2264" t="s">
        <v>3486</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2441.15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45747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5130</v>
      </c>
      <c r="C5" s="2298">
        <f ca="1">IF(B5=D14,结果表!H102,ROUND(B5*10000/$B$1,0))</f>
        <v>21015</v>
      </c>
      <c r="D5" s="2298" t="e">
        <f ca="1">ROUND(B5*10000/$B$2,0)</f>
        <v>#DIV/0!</v>
      </c>
      <c r="E5" s="2459"/>
      <c r="F5" s="2460"/>
      <c r="G5" s="2460"/>
      <c r="H5" s="2460"/>
      <c r="I5" s="2460"/>
      <c r="J5" s="2460"/>
      <c r="K5" s="2460"/>
    </row>
    <row r="6" spans="1:11" ht="15.6">
      <c r="A6" s="2298" t="s">
        <v>656</v>
      </c>
      <c r="B6" s="2298">
        <f ca="1">SUM(G14:G23)</f>
        <v>5130</v>
      </c>
      <c r="C6" s="2298">
        <f ca="1">IF(B6=G14,结果表!H108,ROUND(B6*10000/$B$1,0))</f>
        <v>21015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4853</v>
      </c>
      <c r="C8" s="2298">
        <f ca="1">IF(B8=I14,结果表!H112,ROUND(B8*10000/$B$1,0))</f>
        <v>19880</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476.94000000000005</v>
      </c>
      <c r="C14" s="2304"/>
      <c r="D14" s="2304">
        <f ca="1">ROUND(结果表!H118,0)</f>
        <v>1604</v>
      </c>
      <c r="E14" s="2304">
        <f ca="1">结果表!I118</f>
        <v>33631</v>
      </c>
      <c r="F14" s="2304" t="e">
        <f ca="1">ROUND(D14*10000/C14,0)</f>
        <v>#DIV/0!</v>
      </c>
      <c r="G14" s="2304">
        <f ca="1">D14</f>
        <v>1604</v>
      </c>
      <c r="H14" s="2304"/>
      <c r="I14" s="2304">
        <f ca="1">结果表!N59</f>
        <v>1517</v>
      </c>
      <c r="J14" s="2460"/>
      <c r="K14" s="2460"/>
    </row>
    <row r="15" spans="1:11" ht="15.6">
      <c r="A15" s="2303" t="s">
        <v>649</v>
      </c>
      <c r="B15" s="2305">
        <f>'结果表 (2)'!B118</f>
        <v>1964.21</v>
      </c>
      <c r="C15" s="2305"/>
      <c r="D15" s="2305">
        <f ca="1">'结果表 (2)'!H118</f>
        <v>3526</v>
      </c>
      <c r="E15" s="2304">
        <f t="shared" ref="E15:E23" ca="1" si="0">ROUND(D15*10000/B15,0)</f>
        <v>17951</v>
      </c>
      <c r="F15" s="2304" t="e">
        <f t="shared" ref="F15:F23" ca="1" si="1">ROUND(D15*10000/C15,0)</f>
        <v>#DIV/0!</v>
      </c>
      <c r="G15" s="1244">
        <f ca="1">D15</f>
        <v>3526</v>
      </c>
      <c r="H15" s="1244"/>
      <c r="I15" s="2305">
        <f ca="1">'结果表 (2)'!N59</f>
        <v>3336</v>
      </c>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5" zoomScaleNormal="100" zoomScaleSheetLayoutView="100" zoomScalePageLayoutView="80" workbookViewId="0">
      <selection activeCell="K21" sqref="K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3407</v>
      </c>
      <c r="H1" s="1621" t="str">
        <f>IF(G1="现房","——","估价对象范围")</f>
        <v>——</v>
      </c>
      <c r="I1" s="1622"/>
    </row>
    <row r="2" spans="1:12" ht="21.75" customHeight="1" thickBot="1">
      <c r="A2" s="3288" t="str">
        <f>项目基本情况!S2</f>
        <v>北京市朝阳区朝阳门外大街18号房地产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3493</v>
      </c>
      <c r="D4" s="1626" t="s">
        <v>3494</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v>7</v>
      </c>
      <c r="D14" s="3291">
        <v>3</v>
      </c>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8" t="s">
        <v>2131</v>
      </c>
      <c r="F18" s="3279"/>
      <c r="G18" s="3279"/>
      <c r="H18" s="3279"/>
      <c r="I18" s="3279"/>
      <c r="K18" s="294" t="s">
        <v>1289</v>
      </c>
      <c r="L18" s="294">
        <f>IF(C1="",'数据-汇总表'!E3,SUMIF(项目类型,C1,'数据-汇总表'!E17:E26)+SUMIF(项目类型,C1,'数据-汇总表'!I17:I26))</f>
        <v>476.94000000000005</v>
      </c>
      <c r="M18" s="294">
        <f>IF(C1="",'数据-汇总表'!E3,SUMIF(项目类型,C1,'数据-汇总表'!E17:E26))</f>
        <v>476.94000000000005</v>
      </c>
    </row>
    <row r="19" spans="1:36" ht="14.4">
      <c r="A19" s="1630" t="s">
        <v>1290</v>
      </c>
      <c r="B19" s="1631" t="s">
        <v>1291</v>
      </c>
      <c r="C19" s="126">
        <f ca="1">SUMIF(INDIRECT("'"&amp;C4&amp;"'"&amp;"!A:A"),结果表!B19,INDIRECT("'"&amp;C4&amp;"'"&amp;"!B:B"))</f>
        <v>1827</v>
      </c>
      <c r="D19" s="127">
        <f ca="1">SUMIF(INDIRECT("'"&amp;D4&amp;"'"&amp;"!A:A"),结果表!B19,INDIRECT("'"&amp;D4&amp;"'"&amp;"!B:B"))</f>
        <v>1082</v>
      </c>
      <c r="E19" s="1630" t="s">
        <v>1292</v>
      </c>
      <c r="F19" s="1631" t="s">
        <v>1291</v>
      </c>
      <c r="G19" s="128">
        <f ca="1">ROUND(C19*$C$18+D19*$D$18,0)</f>
        <v>1604</v>
      </c>
      <c r="H19" s="1632" t="s">
        <v>1293</v>
      </c>
      <c r="I19" s="121"/>
      <c r="K19" s="294" t="s">
        <v>1294</v>
      </c>
      <c r="L19" s="294">
        <f>IF(C1="",'数据-汇总表'!D3,SUMIF(项目类型,C1,'数据-汇总表'!D17:D26)+SUMIF(项目类型,C1,'数据-汇总表'!H17:H27))</f>
        <v>10.68</v>
      </c>
      <c r="M19" s="294">
        <f>IF(C1="",'数据-汇总表'!D3,SUMIF(项目类型,C1,'数据-汇总表'!D17:D26))</f>
        <v>10.68</v>
      </c>
    </row>
    <row r="20" spans="1:36" ht="14.4">
      <c r="A20" s="1633"/>
      <c r="B20" s="43" t="s">
        <v>1295</v>
      </c>
      <c r="C20" s="129">
        <f ca="1">SUMIF(INDIRECT("'"&amp;C4&amp;"'"&amp;"!A:A"),结果表!B20,INDIRECT("'"&amp;C4&amp;"'"&amp;"!B:B"))</f>
        <v>38307</v>
      </c>
      <c r="D20" s="130">
        <f ca="1">SUMIF(INDIRECT("'"&amp;D4&amp;"'"&amp;"!A:A"),结果表!B20,INDIRECT("'"&amp;D4&amp;"'"&amp;"!B:B"))</f>
        <v>22686</v>
      </c>
      <c r="E20" s="1633"/>
      <c r="F20" s="43" t="s">
        <v>1295</v>
      </c>
      <c r="G20" s="131">
        <f ca="1">ROUND(C20*$C$18+D20*$D$18,0)</f>
        <v>33621</v>
      </c>
      <c r="H20" s="760" t="s">
        <v>1296</v>
      </c>
      <c r="I20" s="121"/>
    </row>
    <row r="21" spans="1:36" ht="15" customHeight="1" thickBot="1">
      <c r="A21" s="449"/>
      <c r="B21" s="93" t="s">
        <v>1297</v>
      </c>
      <c r="C21" s="678">
        <f ca="1">ROUND(C19*10000/L19,0)</f>
        <v>1710674</v>
      </c>
      <c r="D21" s="679">
        <f ca="1">ROUND(D19*10000/L19,0)</f>
        <v>1013109</v>
      </c>
      <c r="E21" s="449"/>
      <c r="F21" s="93" t="s">
        <v>1297</v>
      </c>
      <c r="G21" s="132">
        <f ca="1">ROUND(G19*10000/L19,0)</f>
        <v>1501873</v>
      </c>
      <c r="H21" s="1634" t="s">
        <v>1296</v>
      </c>
      <c r="I21" s="121"/>
    </row>
    <row r="22" spans="1:36" ht="15" thickBot="1">
      <c r="A22" s="1564" t="s">
        <v>1298</v>
      </c>
      <c r="B22" s="1635"/>
      <c r="C22" s="1636"/>
      <c r="D22" s="680">
        <f ca="1">IF(C19&lt;D19,D19/C19-1,C19/D19-1)</f>
        <v>0.68853974121996298</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316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1604</v>
      </c>
      <c r="D32" s="1641" t="s">
        <v>3495</v>
      </c>
      <c r="E32" s="121"/>
      <c r="F32" s="121"/>
      <c r="G32" s="121"/>
      <c r="H32" s="121"/>
      <c r="I32" s="121"/>
    </row>
    <row r="33" spans="1:15" ht="14.4">
      <c r="A33" s="740" t="s">
        <v>1306</v>
      </c>
      <c r="B33" s="123"/>
      <c r="C33" s="1642" t="s">
        <v>3496</v>
      </c>
      <c r="D33" s="1643" t="s">
        <v>3493</v>
      </c>
      <c r="E33" s="1644" t="s">
        <v>1307</v>
      </c>
      <c r="F33" s="1645" t="str">
        <f>IF(D32="楼面单价","取值（单价）","取值（总价）")</f>
        <v>取值（总价）</v>
      </c>
      <c r="G33" s="121"/>
      <c r="H33" s="121"/>
      <c r="I33" s="121"/>
    </row>
    <row r="34" spans="1:15" ht="14.4">
      <c r="A34" s="1646"/>
      <c r="B34" s="1647" t="s">
        <v>1308</v>
      </c>
      <c r="C34" s="140">
        <f ca="1">IF(C33="自定义",F34,C32-C35)</f>
        <v>1346</v>
      </c>
      <c r="D34" s="808">
        <f ca="1">IF(C33="自定义",ROUND(C34/C32,3),IF(C33="收益比率",SUMIF(INDIRECT("'"&amp;D33&amp;"'"&amp;"!b:b"),"土地收益比率",INDIRECT("'"&amp;D33&amp;"'"&amp;"!c:c")),SUMIF(INDIRECT("'"&amp;D33&amp;"'"&amp;"!b:b"),"土地成本比率",INDIRECT("'"&amp;D33&amp;"'"&amp;"!c:c"))))</f>
        <v>0.83899999999999997</v>
      </c>
      <c r="E34" s="1648" t="s">
        <v>1309</v>
      </c>
      <c r="F34" s="1243"/>
      <c r="G34" s="121"/>
      <c r="H34" s="121"/>
      <c r="I34" s="121"/>
    </row>
    <row r="35" spans="1:15" ht="15" thickBot="1">
      <c r="A35" s="1649"/>
      <c r="B35" s="1650" t="s">
        <v>1310</v>
      </c>
      <c r="C35" s="1090">
        <f ca="1">IF(C33="自定义",F35,ROUND(C32*D35,0))</f>
        <v>258</v>
      </c>
      <c r="D35" s="1091">
        <f ca="1">IF(C33="自定义",ROUND(C35/C32,3),IF(C33="收益比率",SUMIF(INDIRECT("'"&amp;D33&amp;"'"&amp;"!b:b"),"建筑物收益比率",INDIRECT("'"&amp;D33&amp;"'"&amp;"!c:c")),SUMIF(INDIRECT("'"&amp;D33&amp;"'"&amp;"!b:b"),"建筑物成本比率",INDIRECT("'"&amp;D33&amp;"'"&amp;"!c:c"))))</f>
        <v>0.161</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1604</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08">
        <v>1</v>
      </c>
      <c r="K46" s="3318" t="s">
        <v>1331</v>
      </c>
      <c r="L46" s="3318"/>
      <c r="M46" s="3338"/>
      <c r="N46" s="3338"/>
      <c r="O46" s="3338"/>
    </row>
    <row r="47" spans="1:15" ht="12" customHeight="1">
      <c r="A47" s="152" t="s">
        <v>1332</v>
      </c>
      <c r="B47" s="153"/>
      <c r="C47" s="154"/>
      <c r="D47" s="1024" t="s">
        <v>1333</v>
      </c>
      <c r="E47" s="294" t="s">
        <v>1334</v>
      </c>
      <c r="F47" s="155" t="s">
        <v>1335</v>
      </c>
      <c r="G47" s="2331" t="s">
        <v>1336</v>
      </c>
      <c r="H47" s="2332"/>
      <c r="I47" s="151"/>
      <c r="J47" s="2308">
        <v>2</v>
      </c>
      <c r="K47" s="3318" t="s">
        <v>1337</v>
      </c>
      <c r="L47" s="3318"/>
      <c r="M47" s="3339">
        <f>'数据-取费表'!B2</f>
        <v>45747</v>
      </c>
      <c r="N47" s="3339"/>
      <c r="O47" s="3339"/>
    </row>
    <row r="48" spans="1:15" ht="26.4">
      <c r="A48" s="3287" t="s">
        <v>1338</v>
      </c>
      <c r="B48" s="3270"/>
      <c r="C48" s="3270"/>
      <c r="D48" s="12">
        <f ca="1">IF(H48="情况1",0,IF(H48="情况2",D52,IF(H48="情况3",D53,IF(H48="情况4",D54))))</f>
        <v>86</v>
      </c>
      <c r="E48" s="1256" t="str">
        <f>IF(H48="情况4","(销售额-原购置价)×税（费）率","销售额×税（费）率")</f>
        <v>销售额×税（费）率</v>
      </c>
      <c r="F48" s="2333">
        <f>IF(H48="情况1","免征",'数据-取费表'!B41)</f>
        <v>5.6000000000000001E-2</v>
      </c>
      <c r="G48" s="2334" t="s">
        <v>1339</v>
      </c>
      <c r="H48" s="2335" t="s">
        <v>3488</v>
      </c>
      <c r="I48" s="1668"/>
      <c r="J48" s="2308">
        <v>3</v>
      </c>
      <c r="K48" s="3318" t="s">
        <v>1340</v>
      </c>
      <c r="L48" s="3318"/>
      <c r="M48" s="3340">
        <f ca="1">ROUND(H101,0)</f>
        <v>1604</v>
      </c>
      <c r="N48" s="3340"/>
      <c r="O48" s="3340"/>
    </row>
    <row r="49" spans="1:35" ht="25.5" customHeight="1">
      <c r="A49" s="2152" t="s">
        <v>1341</v>
      </c>
      <c r="B49" s="3254" t="s">
        <v>1342</v>
      </c>
      <c r="C49" s="3254"/>
      <c r="D49" s="1478">
        <v>0</v>
      </c>
      <c r="E49" s="316" t="s">
        <v>1343</v>
      </c>
      <c r="F49" s="2232" t="s">
        <v>28</v>
      </c>
      <c r="G49" s="3324"/>
      <c r="H49" s="2134" t="s">
        <v>2134</v>
      </c>
      <c r="I49" s="2135"/>
      <c r="J49" s="2308">
        <v>4</v>
      </c>
      <c r="K49" s="3318" t="str">
        <f>IF(项目基本情况!E8="房地产抵押价值","房地产抵押价值","抵押担保权已注销时的房地产抵押价值")</f>
        <v>房地产抵押价值</v>
      </c>
      <c r="L49" s="3318"/>
      <c r="M49" s="3340">
        <f ca="1">ROUND(IF(项目基本情况!E8="房地产抵押价值",H107,H109),0)</f>
        <v>1604</v>
      </c>
      <c r="N49" s="3340"/>
      <c r="O49" s="3340"/>
    </row>
    <row r="50" spans="1:35" ht="25.5" customHeight="1">
      <c r="A50" s="2336"/>
      <c r="B50" s="3254" t="s">
        <v>1344</v>
      </c>
      <c r="C50" s="3254"/>
      <c r="D50" s="2189"/>
      <c r="E50" s="323"/>
      <c r="F50" s="2232"/>
      <c r="G50" s="3325"/>
      <c r="H50" s="2136" t="s">
        <v>2135</v>
      </c>
      <c r="I50" s="2135"/>
      <c r="J50" s="3337" t="s">
        <v>1345</v>
      </c>
      <c r="K50" s="3337"/>
      <c r="L50" s="3337"/>
      <c r="M50" s="3337"/>
      <c r="N50" s="3337"/>
      <c r="O50" s="3337"/>
    </row>
    <row r="51" spans="1:35" ht="20.399999999999999" customHeight="1">
      <c r="A51" s="2337"/>
      <c r="B51" s="3254" t="s">
        <v>1346</v>
      </c>
      <c r="C51" s="3254"/>
      <c r="D51" s="1024"/>
      <c r="E51" s="319"/>
      <c r="F51" s="2232"/>
      <c r="G51" s="3326"/>
      <c r="H51" s="2136" t="s">
        <v>2136</v>
      </c>
      <c r="I51" s="2135"/>
      <c r="J51" s="2309" t="s">
        <v>1347</v>
      </c>
      <c r="K51" s="3318" t="s">
        <v>1348</v>
      </c>
      <c r="L51" s="3318"/>
      <c r="M51" s="2309" t="s">
        <v>1349</v>
      </c>
      <c r="N51" s="2309" t="s">
        <v>1350</v>
      </c>
      <c r="O51" s="2309" t="s">
        <v>1351</v>
      </c>
    </row>
    <row r="52" spans="1:35" ht="24" customHeight="1">
      <c r="A52" s="2153" t="s">
        <v>1352</v>
      </c>
      <c r="B52" s="3254" t="s">
        <v>1353</v>
      </c>
      <c r="C52" s="3254"/>
      <c r="D52" s="1024">
        <f ca="1">ROUND(D45*'数据-取费表'!B41/(1+'数据-取费表'!C42),0)</f>
        <v>86</v>
      </c>
      <c r="E52" s="1256" t="s">
        <v>1354</v>
      </c>
      <c r="F52" s="2338">
        <f>'数据-取费表'!B41</f>
        <v>5.6000000000000001E-2</v>
      </c>
      <c r="G52" s="2339"/>
      <c r="H52" s="2329"/>
      <c r="I52" s="1669"/>
      <c r="J52" s="2308">
        <v>1</v>
      </c>
      <c r="K52" s="3319" t="s">
        <v>1355</v>
      </c>
      <c r="L52" s="3319"/>
      <c r="M52" s="2310">
        <f ca="1">D48</f>
        <v>86</v>
      </c>
      <c r="N52" s="2308" t="str">
        <f>E48</f>
        <v>销售额×税（费）率</v>
      </c>
      <c r="O52" s="2311">
        <f>F48</f>
        <v>5.6000000000000001E-2</v>
      </c>
    </row>
    <row r="53" spans="1:35" ht="12" customHeight="1">
      <c r="A53" s="2153" t="s">
        <v>1356</v>
      </c>
      <c r="B53" s="3280" t="s">
        <v>2287</v>
      </c>
      <c r="C53" s="3281"/>
      <c r="D53" s="1024">
        <f ca="1">ROUND(D45*'数据-取费表'!B41/(1+'数据-取费表'!C42),0)</f>
        <v>86</v>
      </c>
      <c r="E53" s="1256" t="s">
        <v>1354</v>
      </c>
      <c r="F53" s="2338">
        <f>'数据-取费表'!B41</f>
        <v>5.6000000000000001E-2</v>
      </c>
      <c r="G53" s="2339"/>
      <c r="H53" s="2329"/>
      <c r="I53" s="1669"/>
      <c r="J53" s="2308">
        <v>2</v>
      </c>
      <c r="K53" s="3319" t="s">
        <v>1357</v>
      </c>
      <c r="L53" s="3319"/>
      <c r="M53" s="2310">
        <f t="shared" ref="M53:O54" ca="1" si="0">D55</f>
        <v>1</v>
      </c>
      <c r="N53" s="2308" t="str">
        <f t="shared" si="0"/>
        <v>销售额×税（费）率</v>
      </c>
      <c r="O53" s="2311">
        <f t="shared" si="0"/>
        <v>5.0000000000000001E-4</v>
      </c>
    </row>
    <row r="54" spans="1:35" ht="12" customHeight="1">
      <c r="A54" s="2153" t="s">
        <v>1358</v>
      </c>
      <c r="B54" s="3280" t="s">
        <v>2288</v>
      </c>
      <c r="C54" s="3281"/>
      <c r="D54" s="1024">
        <f ca="1">C68</f>
        <v>86</v>
      </c>
      <c r="E54" s="319" t="s">
        <v>1359</v>
      </c>
      <c r="F54" s="2338">
        <f>'数据-取费表'!B41</f>
        <v>5.6000000000000001E-2</v>
      </c>
      <c r="G54" s="2339"/>
      <c r="H54" s="2340"/>
      <c r="I54" s="1669"/>
      <c r="J54" s="2308">
        <v>3</v>
      </c>
      <c r="K54" s="3319" t="s">
        <v>1360</v>
      </c>
      <c r="L54" s="3319"/>
      <c r="M54" s="2310">
        <f t="shared" ca="1" si="0"/>
        <v>0</v>
      </c>
      <c r="N54" s="2308" t="str">
        <f t="shared" si="0"/>
        <v>增值额×税（费）率</v>
      </c>
      <c r="O54" s="2312" t="str">
        <f t="shared" si="0"/>
        <v>——</v>
      </c>
    </row>
    <row r="55" spans="1:35" ht="24" customHeight="1">
      <c r="A55" s="3269" t="s">
        <v>1361</v>
      </c>
      <c r="B55" s="3270"/>
      <c r="C55" s="3270"/>
      <c r="D55" s="12">
        <f ca="1">IF(H55="个人住宅",0,ROUND(D45*I55,0))</f>
        <v>1</v>
      </c>
      <c r="E55" s="1256" t="s">
        <v>1362</v>
      </c>
      <c r="F55" s="2338">
        <f>IF(H55="正常",I55,"免征")</f>
        <v>5.0000000000000001E-4</v>
      </c>
      <c r="G55" s="2339"/>
      <c r="H55" s="2335" t="s">
        <v>3425</v>
      </c>
      <c r="I55" s="157">
        <f>'数据-取费表'!B49</f>
        <v>5.0000000000000001E-4</v>
      </c>
      <c r="J55" s="2308" t="str">
        <f>IF(H59="非个人房产","",4)</f>
        <v/>
      </c>
      <c r="K55" s="3319" t="str">
        <f>IF(H59="非个人房产","——","个人所得税")</f>
        <v>——</v>
      </c>
      <c r="L55" s="3319"/>
      <c r="M55" s="2313" t="str">
        <f>D59</f>
        <v>——</v>
      </c>
      <c r="N55" s="1883" t="str">
        <f>E59</f>
        <v>——</v>
      </c>
      <c r="O55" s="2314" t="str">
        <f>F59</f>
        <v>——</v>
      </c>
    </row>
    <row r="56" spans="1:35" ht="25.2">
      <c r="A56" s="3269" t="s">
        <v>1363</v>
      </c>
      <c r="B56" s="3270"/>
      <c r="C56" s="3270"/>
      <c r="D56" s="12">
        <f ca="1">IF(H56="个人住宅",D57,D58)</f>
        <v>0</v>
      </c>
      <c r="E56" s="1256" t="s">
        <v>1364</v>
      </c>
      <c r="F56" s="2338" t="str">
        <f>IF(H56="正常",F58,"免征")</f>
        <v>——</v>
      </c>
      <c r="G56" s="2341" t="s">
        <v>1365</v>
      </c>
      <c r="H56" s="2342" t="s">
        <v>3425</v>
      </c>
      <c r="I56" s="1670"/>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39"/>
      <c r="H57" s="2343"/>
      <c r="I57" s="1670"/>
      <c r="J57" s="3319">
        <f>IF(AND(J55="",J56=""),4,IF(项目基本情况!K6="上海银行",结果表!J56+1,结果表!J55+1))</f>
        <v>4</v>
      </c>
      <c r="K57" s="3319" t="s">
        <v>1367</v>
      </c>
      <c r="L57" s="2315" t="s">
        <v>1368</v>
      </c>
      <c r="M57" s="2316"/>
      <c r="N57" s="2317">
        <f ca="1">SUMIF(M52:M56,"&lt;9e307")</f>
        <v>87</v>
      </c>
      <c r="O57" s="2318"/>
      <c r="P57" s="2462">
        <f ca="1">N57/M49</f>
        <v>5.4239401496259353E-2</v>
      </c>
    </row>
    <row r="58" spans="1:35" ht="25.2">
      <c r="A58" s="2153" t="s">
        <v>1352</v>
      </c>
      <c r="B58" s="3280" t="s">
        <v>1369</v>
      </c>
      <c r="C58" s="3254"/>
      <c r="D58" s="12">
        <f ca="1">IF(H58="转让取得",C81,C97)</f>
        <v>0</v>
      </c>
      <c r="E58" s="1256" t="s">
        <v>1364</v>
      </c>
      <c r="F58" s="294" t="s">
        <v>28</v>
      </c>
      <c r="G58" s="2339"/>
      <c r="H58" s="2342" t="s">
        <v>3489</v>
      </c>
      <c r="I58" s="1670"/>
      <c r="J58" s="3319"/>
      <c r="K58" s="3319"/>
      <c r="L58" s="2315" t="s">
        <v>1370</v>
      </c>
      <c r="M58" s="2319"/>
      <c r="N58" s="2320" t="str">
        <f ca="1">NUMBERSTRING(INT(N57*10000),2)&amp;"元整"</f>
        <v>捌拾柒万元整</v>
      </c>
      <c r="O58" s="2321"/>
    </row>
    <row r="59" spans="1:35" ht="24.6" thickBot="1">
      <c r="A59" s="3322" t="s">
        <v>1371</v>
      </c>
      <c r="B59" s="3323"/>
      <c r="C59" s="3323"/>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3476</v>
      </c>
      <c r="I59" s="2137" t="s">
        <v>2137</v>
      </c>
      <c r="J59" s="3320">
        <f>J57+1</f>
        <v>5</v>
      </c>
      <c r="K59" s="3319" t="s">
        <v>1372</v>
      </c>
      <c r="L59" s="2308" t="s">
        <v>1368</v>
      </c>
      <c r="M59" s="2322"/>
      <c r="N59" s="2323">
        <f ca="1">M49-N57</f>
        <v>1517</v>
      </c>
      <c r="O59" s="2324"/>
      <c r="P59" s="684">
        <v>9095</v>
      </c>
    </row>
    <row r="60" spans="1:35" ht="12" customHeight="1">
      <c r="A60" s="1671"/>
      <c r="B60" s="646"/>
      <c r="C60" s="646"/>
      <c r="D60" s="646"/>
      <c r="E60" s="1466"/>
      <c r="F60" s="1670"/>
      <c r="G60" s="1670"/>
      <c r="H60" s="151"/>
      <c r="I60" s="121"/>
      <c r="J60" s="3321"/>
      <c r="K60" s="3319"/>
      <c r="L60" s="2315" t="s">
        <v>1370</v>
      </c>
      <c r="M60" s="2319"/>
      <c r="N60" s="2320" t="str">
        <f ca="1">NUMBERSTRING(INT(N59*10000),2)&amp;"元整"</f>
        <v>壹仟伍佰壹拾柒万元整</v>
      </c>
      <c r="O60" s="2321"/>
    </row>
    <row r="61" spans="1:35" ht="13.8" thickBot="1">
      <c r="A61" s="3267" t="s">
        <v>1373</v>
      </c>
      <c r="B61" s="3267"/>
      <c r="C61" s="3267"/>
      <c r="D61" s="3267"/>
      <c r="E61" s="3267"/>
      <c r="F61" s="1670"/>
      <c r="G61" s="1670"/>
      <c r="H61" s="151"/>
      <c r="I61" s="121"/>
      <c r="J61" s="2308">
        <f>J59+1</f>
        <v>6</v>
      </c>
      <c r="K61" s="3319" t="s">
        <v>1374</v>
      </c>
      <c r="L61" s="3319"/>
      <c r="M61" s="2325"/>
      <c r="N61" s="2326">
        <f ca="1">ROUND(N59*10000/L18,0)</f>
        <v>31807</v>
      </c>
      <c r="O61" s="2327"/>
    </row>
    <row r="62" spans="1:35" ht="13.2">
      <c r="A62" s="3285" t="s">
        <v>1375</v>
      </c>
      <c r="B62" s="3286"/>
      <c r="C62" s="1865"/>
      <c r="D62" s="1865" t="s">
        <v>1376</v>
      </c>
      <c r="E62" s="158" t="s">
        <v>1377</v>
      </c>
      <c r="F62" s="1670"/>
      <c r="G62" s="1670"/>
      <c r="H62" s="151"/>
      <c r="I62" s="121"/>
    </row>
    <row r="63" spans="1:35" ht="13.2">
      <c r="A63" s="165" t="s">
        <v>330</v>
      </c>
      <c r="B63" s="159" t="s">
        <v>1378</v>
      </c>
      <c r="C63" s="2348">
        <f ca="1">ROUND((C64+C65)/(1+'数据-取费表'!C42),0)</f>
        <v>1528</v>
      </c>
      <c r="D63" s="159"/>
      <c r="E63" s="160"/>
      <c r="F63" s="1670"/>
      <c r="G63" s="1670"/>
      <c r="H63" s="151"/>
      <c r="I63" s="121"/>
      <c r="J63" s="3344" t="s">
        <v>1379</v>
      </c>
      <c r="K63" s="1245" t="s">
        <v>1380</v>
      </c>
      <c r="L63" s="1245">
        <f ca="1">IF(M49&gt;10000,M49*0.5%,IF(AND(M49&gt;1000,M49&lt;=10000),M49*1%,IF(AND(M49&gt;100,M49&lt;=1000),M49*3%,IF(AND(M49&gt;10,M49&lt;=100),M49*5%,M49*8%))))</f>
        <v>16.04</v>
      </c>
      <c r="M63" s="294">
        <f ca="1">ROUND(L63,1)</f>
        <v>16</v>
      </c>
      <c r="N63" s="2328"/>
      <c r="Z63" s="1623"/>
      <c r="AI63" s="1561"/>
    </row>
    <row r="64" spans="1:35" ht="14.25" customHeight="1">
      <c r="A64" s="161" t="s">
        <v>325</v>
      </c>
      <c r="B64" s="162" t="s">
        <v>1381</v>
      </c>
      <c r="C64" s="2349">
        <f ca="1">D45</f>
        <v>1604</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9.6240000000000006</v>
      </c>
      <c r="M64" s="294">
        <f t="shared" ref="M64:M65" ca="1" si="1">ROUND(L64,1)</f>
        <v>9.6</v>
      </c>
      <c r="N64" s="2329" t="s">
        <v>1383</v>
      </c>
      <c r="Z64" s="1623"/>
      <c r="AI64" s="1561"/>
    </row>
    <row r="65" spans="1:35" ht="14.25" customHeight="1">
      <c r="A65" s="161" t="s">
        <v>326</v>
      </c>
      <c r="B65" s="162" t="s">
        <v>1384</v>
      </c>
      <c r="C65" s="2350"/>
      <c r="D65" s="162"/>
      <c r="E65" s="164"/>
      <c r="F65" s="1670"/>
      <c r="G65" s="1670"/>
      <c r="H65" s="151"/>
      <c r="I65" s="121"/>
      <c r="J65" s="3344"/>
      <c r="K65" s="1245" t="s">
        <v>1385</v>
      </c>
      <c r="L65" s="1245">
        <f ca="1">IF(M49&gt;1000,M49*0.1%,IF(AND(M49&gt;500,M49&lt;=1000),M49*0.5%,IF(AND(M49&gt;50,M49&lt;=500),M49*1%,IF(AND(M49&gt;1,M49&lt;=50),M49*1.5%))))</f>
        <v>1.6040000000000001</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344"/>
      <c r="K66" s="1245" t="s">
        <v>1387</v>
      </c>
      <c r="L66" s="1245">
        <f ca="1">M49*0.5%</f>
        <v>8.02</v>
      </c>
      <c r="M66" s="294">
        <f ca="1">IF(L66&gt;0.5,0.5,ROUND(L66,0))</f>
        <v>0.5</v>
      </c>
      <c r="N66" s="2329" t="s">
        <v>1388</v>
      </c>
      <c r="Z66" s="1623"/>
      <c r="AI66" s="1561"/>
    </row>
    <row r="67" spans="1:35" ht="14.25" customHeight="1">
      <c r="A67" s="165" t="s">
        <v>328</v>
      </c>
      <c r="B67" s="166" t="s">
        <v>1389</v>
      </c>
      <c r="C67" s="2352">
        <f ca="1">C63-C66</f>
        <v>1528</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3.6560000000000001</v>
      </c>
      <c r="M67" s="294">
        <f ca="1">ROUND(L67*0.9,1)</f>
        <v>3.3</v>
      </c>
      <c r="N67" s="2328"/>
      <c r="Z67" s="1623"/>
      <c r="AI67" s="1561"/>
    </row>
    <row r="68" spans="1:35" ht="14.25" customHeight="1" thickBot="1">
      <c r="A68" s="168" t="s">
        <v>329</v>
      </c>
      <c r="B68" s="169" t="s">
        <v>1391</v>
      </c>
      <c r="C68" s="2353">
        <f ca="1">IF(C67&lt;=0,0,ROUND(C67*D68,0))</f>
        <v>86</v>
      </c>
      <c r="D68" s="2354">
        <f>'数据-取费表'!B41</f>
        <v>5.6000000000000001E-2</v>
      </c>
      <c r="E68" s="170"/>
      <c r="F68" s="1670"/>
      <c r="G68" s="1670"/>
      <c r="H68" s="151"/>
      <c r="I68" s="121"/>
      <c r="J68" s="3344"/>
      <c r="K68" s="1245" t="s">
        <v>1392</v>
      </c>
      <c r="L68" s="1245">
        <f ca="1">IF(M49&gt;10000,M49*0.5%,IF(AND(M49&gt;5000,M49&lt;=10000),M49*1%,IF(AND(M49&gt;1000,M49&lt;=5000),M49*2%,IF(AND(M49&gt;200,M49&lt;=1000),M49*3%,M49*5%))))</f>
        <v>32.08</v>
      </c>
      <c r="M68" s="294">
        <f ca="1">ROUND(L68,1)</f>
        <v>32.1</v>
      </c>
      <c r="N68" s="2328"/>
      <c r="Z68" s="1623"/>
      <c r="AI68" s="1561"/>
    </row>
    <row r="69" spans="1:35" ht="16.5" customHeight="1">
      <c r="A69" s="1672"/>
      <c r="B69" s="1673"/>
      <c r="C69" s="1674"/>
      <c r="D69" s="1675"/>
      <c r="E69" s="1676"/>
      <c r="F69" s="1466"/>
      <c r="G69" s="1466"/>
      <c r="H69" s="1467"/>
      <c r="I69" s="646"/>
      <c r="J69" s="3344"/>
      <c r="K69" s="1245" t="s">
        <v>1393</v>
      </c>
      <c r="L69" s="1245"/>
      <c r="M69" s="294">
        <f ca="1">ROUND(SUM(M63:M68),0)</f>
        <v>63</v>
      </c>
      <c r="N69" s="2330">
        <f ca="1">M69/M49</f>
        <v>3.9276807980049878E-2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3477</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1519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168.77777777777777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908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1528</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5451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3490</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6" t="s">
        <v>2129</v>
      </c>
      <c r="H90" s="3347"/>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64" t="s">
        <v>1419</v>
      </c>
      <c r="F91" s="3265"/>
      <c r="G91" s="3265"/>
      <c r="H91" s="1685" t="s">
        <v>3491</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64" t="s">
        <v>1422</v>
      </c>
      <c r="F92" s="3265"/>
      <c r="G92" s="3265"/>
      <c r="H92" s="3274"/>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-3923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t="str">
        <f>C4</f>
        <v>成本法</v>
      </c>
      <c r="D101" s="2370" t="str">
        <f>D4</f>
        <v>收益法</v>
      </c>
      <c r="E101" s="3341" t="s">
        <v>1431</v>
      </c>
      <c r="F101" s="3298"/>
      <c r="G101" s="1687" t="s">
        <v>1432</v>
      </c>
      <c r="H101" s="2379">
        <f ca="1">H118</f>
        <v>1604</v>
      </c>
      <c r="I101" s="121"/>
    </row>
    <row r="102" spans="1:35" ht="18.75" customHeight="1">
      <c r="A102" s="3300" t="s">
        <v>1433</v>
      </c>
      <c r="B102" s="2368" t="s">
        <v>1432</v>
      </c>
      <c r="C102" s="2369">
        <f ca="1">IF(D32="楼面单价",ROUND(C19,0),C19)</f>
        <v>1827</v>
      </c>
      <c r="D102" s="2370">
        <f ca="1">IF(D32="楼面单价",ROUND(D19,0),D19)</f>
        <v>1082</v>
      </c>
      <c r="E102" s="3341"/>
      <c r="F102" s="3298"/>
      <c r="G102" s="1687" t="s">
        <v>1434</v>
      </c>
      <c r="H102" s="2339">
        <f ca="1">I118</f>
        <v>33631</v>
      </c>
      <c r="I102" s="121"/>
    </row>
    <row r="103" spans="1:35" ht="42.75" customHeight="1">
      <c r="A103" s="3300"/>
      <c r="B103" s="2368" t="s">
        <v>1434</v>
      </c>
      <c r="C103" s="2371">
        <f ca="1">C20</f>
        <v>38307</v>
      </c>
      <c r="D103" s="2372">
        <f ca="1">D20</f>
        <v>22686</v>
      </c>
      <c r="E103" s="3335" t="s">
        <v>1435</v>
      </c>
      <c r="F103" s="3336"/>
      <c r="G103" s="1688" t="s">
        <v>1436</v>
      </c>
      <c r="H103" s="2379">
        <f>IF(D36="正常操作",H104+H105+H106,H105+H106)</f>
        <v>0</v>
      </c>
      <c r="I103" s="121"/>
    </row>
    <row r="104" spans="1:35" ht="18.75" customHeight="1">
      <c r="A104" s="3300" t="s">
        <v>1437</v>
      </c>
      <c r="B104" s="2373" t="s">
        <v>1432</v>
      </c>
      <c r="C104" s="2374">
        <f ca="1">H118</f>
        <v>1604</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33631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7" t="str">
        <f>IF(项目基本情况!E8="已注销","——","3.房地产抵押价值")</f>
        <v>3.房地产抵押价值</v>
      </c>
      <c r="F107" s="3298"/>
      <c r="G107" s="1687" t="s">
        <v>1432</v>
      </c>
      <c r="H107" s="2379">
        <f ca="1">IF(E107="——","——",H101-H103)</f>
        <v>1604</v>
      </c>
      <c r="I107" s="121"/>
    </row>
    <row r="108" spans="1:35" ht="18.75" customHeight="1">
      <c r="A108" s="121"/>
      <c r="B108" s="121"/>
      <c r="C108" s="121"/>
      <c r="D108" s="121"/>
      <c r="E108" s="3297"/>
      <c r="F108" s="3298"/>
      <c r="G108" s="1687" t="s">
        <v>1434</v>
      </c>
      <c r="H108" s="2339">
        <f ca="1">IF(H107=H101,H102,ROUND(H107*10000/'数据-汇总表'!E3,0))</f>
        <v>33631</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297"/>
      <c r="F110" s="3298"/>
      <c r="G110" s="1687"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299"/>
      <c r="G111" s="1687" t="s">
        <v>1432</v>
      </c>
      <c r="H111" s="2379">
        <f ca="1">IF(E111="——","——",N59)</f>
        <v>1517</v>
      </c>
      <c r="I111" s="121"/>
    </row>
    <row r="112" spans="1:35" ht="18.75" customHeight="1" thickBot="1">
      <c r="A112" s="121"/>
      <c r="B112" s="121"/>
      <c r="C112" s="121"/>
      <c r="D112" s="121"/>
      <c r="E112" s="3330"/>
      <c r="F112" s="3331"/>
      <c r="G112" s="1690" t="s">
        <v>1434</v>
      </c>
      <c r="H112" s="2383">
        <f ca="1">IF(E111="——","——",N61)</f>
        <v>31807</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476.94000000000005</v>
      </c>
      <c r="C118" s="2150">
        <f>M19</f>
        <v>10.68</v>
      </c>
      <c r="D118" s="2150">
        <f ca="1">ROUND(IF(D32="总价",C34,E118*B118/10000),0)</f>
        <v>1346</v>
      </c>
      <c r="E118" s="2150">
        <f ca="1">ROUND(IF(C33="自定义",IF(D32="楼面单价",C34,D118*10000/B118),I118-G118),0)</f>
        <v>28222</v>
      </c>
      <c r="F118" s="2150">
        <f ca="1">ROUND(IF(D32="总价",C35,G118*B118/10000),0)</f>
        <v>258</v>
      </c>
      <c r="G118" s="2150">
        <f ca="1">ROUND(IF(D32="楼面单价",C35,F118*10000/B118),0)</f>
        <v>5409</v>
      </c>
      <c r="H118" s="2150">
        <f ca="1">ROUND(IF(D32="总价",C32,I118*B118/10000),4)</f>
        <v>1604</v>
      </c>
      <c r="I118" s="2150">
        <f ca="1">ROUND(IF(D32="楼面单价",C32,H118*10000/B118),0)</f>
        <v>33631</v>
      </c>
    </row>
    <row r="119" spans="1:27" ht="18.75" customHeight="1">
      <c r="A119" s="3268" t="s">
        <v>1452</v>
      </c>
      <c r="B119" s="3268"/>
      <c r="C119" s="3268"/>
      <c r="D119" s="3308" t="str">
        <f ca="1">NUMBERSTRING(INT(D118*10000),2)&amp;"元整"</f>
        <v>壹仟叁佰肆拾陆万元整</v>
      </c>
      <c r="E119" s="3310"/>
      <c r="F119" s="3308" t="str">
        <f ca="1">NUMBERSTRING(INT(F118*10000),2)&amp;"元整"</f>
        <v>贰佰伍拾捌万元整</v>
      </c>
      <c r="G119" s="3310"/>
      <c r="H119" s="3308" t="str">
        <f ca="1">NUMBERSTRING(INT(H118*10000),2)&amp;"元整"</f>
        <v>壹仟陆佰零肆万元整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1604</v>
      </c>
      <c r="E122" s="3333"/>
      <c r="F122" s="3333"/>
      <c r="G122" s="3333"/>
      <c r="H122" s="3333"/>
      <c r="I122" s="3334"/>
      <c r="AA122" s="684"/>
    </row>
    <row r="123" spans="1:27" ht="18.75" customHeight="1">
      <c r="A123" s="3268" t="s">
        <v>1452</v>
      </c>
      <c r="B123" s="3268"/>
      <c r="C123" s="3268"/>
      <c r="D123" s="3308" t="str">
        <f ca="1">NUMBERSTRING(INT(D122*10000),2)&amp;"元整"</f>
        <v>壹仟陆佰零肆万元整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抵押净值</v>
      </c>
      <c r="B126" s="3299"/>
      <c r="C126" s="3299"/>
      <c r="D126" s="3332">
        <f ca="1">H111</f>
        <v>1517</v>
      </c>
      <c r="E126" s="3333"/>
      <c r="F126" s="3333"/>
      <c r="G126" s="3333"/>
      <c r="H126" s="3333"/>
      <c r="I126" s="3334"/>
      <c r="AA126" s="684"/>
    </row>
    <row r="127" spans="1:27" ht="18.75" customHeight="1">
      <c r="A127" s="3268" t="s">
        <v>1452</v>
      </c>
      <c r="B127" s="3268"/>
      <c r="C127" s="3268"/>
      <c r="D127" s="3308" t="str">
        <f ca="1">NUMBERSTRING(INT(D126*10000),2)&amp;"元整"</f>
        <v>壹仟伍佰壹拾柒万元整</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85" zoomScaleNormal="70" zoomScaleSheetLayoutView="85" workbookViewId="0">
      <selection activeCell="H51" sqref="H5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f>MATCH(B1,'数据-取费表'!A6:A16,0)+5</f>
        <v>6</v>
      </c>
    </row>
    <row r="2" spans="1:9" s="192" customFormat="1" ht="18" customHeight="1">
      <c r="A2" s="193" t="s">
        <v>1462</v>
      </c>
      <c r="B2" s="194">
        <f ca="1">IF(D2="——",C52,C52-E2)</f>
        <v>1827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38307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1051</v>
      </c>
      <c r="D5" s="203" t="s">
        <v>1469</v>
      </c>
      <c r="E5" s="204" t="s">
        <v>1470</v>
      </c>
      <c r="F5" s="204" t="s">
        <v>1471</v>
      </c>
      <c r="G5" s="205"/>
    </row>
    <row r="6" spans="1:9" s="206" customFormat="1" ht="13.5" customHeight="1">
      <c r="A6" s="732" t="s">
        <v>1472</v>
      </c>
      <c r="B6" s="207" t="s">
        <v>1473</v>
      </c>
      <c r="C6" s="208">
        <f>基准地价修正!E33</f>
        <v>1010</v>
      </c>
      <c r="D6" s="209"/>
      <c r="E6" s="210"/>
      <c r="F6" s="210"/>
      <c r="G6" s="211"/>
    </row>
    <row r="7" spans="1:9" s="206" customFormat="1" ht="13.5" customHeight="1">
      <c r="A7" s="732" t="s">
        <v>1474</v>
      </c>
      <c r="B7" s="207" t="s">
        <v>1475</v>
      </c>
      <c r="C7" s="212">
        <f>ROUND(C6*F7,0)</f>
        <v>31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v>
      </c>
      <c r="D8" s="214"/>
      <c r="E8" s="212"/>
      <c r="F8" s="213"/>
      <c r="G8" s="1714" t="s">
        <v>3418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3492</v>
      </c>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476.94000000000005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8" s="206" customFormat="1" ht="13.5" hidden="1" customHeight="1">
      <c r="A17" s="219" t="s">
        <v>10</v>
      </c>
      <c r="B17" s="207" t="s">
        <v>1488</v>
      </c>
      <c r="C17" s="221"/>
      <c r="D17" s="221"/>
      <c r="E17" s="221"/>
      <c r="F17" s="221"/>
      <c r="G17" s="211" t="s">
        <v>1487</v>
      </c>
    </row>
    <row r="18" spans="1:8" s="206" customFormat="1" ht="13.5" hidden="1" customHeight="1">
      <c r="A18" s="219" t="s">
        <v>11</v>
      </c>
      <c r="B18" s="207" t="s">
        <v>1489</v>
      </c>
      <c r="C18" s="212">
        <v>0</v>
      </c>
      <c r="D18" s="210"/>
      <c r="E18" s="210"/>
      <c r="F18" s="213">
        <v>3.0499999999999999E-2</v>
      </c>
      <c r="G18" s="211" t="s">
        <v>1490</v>
      </c>
    </row>
    <row r="19" spans="1:8" s="215" customFormat="1" ht="13.5" customHeight="1">
      <c r="A19" s="247" t="s">
        <v>1491</v>
      </c>
      <c r="B19" s="202" t="s">
        <v>1492</v>
      </c>
      <c r="C19" s="203" t="str">
        <f>IF(G19="已包含在土地取得成本中","0",ROUND(D19*E19/10000,0))</f>
        <v>0</v>
      </c>
      <c r="D19" s="204">
        <f ca="1">D9+D10</f>
        <v>476.94000000000005</v>
      </c>
      <c r="E19" s="203">
        <f>'数据-取费表'!B31</f>
        <v>200</v>
      </c>
      <c r="F19" s="223"/>
      <c r="G19" s="1714" t="s">
        <v>3419</v>
      </c>
    </row>
    <row r="20" spans="1:8" s="206" customFormat="1" ht="13.5" customHeight="1">
      <c r="A20" s="247" t="s">
        <v>1493</v>
      </c>
      <c r="B20" s="202" t="s">
        <v>1494</v>
      </c>
      <c r="C20" s="224">
        <f ca="1">ROUND((C5+C19)*F20,0)</f>
        <v>26</v>
      </c>
      <c r="D20" s="224"/>
      <c r="E20" s="224"/>
      <c r="F20" s="225">
        <f>'数据-取费表'!B37</f>
        <v>2.5000000000000001E-2</v>
      </c>
      <c r="G20" s="226" t="s">
        <v>1495</v>
      </c>
    </row>
    <row r="21" spans="1:8" s="206" customFormat="1" ht="13.5" customHeight="1">
      <c r="A21" s="247" t="s">
        <v>1496</v>
      </c>
      <c r="B21" s="202" t="s">
        <v>1497</v>
      </c>
      <c r="C21" s="227">
        <f>F21</f>
        <v>0.03</v>
      </c>
      <c r="D21" s="228" t="s">
        <v>1498</v>
      </c>
      <c r="E21" s="224"/>
      <c r="F21" s="225">
        <f>'数据-取费表'!B38</f>
        <v>0.03</v>
      </c>
      <c r="G21" s="226" t="s">
        <v>1499</v>
      </c>
    </row>
    <row r="22" spans="1:8" s="206" customFormat="1" ht="13.5" customHeight="1">
      <c r="A22" s="247" t="s">
        <v>1500</v>
      </c>
      <c r="B22" s="202" t="s">
        <v>1501</v>
      </c>
      <c r="C22" s="1041">
        <f ca="1">ROUND(SUM(C23:C25),0)</f>
        <v>102</v>
      </c>
      <c r="D22" s="227">
        <f ca="1">C26</f>
        <v>1.4E-3</v>
      </c>
      <c r="E22" s="228" t="s">
        <v>1498</v>
      </c>
      <c r="F22" s="229">
        <f ca="1">'数据-取费表'!B40</f>
        <v>3.1E-2</v>
      </c>
      <c r="G22" s="226" t="str">
        <f>IF('数据-取费表'!B22&lt;=1,"单利计息","复利计息")</f>
        <v>复利计息</v>
      </c>
    </row>
    <row r="23" spans="1:8" s="206" customFormat="1" ht="13.5" customHeight="1">
      <c r="A23" s="734" t="s">
        <v>1502</v>
      </c>
      <c r="B23" s="207" t="s">
        <v>1503</v>
      </c>
      <c r="C23" s="1042">
        <f ca="1">ROUND(IF('数据-取费表'!B22&lt;=1,C5*F22*'数据-取费表'!B23,C5*(POWER((1+F22),'数据-取费表'!B23)-1)),0)</f>
        <v>101</v>
      </c>
      <c r="D23" s="230"/>
      <c r="E23" s="230"/>
      <c r="F23" s="231"/>
      <c r="G23" s="232" t="s">
        <v>1504</v>
      </c>
    </row>
    <row r="24" spans="1:8"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8" s="206" customFormat="1" ht="24">
      <c r="A25" s="734" t="s">
        <v>1508</v>
      </c>
      <c r="B25" s="207" t="s">
        <v>1509</v>
      </c>
      <c r="C25" s="1042">
        <f ca="1">ROUND(IF('数据-取费表'!B22&lt;=1,C20*F22*'数据-取费表'!B23/2,C20*(POWER((1+F22),'数据-取费表'!B23/2)-1)),0)</f>
        <v>1</v>
      </c>
      <c r="D25" s="230"/>
      <c r="E25" s="233"/>
      <c r="F25" s="231"/>
      <c r="G25" s="234" t="s">
        <v>1510</v>
      </c>
    </row>
    <row r="26" spans="1:8" s="206" customFormat="1">
      <c r="A26" s="734" t="s">
        <v>350</v>
      </c>
      <c r="B26" s="207" t="s">
        <v>1511</v>
      </c>
      <c r="C26" s="230">
        <f ca="1">ROUND(IF('数据-取费表'!B22&lt;=1,F21*F22*'数据-取费表'!B23/2,F21*(POWER((1+F22),'数据-取费表'!B23/2)-1)),4)</f>
        <v>1.4E-3</v>
      </c>
      <c r="D26" s="230"/>
      <c r="E26" s="233"/>
      <c r="F26" s="231"/>
      <c r="G26" s="235"/>
    </row>
    <row r="27" spans="1:8" s="206" customFormat="1" ht="26.4">
      <c r="A27" s="247" t="s">
        <v>1512</v>
      </c>
      <c r="B27" s="236" t="s">
        <v>1513</v>
      </c>
      <c r="C27" s="237">
        <f ca="1">C28</f>
        <v>215</v>
      </c>
      <c r="D27" s="227">
        <f ca="1">C29</f>
        <v>6.0000000000000001E-3</v>
      </c>
      <c r="E27" s="228" t="s">
        <v>1514</v>
      </c>
      <c r="F27" s="238">
        <f ca="1">IF(B1="",'数据-取费表'!Q16,INDIRECT("'数据-取费表'!q"&amp;$G$1))</f>
        <v>0.2</v>
      </c>
      <c r="G27" s="239" t="s">
        <v>1515</v>
      </c>
    </row>
    <row r="28" spans="1:8" s="206" customFormat="1" ht="13.5" customHeight="1">
      <c r="A28" s="734" t="s">
        <v>346</v>
      </c>
      <c r="B28" s="240" t="s">
        <v>1516</v>
      </c>
      <c r="C28" s="241">
        <f ca="1">ROUND((C5+C19+C20)*F27*'数据-取费表'!B21/'数据-取费表'!B20,0)</f>
        <v>215</v>
      </c>
      <c r="D28" s="227"/>
      <c r="E28" s="228"/>
      <c r="F28" s="238"/>
      <c r="G28" s="239"/>
    </row>
    <row r="29" spans="1:8" s="206" customFormat="1" ht="13.5" customHeight="1">
      <c r="A29" s="734" t="s">
        <v>347</v>
      </c>
      <c r="B29" s="240" t="s">
        <v>1517</v>
      </c>
      <c r="C29" s="230">
        <f ca="1">ROUND(C21*F27*'数据-取费表'!B21/'数据-取费表'!B20,4)</f>
        <v>6.0000000000000001E-3</v>
      </c>
      <c r="D29" s="227"/>
      <c r="E29" s="228"/>
      <c r="F29" s="238"/>
      <c r="G29" s="239"/>
    </row>
    <row r="30" spans="1:8" s="206" customFormat="1" ht="13.5" customHeight="1">
      <c r="A30" s="247" t="s">
        <v>1518</v>
      </c>
      <c r="B30" s="202" t="s">
        <v>1519</v>
      </c>
      <c r="C30" s="227">
        <f>ROUND(F30/(1+'数据-取费表'!C42),4)</f>
        <v>5.33E-2</v>
      </c>
      <c r="D30" s="228" t="s">
        <v>1514</v>
      </c>
      <c r="E30" s="233"/>
      <c r="F30" s="229">
        <f>'数据-取费表'!B41</f>
        <v>5.6000000000000001E-2</v>
      </c>
      <c r="G30" s="226" t="s">
        <v>1520</v>
      </c>
    </row>
    <row r="31" spans="1:8" ht="16.5" customHeight="1">
      <c r="A31" s="201">
        <v>1</v>
      </c>
      <c r="B31" s="202" t="s">
        <v>1521</v>
      </c>
      <c r="C31" s="203">
        <f ca="1">ROUND((C5+C19+C20+C22+C27)/(1-C21-D22-D27-C30),0)</f>
        <v>1533</v>
      </c>
      <c r="D31" s="222"/>
      <c r="E31" s="203"/>
      <c r="F31" s="242"/>
      <c r="G31" s="226" t="s">
        <v>1522</v>
      </c>
      <c r="H31" s="243">
        <f ca="1">C31/D10</f>
        <v>3.2142407850044026</v>
      </c>
    </row>
    <row r="32" spans="1:8" s="200" customFormat="1" ht="16.2">
      <c r="A32" s="244" t="s">
        <v>1523</v>
      </c>
      <c r="B32" s="245"/>
      <c r="C32" s="245"/>
      <c r="D32" s="245"/>
      <c r="E32" s="245"/>
      <c r="F32" s="245"/>
      <c r="G32" s="246"/>
    </row>
    <row r="33" spans="1:7" s="206" customFormat="1" ht="13.5" customHeight="1">
      <c r="A33" s="247" t="s">
        <v>337</v>
      </c>
      <c r="B33" s="202" t="s">
        <v>1524</v>
      </c>
      <c r="C33" s="248">
        <f ca="1">SUM(C34:C38)</f>
        <v>303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267</v>
      </c>
      <c r="D34" s="209"/>
      <c r="E34" s="212"/>
      <c r="F34" s="249">
        <f ca="1">IF('数据-取费表'!B24=0,1,IF(B1="",'数据-取费表'!N16,INDIRECT("'数据-取费表'!n"&amp;$G$1)))</f>
        <v>1</v>
      </c>
      <c r="G34" s="211" t="s">
        <v>1526</v>
      </c>
    </row>
    <row r="35" spans="1:7" ht="13.5" customHeight="1">
      <c r="A35" s="734" t="s">
        <v>351</v>
      </c>
      <c r="B35" s="207" t="s">
        <v>1527</v>
      </c>
      <c r="C35" s="212">
        <f ca="1">ROUND(C34*F35,0)</f>
        <v>21</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476.94000000000005</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14</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1.4E-3</v>
      </c>
      <c r="D44" s="230"/>
      <c r="E44" s="230"/>
      <c r="F44" s="231"/>
      <c r="G44" s="3350"/>
    </row>
    <row r="45" spans="1:7" s="206" customFormat="1" ht="13.5" customHeight="1">
      <c r="A45" s="247" t="s">
        <v>1547</v>
      </c>
      <c r="B45" s="236" t="s">
        <v>1513</v>
      </c>
      <c r="C45" s="237">
        <f ca="1">C46</f>
        <v>62</v>
      </c>
      <c r="D45" s="227">
        <f ca="1">C47</f>
        <v>6.0000000000000001E-3</v>
      </c>
      <c r="E45" s="228" t="s">
        <v>1539</v>
      </c>
      <c r="F45" s="238">
        <f ca="1">F27</f>
        <v>0.2</v>
      </c>
      <c r="G45" s="239" t="s">
        <v>1548</v>
      </c>
    </row>
    <row r="46" spans="1:7" s="206" customFormat="1" ht="13.5" customHeight="1">
      <c r="A46" s="734" t="s">
        <v>346</v>
      </c>
      <c r="B46" s="240" t="s">
        <v>1549</v>
      </c>
      <c r="C46" s="241">
        <f ca="1">ROUND((C33+C39)*F27,0)</f>
        <v>62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8" ht="16.5" customHeight="1">
      <c r="A49" s="247" t="s">
        <v>1518</v>
      </c>
      <c r="B49" s="202" t="s">
        <v>1553</v>
      </c>
      <c r="C49" s="224">
        <f ca="1">ROUND((C33+C39+C41+C45)/(1-C40-D41-D45-C48),0)</f>
        <v>426</v>
      </c>
      <c r="D49" s="224"/>
      <c r="E49" s="224"/>
      <c r="F49" s="256"/>
      <c r="G49" s="226" t="s">
        <v>1554</v>
      </c>
    </row>
    <row r="50" spans="1:8" s="250" customFormat="1" ht="24">
      <c r="A50" s="247" t="s">
        <v>1555</v>
      </c>
      <c r="B50" s="202" t="s">
        <v>1556</v>
      </c>
      <c r="C50" s="224"/>
      <c r="D50" s="224"/>
      <c r="E50" s="224"/>
      <c r="F50" s="256">
        <f>IF('数据-取费表'!B24=0,'数据-取费表'!N16,1)</f>
        <v>0.69</v>
      </c>
      <c r="G50" s="239" t="s">
        <v>1557</v>
      </c>
    </row>
    <row r="51" spans="1:8" ht="16.5" customHeight="1">
      <c r="A51" s="247" t="s">
        <v>1558</v>
      </c>
      <c r="B51" s="202" t="s">
        <v>1559</v>
      </c>
      <c r="C51" s="224">
        <f ca="1">ROUND(C49*F50,0)</f>
        <v>294</v>
      </c>
      <c r="D51" s="224"/>
      <c r="E51" s="224"/>
      <c r="F51" s="256"/>
      <c r="G51" s="226" t="s">
        <v>1560</v>
      </c>
      <c r="H51" s="243">
        <f ca="1">C51/D37</f>
        <v>0.61642973958988545</v>
      </c>
    </row>
    <row r="52" spans="1:8" s="200" customFormat="1" ht="16.8" thickBot="1">
      <c r="A52" s="257" t="s">
        <v>1561</v>
      </c>
      <c r="B52" s="258"/>
      <c r="C52" s="259">
        <f ca="1">C31+C51</f>
        <v>1827</v>
      </c>
      <c r="D52" s="258"/>
      <c r="E52" s="258"/>
      <c r="F52" s="258"/>
      <c r="G52" s="260"/>
    </row>
    <row r="55" spans="1:8" ht="15">
      <c r="B55" s="262" t="s">
        <v>1562</v>
      </c>
      <c r="C55" s="263"/>
    </row>
    <row r="56" spans="1:8">
      <c r="B56" s="265" t="s">
        <v>802</v>
      </c>
      <c r="C56" s="267">
        <f ca="1">1-C57</f>
        <v>0.83899999999999997</v>
      </c>
    </row>
    <row r="57" spans="1:8">
      <c r="B57" s="265" t="s">
        <v>803</v>
      </c>
      <c r="C57" s="266">
        <f ca="1">ROUND(C51/C52,3)</f>
        <v>0.161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北京市朝阳区朝阳门外大街18号房地产抵押价值预评估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2441.15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2441.15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49</v>
      </c>
      <c r="D20" s="796">
        <f ca="1">IF(C1="",'数据-汇总表'!E6,IF(INDIRECT("'数据-取费表'!c"&amp;$K$1)="住宅",INDIRECT("'数据-取费表'!s"&amp;$K$1),INDIRECT("'数据-取费表'!k"&amp;$K$1)+INDIRECT("'数据-取费表'!s"&amp;$K$1)))</f>
        <v>2441.15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57" t="s">
        <v>2313</v>
      </c>
      <c r="K2" s="3358"/>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59" t="s">
        <v>2323</v>
      </c>
      <c r="K3" s="3360"/>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59" t="s">
        <v>2325</v>
      </c>
      <c r="K4" s="3360"/>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65" t="s">
        <v>2329</v>
      </c>
      <c r="B6" s="3366"/>
      <c r="C6" s="3367"/>
      <c r="D6" s="2619"/>
      <c r="E6" s="2620"/>
      <c r="F6" s="2621"/>
      <c r="G6" s="2622"/>
      <c r="H6" s="2597"/>
      <c r="I6" s="2598"/>
      <c r="J6" s="3351">
        <v>1</v>
      </c>
      <c r="K6" s="3352"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51"/>
      <c r="K7" s="3353"/>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68" t="s">
        <v>2343</v>
      </c>
      <c r="C8" s="3369"/>
      <c r="D8" s="2638" t="s">
        <v>2344</v>
      </c>
      <c r="E8" s="2639" t="s">
        <v>2345</v>
      </c>
      <c r="F8" s="2640" t="s">
        <v>2346</v>
      </c>
      <c r="G8" s="2641"/>
      <c r="H8" s="2597"/>
      <c r="I8" s="2598"/>
      <c r="J8" s="3351"/>
      <c r="K8" s="3353"/>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68" t="s">
        <v>2349</v>
      </c>
      <c r="C9" s="3369"/>
      <c r="D9" s="2638">
        <f>ROUND(D6*E9,0)</f>
        <v>0</v>
      </c>
      <c r="E9" s="2642"/>
      <c r="F9" s="2643" t="s">
        <v>2350</v>
      </c>
      <c r="G9" s="2622"/>
      <c r="H9" s="2597"/>
      <c r="I9" s="2598"/>
      <c r="J9" s="3351"/>
      <c r="K9" s="3353"/>
      <c r="L9" s="2632" t="s">
        <v>2351</v>
      </c>
      <c r="M9" s="2633"/>
      <c r="N9" s="2609"/>
      <c r="O9" s="2634"/>
      <c r="P9" s="2634"/>
      <c r="Q9" s="2635">
        <v>365</v>
      </c>
      <c r="R9" s="2636">
        <f t="shared" si="0"/>
        <v>0</v>
      </c>
      <c r="S9" s="2590"/>
      <c r="T9" s="2590"/>
      <c r="U9" s="2590"/>
      <c r="V9" s="2598"/>
    </row>
    <row r="10" spans="1:22" s="2602" customFormat="1" ht="13.2" customHeight="1">
      <c r="A10" s="2637">
        <v>2</v>
      </c>
      <c r="B10" s="3368" t="s">
        <v>2352</v>
      </c>
      <c r="C10" s="3369"/>
      <c r="D10" s="2638">
        <f>ROUND(D6*E10,0)</f>
        <v>0</v>
      </c>
      <c r="E10" s="2642"/>
      <c r="F10" s="2643" t="s">
        <v>2353</v>
      </c>
      <c r="G10" s="2622"/>
      <c r="H10" s="2597"/>
      <c r="I10" s="2598"/>
      <c r="J10" s="3351"/>
      <c r="K10" s="3353"/>
      <c r="L10" s="2632" t="s">
        <v>2354</v>
      </c>
      <c r="M10" s="2633"/>
      <c r="N10" s="2609"/>
      <c r="O10" s="2634"/>
      <c r="P10" s="2634"/>
      <c r="Q10" s="2635">
        <v>365</v>
      </c>
      <c r="R10" s="2636">
        <f t="shared" si="0"/>
        <v>0</v>
      </c>
      <c r="S10" s="2590"/>
      <c r="T10" s="2590"/>
      <c r="U10" s="2590"/>
      <c r="V10" s="2598"/>
    </row>
    <row r="11" spans="1:22" s="2602" customFormat="1" ht="13.2" customHeight="1">
      <c r="A11" s="2637">
        <v>3</v>
      </c>
      <c r="B11" s="3368" t="s">
        <v>2355</v>
      </c>
      <c r="C11" s="3369"/>
      <c r="D11" s="2638">
        <f>D12+D14+D15+D16</f>
        <v>0</v>
      </c>
      <c r="E11" s="2644" t="e">
        <f>D11/D6</f>
        <v>#DIV/0!</v>
      </c>
      <c r="F11" s="2640"/>
      <c r="G11" s="2641"/>
      <c r="H11" s="2597"/>
      <c r="I11" s="2598"/>
      <c r="J11" s="3351"/>
      <c r="K11" s="3353"/>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61" t="s">
        <v>2358</v>
      </c>
      <c r="C12" s="3362"/>
      <c r="D12" s="2646">
        <f>ROUND(D13*1.2%*(1-30%),0)</f>
        <v>0</v>
      </c>
      <c r="E12" s="2647">
        <v>1.2E-2</v>
      </c>
      <c r="F12" s="2640" t="s">
        <v>2359</v>
      </c>
      <c r="G12" s="2641"/>
      <c r="H12" s="2597"/>
      <c r="I12" s="2598"/>
      <c r="J12" s="3351"/>
      <c r="K12" s="3353"/>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51"/>
      <c r="K13" s="3353"/>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61" t="s">
        <v>2364</v>
      </c>
      <c r="C14" s="3362"/>
      <c r="D14" s="2646">
        <f>ROUND(E14*B5/10000,0)</f>
        <v>0</v>
      </c>
      <c r="E14" s="2635"/>
      <c r="F14" s="2640" t="s">
        <v>2365</v>
      </c>
      <c r="G14" s="2641"/>
      <c r="H14" s="2597"/>
      <c r="I14" s="2598"/>
      <c r="J14" s="3351"/>
      <c r="K14" s="3354"/>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61" t="s">
        <v>2368</v>
      </c>
      <c r="C15" s="3362"/>
      <c r="D15" s="2646">
        <f>ROUND(D6*E15,0)</f>
        <v>0</v>
      </c>
      <c r="E15" s="2647">
        <v>5.5E-2</v>
      </c>
      <c r="F15" s="2640" t="s">
        <v>2369</v>
      </c>
      <c r="G15" s="2622"/>
      <c r="H15" s="2597"/>
      <c r="I15" s="2598"/>
      <c r="J15" s="3351">
        <v>2</v>
      </c>
      <c r="K15" s="3352"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61" t="s">
        <v>2377</v>
      </c>
      <c r="C16" s="3362"/>
      <c r="D16" s="2657">
        <f>D6*E16</f>
        <v>0</v>
      </c>
      <c r="E16" s="2658"/>
      <c r="F16" s="2643" t="s">
        <v>2378</v>
      </c>
      <c r="G16" s="2622"/>
      <c r="H16" s="2597"/>
      <c r="I16" s="2598"/>
      <c r="J16" s="3351"/>
      <c r="K16" s="3353"/>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3" t="s">
        <v>2380</v>
      </c>
      <c r="C17" s="3364"/>
      <c r="D17" s="2660">
        <f>ROUND(D6*E17,0)</f>
        <v>0</v>
      </c>
      <c r="E17" s="2661"/>
      <c r="F17" s="2662" t="s">
        <v>2381</v>
      </c>
      <c r="G17" s="2622"/>
      <c r="H17" s="2597"/>
      <c r="I17" s="2598"/>
      <c r="J17" s="3351"/>
      <c r="K17" s="3353"/>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51"/>
      <c r="K18" s="3353"/>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51"/>
      <c r="K19" s="3354"/>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1">
        <v>3</v>
      </c>
      <c r="K20" s="3352"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51"/>
      <c r="K21" s="3353"/>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51"/>
      <c r="K22" s="3353"/>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51"/>
      <c r="K23" s="3353"/>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51"/>
      <c r="K24" s="3354"/>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55">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5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57" t="s">
        <v>2313</v>
      </c>
      <c r="K32" s="3358"/>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59" t="s">
        <v>2323</v>
      </c>
      <c r="K33" s="3360"/>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59" t="s">
        <v>2325</v>
      </c>
      <c r="K34" s="336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51">
        <v>1</v>
      </c>
      <c r="K36" s="3352"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51"/>
      <c r="K37" s="3353"/>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1"/>
      <c r="K38" s="3353"/>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51"/>
      <c r="K39" s="3353"/>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51"/>
      <c r="K40" s="3354"/>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55">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5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 type="list" allowBlank="1" showInputMessage="1" showErrorMessage="1" sqref="D2" xr:uid="{00000000-0002-0000-1400-000002000000}">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3287</v>
      </c>
      <c r="C2" s="1729" t="s">
        <v>1651</v>
      </c>
      <c r="D2" s="1730" t="s">
        <v>1652</v>
      </c>
      <c r="E2" s="2391">
        <f>SUM(E6:E13)</f>
        <v>2441.15</v>
      </c>
      <c r="F2" s="2477"/>
      <c r="G2" s="459"/>
      <c r="H2" s="459"/>
      <c r="I2" s="459"/>
      <c r="J2" s="459"/>
      <c r="K2" s="459"/>
      <c r="L2" s="459"/>
      <c r="M2" s="459"/>
      <c r="N2" s="459"/>
      <c r="O2" s="459"/>
      <c r="P2" s="459"/>
      <c r="Q2" s="459"/>
      <c r="R2" s="459"/>
      <c r="S2" s="459"/>
    </row>
    <row r="3" spans="1:22" ht="15.6">
      <c r="A3" s="1728" t="s">
        <v>686</v>
      </c>
      <c r="B3" s="2385">
        <f ca="1">ROUND(B2*10000/E2,0)</f>
        <v>13465</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0" t="s">
        <v>1654</v>
      </c>
      <c r="C5" s="3371"/>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1082</v>
      </c>
      <c r="C6" s="1729" t="s">
        <v>1651</v>
      </c>
      <c r="D6" s="2477"/>
      <c r="E6" s="2390">
        <f>IF(OR(A6=0,F6="否"),0,'数据-取费表'!K6+'数据-取费表'!S6)</f>
        <v>476.94000000000005</v>
      </c>
      <c r="F6" s="1732" t="s">
        <v>1657</v>
      </c>
      <c r="G6" s="459"/>
      <c r="H6" s="459"/>
      <c r="I6" s="459"/>
      <c r="J6" s="459"/>
      <c r="K6" s="459"/>
      <c r="L6" s="459"/>
      <c r="M6" s="459"/>
      <c r="N6" s="459"/>
      <c r="O6" s="459"/>
      <c r="P6" s="459"/>
      <c r="Q6" s="459"/>
      <c r="R6" s="459"/>
      <c r="S6" s="459"/>
    </row>
    <row r="7" spans="1:22" ht="14.4">
      <c r="A7" s="2388" t="str">
        <f>'数据-取费表'!AN7</f>
        <v>收益法商</v>
      </c>
      <c r="B7" s="2386">
        <f ca="1">IF(F7="是",'数据-取费表'!AO7,0)</f>
        <v>2205</v>
      </c>
      <c r="C7" s="1729" t="s">
        <v>1651</v>
      </c>
      <c r="D7" s="2477"/>
      <c r="E7" s="2390">
        <f>IF(OR(A7=0,F7="否"),0,'数据-取费表'!K7+'数据-取费表'!S7)</f>
        <v>1964.21</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2441.15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4"/>
      <c r="M4" s="2485"/>
      <c r="N4" s="2485"/>
      <c r="O4" s="2485"/>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6"/>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6"/>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6"/>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5"/>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5"/>
      <c r="Q18" s="1263"/>
      <c r="R18" s="667"/>
      <c r="S18" s="668"/>
      <c r="T18" s="667"/>
      <c r="U18" s="668"/>
      <c r="V18" s="667"/>
      <c r="W18" s="668"/>
      <c r="X18" s="1265"/>
      <c r="Y18" s="3378"/>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5"/>
      <c r="Q20" s="1263"/>
      <c r="R20" s="667"/>
      <c r="S20" s="668"/>
      <c r="T20" s="667"/>
      <c r="U20" s="668"/>
      <c r="V20" s="667"/>
      <c r="W20" s="668"/>
      <c r="X20" s="1265"/>
      <c r="Y20" s="3378"/>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5"/>
      <c r="Q22" s="1263"/>
      <c r="R22" s="667"/>
      <c r="S22" s="668"/>
      <c r="T22" s="667"/>
      <c r="U22" s="668"/>
      <c r="V22" s="667"/>
      <c r="W22" s="668"/>
      <c r="X22" s="1265"/>
      <c r="Y22" s="3378"/>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8" priority="14"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F7:F46 H7:H46 J7:J46">
    <cfRule type="cellIs" dxfId="145" priority="1" operator="notEqual">
      <formula>100</formula>
    </cfRule>
  </conditionalFormatting>
  <conditionalFormatting sqref="F48">
    <cfRule type="expression" dxfId="144" priority="4">
      <formula>$D$48="简单平均"</formula>
    </cfRule>
  </conditionalFormatting>
  <conditionalFormatting sqref="F52:F54 H52:H54 J52:J54">
    <cfRule type="containsText" dxfId="143" priority="15" stopIfTrue="1" operator="containsText" text="超过">
      <formula>NOT(ISERROR(SEARCH("超过",F52)))</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G54">
    <cfRule type="expression" dxfId="140" priority="12" stopIfTrue="1">
      <formula>$H$54="超过30%"</formula>
    </cfRule>
  </conditionalFormatting>
  <conditionalFormatting sqref="H48">
    <cfRule type="expression" dxfId="139" priority="3">
      <formula>$D$48="简单平均"</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J48">
    <cfRule type="expression" dxfId="135" priority="2">
      <formula>$D$48="简单平均"</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C2" xr:uid="{00000000-0002-0000-1600-000014000000}">
      <formula1>"需扣减承租人权益,——"</formula1>
    </dataValidation>
    <dataValidation type="list" allowBlank="1" showInputMessage="1" showErrorMessage="1" sqref="F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2441.15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6"/>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5"/>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5"/>
      <c r="Q18" s="1263"/>
      <c r="R18" s="667"/>
      <c r="S18" s="668"/>
      <c r="T18" s="667"/>
      <c r="U18" s="668"/>
      <c r="V18" s="667"/>
      <c r="W18" s="668"/>
      <c r="X18" s="1265"/>
      <c r="Y18" s="3378"/>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5"/>
      <c r="Q20" s="1263"/>
      <c r="R20" s="667"/>
      <c r="S20" s="668"/>
      <c r="T20" s="667"/>
      <c r="U20" s="668"/>
      <c r="V20" s="667"/>
      <c r="W20" s="668"/>
      <c r="X20" s="1265"/>
      <c r="Y20" s="3378"/>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5"/>
      <c r="Q22" s="1263"/>
      <c r="R22" s="667"/>
      <c r="S22" s="668"/>
      <c r="T22" s="667"/>
      <c r="U22" s="668"/>
      <c r="V22" s="667"/>
      <c r="W22" s="668"/>
      <c r="X22" s="1265"/>
      <c r="Y22" s="3378"/>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F7:F46 H7:H46 J7:J46">
    <cfRule type="cellIs" dxfId="131" priority="1" operator="notEqual">
      <formula>100</formula>
    </cfRule>
  </conditionalFormatting>
  <conditionalFormatting sqref="F48">
    <cfRule type="expression" dxfId="130" priority="4">
      <formula>$D$48="简单平均"</formula>
    </cfRule>
  </conditionalFormatting>
  <conditionalFormatting sqref="F52:F54 H52:H54">
    <cfRule type="containsText" dxfId="129" priority="17" stopIfTrue="1" operator="containsText" text="超过">
      <formula>NOT(ISERROR(SEARCH("超过",F52)))</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G54">
    <cfRule type="expression" dxfId="126" priority="13" stopIfTrue="1">
      <formula>$H$54="超过30%"</formula>
    </cfRule>
  </conditionalFormatting>
  <conditionalFormatting sqref="H48">
    <cfRule type="expression" dxfId="125" priority="3">
      <formula>$D$48="简单平均"</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J48">
    <cfRule type="expression" dxfId="121" priority="2">
      <formula>$D$48="简单平均"</formula>
    </cfRule>
  </conditionalFormatting>
  <conditionalFormatting sqref="J52:J54">
    <cfRule type="containsText" dxfId="120"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2441.15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F7:F40 H7:H40 J7:J40">
    <cfRule type="cellIs" dxfId="116" priority="1" operator="notEqual">
      <formula>100</formula>
    </cfRule>
  </conditionalFormatting>
  <conditionalFormatting sqref="F42">
    <cfRule type="expression" dxfId="115" priority="4">
      <formula>$D$42="简单平均"</formula>
    </cfRule>
  </conditionalFormatting>
  <conditionalFormatting sqref="F46:F48 H46:H48">
    <cfRule type="containsText" dxfId="114" priority="17" stopIfTrue="1" operator="containsText" text="超过">
      <formula>NOT(ISERROR(SEARCH("超过",F46)))</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G48">
    <cfRule type="expression" dxfId="111" priority="13" stopIfTrue="1">
      <formula>$H$48="超过30%"</formula>
    </cfRule>
  </conditionalFormatting>
  <conditionalFormatting sqref="H42">
    <cfRule type="expression" dxfId="110" priority="3">
      <formula>$D$42="简单平均"</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J42">
    <cfRule type="expression" dxfId="106" priority="2">
      <formula>$D$42="简单平均"</formula>
    </cfRule>
  </conditionalFormatting>
  <conditionalFormatting sqref="J46:J48">
    <cfRule type="containsText" dxfId="105" priority="8" stopIfTrue="1" operator="containsText" text="超过">
      <formula>NOT(ISERROR(SEARCH("超过",J46)))</formula>
    </cfRule>
  </conditionalFormatting>
  <dataValidations count="20">
    <dataValidation type="list" allowBlank="1" showInputMessage="1" showErrorMessage="1" sqref="D1" xr:uid="{00000000-0002-0000-1800-000000000000}">
      <formula1>项目类型</formula1>
    </dataValidation>
    <dataValidation type="list" allowBlank="1" showInputMessage="1" showErrorMessage="1" sqref="C20 G20 E20 I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F1" xr:uid="{00000000-0002-0000-1800-00000F000000}">
      <formula1>"售价,租金"</formula1>
    </dataValidation>
    <dataValidation type="list" allowBlank="1" showInputMessage="1" showErrorMessage="1" sqref="C2" xr:uid="{00000000-0002-0000-1800-000010000000}">
      <formula1>"需扣减承租人权益,——"</formula1>
    </dataValidation>
    <dataValidation type="list" allowBlank="1" showInputMessage="1" showErrorMessage="1" sqref="F2" xr:uid="{00000000-0002-0000-1800-000011000000}">
      <formula1>估价方法</formula1>
    </dataValidation>
    <dataValidation type="list" allowBlank="1" showInputMessage="1" showErrorMessage="1" sqref="D42" xr:uid="{00000000-0002-0000-1800-000012000000}">
      <formula1>"简单平均,加权平均"</formula1>
    </dataValidation>
    <dataValidation type="list" allowBlank="1" showInputMessage="1" showErrorMessage="1" sqref="E1" xr:uid="{00000000-0002-0000-1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5"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5"/>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8"/>
      <c r="Q15" s="1263"/>
      <c r="R15" s="667"/>
      <c r="S15" s="668"/>
      <c r="T15" s="667"/>
      <c r="U15" s="668"/>
      <c r="V15" s="667"/>
      <c r="W15" s="668"/>
      <c r="X15" s="1265"/>
      <c r="Y15" s="3378"/>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8"/>
      <c r="Q19" s="1263"/>
      <c r="R19" s="667"/>
      <c r="S19" s="668"/>
      <c r="T19" s="667"/>
      <c r="U19" s="668"/>
      <c r="V19" s="667"/>
      <c r="W19" s="668"/>
      <c r="X19" s="1265"/>
      <c r="Y19" s="3378"/>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2" t="str">
        <f>A39</f>
        <v>估价对象XX用房的比较价值（楼面单价，元/平方米）</v>
      </c>
      <c r="Q39" s="3373"/>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4" priority="13" stopIfTrue="1">
      <formula>$F$42="超过30%"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F7:F36 H7:H36 J7:J36">
    <cfRule type="cellIs" dxfId="101" priority="1" operator="notEqual">
      <formula>100</formula>
    </cfRule>
  </conditionalFormatting>
  <conditionalFormatting sqref="F38">
    <cfRule type="expression" dxfId="100" priority="4">
      <formula>$D$38="简单平均"</formula>
    </cfRule>
  </conditionalFormatting>
  <conditionalFormatting sqref="F42:F44 H42:H44 J42:J44">
    <cfRule type="containsText" dxfId="99" priority="14" stopIfTrue="1" operator="containsText" text="超过">
      <formula>NOT(ISERROR(SEARCH("超过",F42)))</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G44">
    <cfRule type="expression" dxfId="96" priority="12" stopIfTrue="1">
      <formula>$H$54+$H$44="超过30%"</formula>
    </cfRule>
  </conditionalFormatting>
  <conditionalFormatting sqref="H38">
    <cfRule type="expression" dxfId="95" priority="3">
      <formula>$D$38="简单平均"</formula>
    </cfRule>
  </conditionalFormatting>
  <conditionalFormatting sqref="I42">
    <cfRule type="expression" dxfId="94" priority="7" stopIfTrue="1">
      <formula>$J$52+$J$42="超过30%"</formula>
    </cfRule>
  </conditionalFormatting>
  <conditionalFormatting sqref="I43">
    <cfRule type="expression" dxfId="93" priority="6" stopIfTrue="1">
      <formula>$J$53+$J$43="超过20%"</formula>
    </cfRule>
  </conditionalFormatting>
  <conditionalFormatting sqref="I44">
    <cfRule type="expression" dxfId="92" priority="5" stopIfTrue="1">
      <formula>$J$44="超过30%"</formula>
    </cfRule>
  </conditionalFormatting>
  <conditionalFormatting sqref="J38">
    <cfRule type="expression" dxfId="91" priority="2">
      <formula>$D$38="简单平均"</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G17 C17 E17 I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B37" xr:uid="{00000000-0002-0000-1900-00000C000000}">
      <formula1>"元/平方米,元/车位"</formula1>
    </dataValidation>
    <dataValidation type="list" allowBlank="1" showInputMessage="1" showErrorMessage="1" sqref="C21 E21 G21 I21" xr:uid="{00000000-0002-0000-1900-00000D000000}">
      <formula1>环境</formula1>
    </dataValidation>
    <dataValidation type="list" allowBlank="1" showInputMessage="1" showErrorMessage="1" sqref="C19 E19 G19 I19"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38"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5"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5"/>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8"/>
      <c r="Q15" s="1263"/>
      <c r="R15" s="667"/>
      <c r="S15" s="668"/>
      <c r="T15" s="667"/>
      <c r="U15" s="668"/>
      <c r="V15" s="667"/>
      <c r="W15" s="668"/>
      <c r="X15" s="1265"/>
      <c r="Y15" s="3378"/>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8"/>
      <c r="Q19" s="1263"/>
      <c r="R19" s="667"/>
      <c r="S19" s="668"/>
      <c r="T19" s="667"/>
      <c r="U19" s="668"/>
      <c r="V19" s="667"/>
      <c r="W19" s="668"/>
      <c r="X19" s="1265"/>
      <c r="Y19" s="3378"/>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2" t="str">
        <f>A37</f>
        <v>估价对象XX用房的比较价值（楼面单价，元/平方米）</v>
      </c>
      <c r="Q37" s="3373"/>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0" priority="13" stopIfTrue="1">
      <formula>$F$40="超过30%"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F7:F34 H7:H34 J7:J34">
    <cfRule type="cellIs" dxfId="87" priority="1" operator="notEqual">
      <formula>100</formula>
    </cfRule>
  </conditionalFormatting>
  <conditionalFormatting sqref="F36">
    <cfRule type="expression" dxfId="86" priority="4">
      <formula>$D$36="简单平均"</formula>
    </cfRule>
  </conditionalFormatting>
  <conditionalFormatting sqref="F40:F42 H40:H42 J40:J42">
    <cfRule type="containsText" dxfId="85" priority="14" stopIfTrue="1" operator="containsText" text="超过">
      <formula>NOT(ISERROR(SEARCH("超过",F40)))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G42">
    <cfRule type="expression" dxfId="82" priority="12" stopIfTrue="1">
      <formula>$H$54+$H$42="超过30%"</formula>
    </cfRule>
  </conditionalFormatting>
  <conditionalFormatting sqref="H36">
    <cfRule type="expression" dxfId="81" priority="3">
      <formula>$D$36="简单平均"</formula>
    </cfRule>
  </conditionalFormatting>
  <conditionalFormatting sqref="I40">
    <cfRule type="expression" dxfId="80" priority="7" stopIfTrue="1">
      <formula>$J$40="超过30%"</formula>
    </cfRule>
  </conditionalFormatting>
  <conditionalFormatting sqref="I41">
    <cfRule type="expression" dxfId="79" priority="6" stopIfTrue="1">
      <formula>$J$41="超过20%"</formula>
    </cfRule>
  </conditionalFormatting>
  <conditionalFormatting sqref="I42">
    <cfRule type="expression" dxfId="78" priority="5" stopIfTrue="1">
      <formula>$J$42="超过30%"</formula>
    </cfRule>
  </conditionalFormatting>
  <conditionalFormatting sqref="J36">
    <cfRule type="expression" dxfId="77" priority="2">
      <formula>$D$36="简单平均"</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9 E19 G19 I19" xr:uid="{00000000-0002-0000-1A00-00000C000000}">
      <formula1>基础设施水平</formula1>
    </dataValidation>
    <dataValidation type="list" allowBlank="1" showInputMessage="1" showErrorMessage="1" sqref="F1" xr:uid="{00000000-0002-0000-1A00-00000D000000}">
      <formula1>"售价,租金"</formula1>
    </dataValidation>
    <dataValidation type="list" allowBlank="1" showInputMessage="1" showErrorMessage="1" sqref="C2" xr:uid="{00000000-0002-0000-1A00-00000E000000}">
      <formula1>"需扣减承租人权益,——"</formula1>
    </dataValidation>
    <dataValidation type="list" allowBlank="1" showInputMessage="1" showErrorMessage="1" sqref="F2" xr:uid="{00000000-0002-0000-1A00-00000F000000}">
      <formula1>估价方法</formula1>
    </dataValidation>
    <dataValidation type="list" allowBlank="1" showInputMessage="1" showErrorMessage="1" sqref="D36" xr:uid="{00000000-0002-0000-1A00-000010000000}">
      <formula1>"简单平均,加权平均"</formula1>
    </dataValidation>
    <dataValidation type="list" allowBlank="1" showInputMessage="1" showErrorMessage="1" sqref="E1" xr:uid="{00000000-0002-0000-1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219</v>
      </c>
      <c r="G10" s="402"/>
      <c r="H10" s="119">
        <f>ROUND(100/'数据-取费表'!G16,0)</f>
        <v>219</v>
      </c>
      <c r="I10" s="402"/>
      <c r="J10" s="119">
        <f>ROUND(100/'数据-取费表'!G16,0)</f>
        <v>219</v>
      </c>
      <c r="K10" s="592"/>
      <c r="L10" s="2487"/>
      <c r="M10" s="2488"/>
      <c r="N10" s="2488"/>
      <c r="O10" s="2539"/>
      <c r="P10" s="3375"/>
      <c r="Q10" s="530" t="str">
        <f t="shared" si="6"/>
        <v>土地使用年限（年）</v>
      </c>
      <c r="R10" s="664" t="s">
        <v>14</v>
      </c>
      <c r="S10" s="665">
        <f t="shared" si="0"/>
        <v>219</v>
      </c>
      <c r="T10" s="664" t="s">
        <v>14</v>
      </c>
      <c r="U10" s="665">
        <f t="shared" si="1"/>
        <v>219</v>
      </c>
      <c r="V10" s="664" t="s">
        <v>14</v>
      </c>
      <c r="W10" s="665">
        <f t="shared" si="2"/>
        <v>219</v>
      </c>
      <c r="X10" s="666"/>
      <c r="Y10" s="3255"/>
      <c r="Z10" s="50" t="str">
        <f t="shared" si="7"/>
        <v>土地使用年限（年）</v>
      </c>
      <c r="AA10" s="50">
        <f t="shared" si="3"/>
        <v>0.45662100456621002</v>
      </c>
      <c r="AB10" s="50">
        <f t="shared" si="4"/>
        <v>0.45662100456621002</v>
      </c>
      <c r="AC10" s="50">
        <f t="shared" si="5"/>
        <v>0.45662100456621002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5"/>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8"/>
      <c r="Q20" s="1263"/>
      <c r="R20" s="667"/>
      <c r="S20" s="668"/>
      <c r="T20" s="667"/>
      <c r="U20" s="668"/>
      <c r="V20" s="667"/>
      <c r="W20" s="668"/>
      <c r="X20" s="1265"/>
      <c r="Y20" s="3378"/>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8"/>
      <c r="Q24" s="1263"/>
      <c r="R24" s="667"/>
      <c r="S24" s="668"/>
      <c r="T24" s="667"/>
      <c r="U24" s="668"/>
      <c r="V24" s="667"/>
      <c r="W24" s="668"/>
      <c r="X24" s="1265"/>
      <c r="Y24" s="3378"/>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8"/>
      <c r="Q26" s="1263"/>
      <c r="R26" s="667"/>
      <c r="S26" s="668"/>
      <c r="T26" s="667"/>
      <c r="U26" s="668"/>
      <c r="V26" s="667"/>
      <c r="W26" s="668"/>
      <c r="X26" s="1265"/>
      <c r="Y26" s="3378"/>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7"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5" t="str">
        <f>A47</f>
        <v>比较价值（元/平方米）</v>
      </c>
      <c r="Q47" s="3375"/>
      <c r="R47" s="3419" t="e">
        <f>ROUND(PRODUCT(R46,AA7:AA45),0)</f>
        <v>#DIV/0!</v>
      </c>
      <c r="S47" s="3419"/>
      <c r="T47" s="3419" t="e">
        <f>ROUND(PRODUCT(T46,AB7:AB45),0)</f>
        <v>#DIV/0!</v>
      </c>
      <c r="U47" s="3419"/>
      <c r="V47" s="3419" t="e">
        <f>ROUND(PRODUCT(V46,AC7:AC45),0)</f>
        <v>#DIV/0!</v>
      </c>
      <c r="W47" s="341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2" t="str">
        <f>A48</f>
        <v>估价对象XX用房的比较价值（楼面单价，元/平方米）</v>
      </c>
      <c r="Q48" s="3373"/>
      <c r="R48" s="3420" t="e">
        <f>ROUND(IF(D47="简单平均",AVERAGE(R47:W47),R47*F47+T47*H47+V47*J47),0)</f>
        <v>#DIV/0!</v>
      </c>
      <c r="S48" s="3420"/>
      <c r="T48" s="3420"/>
      <c r="U48" s="3420"/>
      <c r="V48" s="3420"/>
      <c r="W48" s="342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0" t="s">
        <v>1887</v>
      </c>
      <c r="H55" s="342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476.94000000000005</v>
      </c>
      <c r="F56" s="833" t="e">
        <f t="shared" ref="F56:F64" si="15">ROUND(B56*E56/10000,0)</f>
        <v>#DIV/0!</v>
      </c>
      <c r="G56" s="3386"/>
      <c r="H56" s="337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1">
        <v>0.25</v>
      </c>
      <c r="E57" s="614"/>
      <c r="F57" s="833" t="e">
        <f t="shared" si="15"/>
        <v>#DIV/0!</v>
      </c>
      <c r="G57" s="2748" t="s">
        <v>1892</v>
      </c>
      <c r="H57" s="834" t="str">
        <f>项目基本情况!B37</f>
        <v>一级</v>
      </c>
      <c r="I57" s="838">
        <f>SUMIF(修正!A57:A68,H57,修正!B57:B68)</f>
        <v>0.7</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1">
        <v>0.25</v>
      </c>
      <c r="E58" s="614"/>
      <c r="F58" s="833" t="e">
        <f t="shared" si="15"/>
        <v>#DIV/0!</v>
      </c>
      <c r="G58" s="2749"/>
      <c r="H58" s="834" t="str">
        <f>项目基本情况!B37</f>
        <v>一级</v>
      </c>
      <c r="I58" s="838">
        <f>SUMIF(修正!A57:A68,H58,修正!C57:C68)</f>
        <v>0.4</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1">
        <v>0.25</v>
      </c>
      <c r="E59" s="614"/>
      <c r="F59" s="833" t="e">
        <f t="shared" si="15"/>
        <v>#DIV/0!</v>
      </c>
      <c r="G59" s="2749"/>
      <c r="H59" s="834" t="str">
        <f>项目基本情况!B37</f>
        <v>一级</v>
      </c>
      <c r="I59" s="838">
        <f>SUMIF(修正!A57:A68,H59,修正!D57:D68)</f>
        <v>0.3</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476.94000000000005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76" priority="13" stopIfTrue="1">
      <formula>$F$51="超过30%"</formula>
    </cfRule>
  </conditionalFormatting>
  <conditionalFormatting sqref="E52">
    <cfRule type="expression" dxfId="75" priority="11" stopIfTrue="1">
      <formula>$F$52="超过20%"</formula>
    </cfRule>
  </conditionalFormatting>
  <conditionalFormatting sqref="E53">
    <cfRule type="expression" dxfId="74" priority="10" stopIfTrue="1">
      <formula>$F$53="超过30%"</formula>
    </cfRule>
  </conditionalFormatting>
  <conditionalFormatting sqref="F7:F45 H7:H45 J7:J45">
    <cfRule type="cellIs" dxfId="73" priority="1" operator="notEqual">
      <formula>100</formula>
    </cfRule>
  </conditionalFormatting>
  <conditionalFormatting sqref="F47">
    <cfRule type="expression" dxfId="72" priority="4">
      <formula>$D$47="简单平均"</formula>
    </cfRule>
  </conditionalFormatting>
  <conditionalFormatting sqref="F51:F53 H51:H53 J51:J53">
    <cfRule type="containsText" dxfId="71" priority="14" stopIfTrue="1" operator="containsText" text="超过">
      <formula>NOT(ISERROR(SEARCH("超过",F51)))</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G53">
    <cfRule type="expression" dxfId="68" priority="12" stopIfTrue="1">
      <formula>$H$53="超过30%"</formula>
    </cfRule>
  </conditionalFormatting>
  <conditionalFormatting sqref="H47">
    <cfRule type="expression" dxfId="67" priority="3">
      <formula>$D$47="简单平均"</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J47">
    <cfRule type="expression" dxfId="63" priority="2">
      <formula>$D$47="简单平均"</formula>
    </cfRule>
  </conditionalFormatting>
  <dataValidations count="25">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1" xr:uid="{00000000-0002-0000-1B00-000013000000}">
      <formula1>"商业,办公,住宅,工业"</formula1>
    </dataValidation>
    <dataValidation type="list" allowBlank="1" showInputMessage="1" showErrorMessage="1" sqref="G62" xr:uid="{00000000-0002-0000-1B00-000014000000}">
      <formula1>"住宅,工业"</formula1>
    </dataValidation>
    <dataValidation type="list" allowBlank="1" showInputMessage="1" showErrorMessage="1" sqref="C30 E30 G30 I30" xr:uid="{00000000-0002-0000-1B00-000015000000}">
      <formula1>基础设施水平</formula1>
    </dataValidation>
    <dataValidation type="list" allowBlank="1" showInputMessage="1" showErrorMessage="1" sqref="A70" xr:uid="{00000000-0002-0000-1B00-000016000000}">
      <formula1>"综合,商业,办公,住宅"</formula1>
    </dataValidation>
    <dataValidation type="list" allowBlank="1" showInputMessage="1" showErrorMessage="1" sqref="D47" xr:uid="{00000000-0002-0000-1B00-000017000000}">
      <formula1>"简单平均,加权平均"</formula1>
    </dataValidation>
    <dataValidation type="list" allowBlank="1" showInputMessage="1" showErrorMessage="1" sqref="D57:D64" xr:uid="{00000000-0002-0000-1B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22" t="s">
        <v>1919</v>
      </c>
      <c r="D6" s="3423"/>
      <c r="E6" s="3424" t="s">
        <v>1919</v>
      </c>
      <c r="F6" s="3425"/>
      <c r="G6" s="3422" t="s">
        <v>1919</v>
      </c>
      <c r="H6" s="3423"/>
      <c r="I6" s="3422" t="s">
        <v>1919</v>
      </c>
      <c r="J6" s="3423"/>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219</v>
      </c>
      <c r="G10" s="371"/>
      <c r="H10" s="119">
        <f>ROUND(100/'数据-取费表'!G16,0)</f>
        <v>219</v>
      </c>
      <c r="I10" s="371"/>
      <c r="J10" s="119">
        <f>ROUND(100/'数据-取费表'!G16,0)</f>
        <v>219</v>
      </c>
      <c r="K10" s="592"/>
      <c r="L10" s="2487"/>
      <c r="M10" s="2488"/>
      <c r="N10" s="2488"/>
      <c r="O10" s="2539"/>
      <c r="P10" s="3375"/>
      <c r="Q10" s="530" t="str">
        <f t="shared" si="6"/>
        <v>土地使用年限（年）</v>
      </c>
      <c r="R10" s="664" t="s">
        <v>14</v>
      </c>
      <c r="S10" s="665">
        <f t="shared" si="0"/>
        <v>219</v>
      </c>
      <c r="T10" s="664" t="s">
        <v>14</v>
      </c>
      <c r="U10" s="665">
        <f t="shared" si="1"/>
        <v>219</v>
      </c>
      <c r="V10" s="664" t="s">
        <v>14</v>
      </c>
      <c r="W10" s="665">
        <f t="shared" si="2"/>
        <v>219</v>
      </c>
      <c r="X10" s="666"/>
      <c r="Y10" s="3255"/>
      <c r="Z10" s="50" t="str">
        <f t="shared" si="7"/>
        <v>土地使用年限（年）</v>
      </c>
      <c r="AA10" s="50">
        <f t="shared" si="3"/>
        <v>0.45662100456621002</v>
      </c>
      <c r="AB10" s="50">
        <f t="shared" si="4"/>
        <v>0.45662100456621002</v>
      </c>
      <c r="AC10" s="50">
        <f t="shared" si="5"/>
        <v>0.45662100456621002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7"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5" t="str">
        <f>A42</f>
        <v>比较价值（元/平方米）</v>
      </c>
      <c r="Q42" s="3375"/>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2" t="str">
        <f>A43</f>
        <v>估价对象XX用房的比较价值（楼面单价，元/平方米）</v>
      </c>
      <c r="Q43" s="3373"/>
      <c r="R43" s="3420" t="e">
        <f>ROUND(IF(D42="简单平均",AVERAGE(R42:W42),R42*F42+T42*H42+V42*J42),0)</f>
        <v>#DIV/0!</v>
      </c>
      <c r="S43" s="3420"/>
      <c r="T43" s="3420"/>
      <c r="U43" s="3420"/>
      <c r="V43" s="3420"/>
      <c r="W43" s="342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0" t="s">
        <v>1887</v>
      </c>
      <c r="H50" s="342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476.94000000000005</v>
      </c>
      <c r="F51" s="611" t="e">
        <f t="shared" ref="F51:F60" si="15">ROUND(B51*E51/10000,0)</f>
        <v>#DIV/0!</v>
      </c>
      <c r="G51" s="3386"/>
      <c r="H51" s="337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1">
        <v>0.25</v>
      </c>
      <c r="E52" s="614"/>
      <c r="F52" s="611" t="e">
        <f t="shared" si="15"/>
        <v>#DIV/0!</v>
      </c>
      <c r="G52" s="2748" t="s">
        <v>1892</v>
      </c>
      <c r="H52" s="834" t="str">
        <f>项目基本情况!B37</f>
        <v>一级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1">
        <v>0.25</v>
      </c>
      <c r="E53" s="614"/>
      <c r="F53" s="611" t="e">
        <f t="shared" si="15"/>
        <v>#DIV/0!</v>
      </c>
      <c r="G53" s="2749"/>
      <c r="H53" s="834" t="str">
        <f>项目基本情况!B37</f>
        <v>一级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1">
        <v>0.25</v>
      </c>
      <c r="E54" s="614"/>
      <c r="F54" s="611" t="e">
        <f t="shared" si="15"/>
        <v>#DIV/0!</v>
      </c>
      <c r="G54" s="2749"/>
      <c r="H54" s="834" t="str">
        <f>项目基本情况!B37</f>
        <v>一级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54.66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G24 I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6 E36 G36 I36" xr:uid="{00000000-0002-0000-1C00-00000D000000}">
      <formula1>套工宗地开发程度</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G58" xr:uid="{00000000-0002-0000-1C00-00000F000000}">
      <formula1>"住宅,工业"</formula1>
    </dataValidation>
    <dataValidation type="list" allowBlank="1" showInputMessage="1" showErrorMessage="1" sqref="G57" xr:uid="{00000000-0002-0000-1C00-000010000000}">
      <formula1>"商业,办公,住宅,工业"</formula1>
    </dataValidation>
    <dataValidation type="list" allowBlank="1" showInputMessage="1" showErrorMessage="1" sqref="D52:D60" xr:uid="{00000000-0002-0000-1C00-000011000000}">
      <formula1>"25%,1"</formula1>
    </dataValidation>
    <dataValidation type="list" allowBlank="1" showInputMessage="1" showErrorMessage="1" sqref="C26 E26 G26 I26" xr:uid="{00000000-0002-0000-1C00-000012000000}">
      <formula1>基础设施水平</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估价对象为北京市朝阳区朝阳门外大街18号房地产，为所有。根据《国有土地使用证》[]，估价对象（分摊）出让国有建设用地使用权面积为54.66平方米，建筑面积为2441.15平方米。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54.66平方米，规划建筑面积为2441.15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2025年3月31日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1010</v>
      </c>
      <c r="C2" s="1984" t="s">
        <v>2074</v>
      </c>
      <c r="D2" s="1984" t="s">
        <v>2075</v>
      </c>
      <c r="E2" s="2396">
        <f ca="1">SUMIF(E6:E13,"&lt;&gt;#ref!",E6:E13)</f>
        <v>476.94000000000005</v>
      </c>
      <c r="F2" s="2542"/>
      <c r="G2" s="2542"/>
      <c r="H2" s="2542"/>
      <c r="I2" s="2542"/>
      <c r="J2" s="2542"/>
      <c r="K2" s="2542"/>
      <c r="L2" s="2542"/>
      <c r="M2" s="2542"/>
      <c r="N2" s="2542"/>
      <c r="O2" s="2542"/>
      <c r="P2" s="2542"/>
    </row>
    <row r="3" spans="1:16" ht="15.6">
      <c r="A3" s="1984" t="s">
        <v>2076</v>
      </c>
      <c r="B3" s="2386">
        <f ca="1">ROUND(B2*10000/E2,0)</f>
        <v>21177</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1010</v>
      </c>
      <c r="C6" s="1984" t="s">
        <v>2074</v>
      </c>
      <c r="D6" s="2542"/>
      <c r="E6" s="2396">
        <f ca="1">SUMIF(INDIRECT("'"&amp;A6&amp;"'"&amp;"!C:C"),"建筑面积",INDIRECT("'"&amp;A6&amp;"'"&amp;"!D:D"))</f>
        <v>476.94000000000005</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1900.1289999999999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39840</v>
      </c>
      <c r="C3" s="344" t="s">
        <v>1768</v>
      </c>
      <c r="D3" s="343">
        <f>IF(D1="",'数据-汇总表'!E3,SUMIF('数据-汇总表'!$C19:$C33,D1,'数据-汇总表'!$E19:$E33))</f>
        <v>476.94000000000005</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38" t="s">
        <v>1775</v>
      </c>
      <c r="Q4" s="3439"/>
      <c r="R4" s="3442" t="s">
        <v>1771</v>
      </c>
      <c r="S4" s="3443"/>
      <c r="T4" s="3442" t="s">
        <v>1772</v>
      </c>
      <c r="U4" s="3443"/>
      <c r="V4" s="3444" t="s">
        <v>1773</v>
      </c>
      <c r="W4" s="3444"/>
      <c r="X4" s="1809"/>
      <c r="Y4" s="3442" t="s">
        <v>1775</v>
      </c>
      <c r="Z4" s="3443"/>
      <c r="AA4" s="3450" t="s">
        <v>1771</v>
      </c>
      <c r="AB4" s="3450" t="s">
        <v>1772</v>
      </c>
      <c r="AC4" s="3435" t="s">
        <v>1773</v>
      </c>
    </row>
    <row r="5" spans="1:29" ht="13.95" customHeight="1">
      <c r="A5" s="348"/>
      <c r="B5" s="349"/>
      <c r="C5" s="3448" t="s">
        <v>3472</v>
      </c>
      <c r="D5" s="3449"/>
      <c r="E5" s="3448" t="s">
        <v>3472</v>
      </c>
      <c r="F5" s="3449"/>
      <c r="G5" s="3445" t="s">
        <v>3474</v>
      </c>
      <c r="H5" s="3446"/>
      <c r="I5" s="3445" t="s">
        <v>3475</v>
      </c>
      <c r="J5" s="3446"/>
      <c r="K5" s="537"/>
      <c r="L5" s="2484"/>
      <c r="M5" s="2485"/>
      <c r="N5" s="2485"/>
      <c r="O5" s="2485"/>
      <c r="P5" s="3440"/>
      <c r="Q5" s="3397"/>
      <c r="R5" s="3402"/>
      <c r="S5" s="3403"/>
      <c r="T5" s="3402"/>
      <c r="U5" s="3403"/>
      <c r="V5" s="3376"/>
      <c r="W5" s="3376"/>
      <c r="X5" s="1265"/>
      <c r="Y5" s="3402"/>
      <c r="Z5" s="3403"/>
      <c r="AA5" s="3388"/>
      <c r="AB5" s="3388"/>
      <c r="AC5" s="3436"/>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441"/>
      <c r="Q6" s="3399"/>
      <c r="R6" s="3402"/>
      <c r="S6" s="3403"/>
      <c r="T6" s="3404"/>
      <c r="U6" s="3405"/>
      <c r="V6" s="3376"/>
      <c r="W6" s="3376"/>
      <c r="X6" s="1265"/>
      <c r="Y6" s="3404"/>
      <c r="Z6" s="3405"/>
      <c r="AA6" s="3389"/>
      <c r="AB6" s="3389"/>
      <c r="AC6" s="3437"/>
    </row>
    <row r="7" spans="1:29" s="102" customFormat="1" ht="15" thickBot="1">
      <c r="A7" s="352" t="s">
        <v>1679</v>
      </c>
      <c r="B7" s="353"/>
      <c r="C7" s="354">
        <f>'数据-取费表'!B2</f>
        <v>45747</v>
      </c>
      <c r="D7" s="355">
        <v>100</v>
      </c>
      <c r="E7" s="356">
        <f>C7</f>
        <v>45747</v>
      </c>
      <c r="F7" s="357">
        <f>SUMIF(59:59,YEAR(E7)&amp;"-"&amp;MONTH(E7),60:60)</f>
        <v>100</v>
      </c>
      <c r="G7" s="356">
        <f>C7</f>
        <v>45747</v>
      </c>
      <c r="H7" s="355">
        <f>SUMIF(59:59,YEAR(G7)&amp;"-"&amp;MONTH(G7),60:60)</f>
        <v>100</v>
      </c>
      <c r="I7" s="356">
        <f>G7</f>
        <v>45747</v>
      </c>
      <c r="J7" s="355">
        <f>SUMIF(59:59,YEAR(I7)&amp;"-"&amp;MONTH(I7),60:60)</f>
        <v>100</v>
      </c>
      <c r="K7" s="38"/>
      <c r="L7" s="2486"/>
      <c r="M7" s="2438"/>
      <c r="N7" s="2438"/>
      <c r="O7" s="2438"/>
      <c r="P7" s="3447"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802">
        <f>D7/J7</f>
        <v>1</v>
      </c>
    </row>
    <row r="8" spans="1:29" s="102" customFormat="1" ht="15" thickBot="1">
      <c r="A8" s="352" t="s">
        <v>1681</v>
      </c>
      <c r="B8" s="353"/>
      <c r="C8" s="358" t="s">
        <v>3425</v>
      </c>
      <c r="D8" s="355">
        <v>100</v>
      </c>
      <c r="E8" s="358" t="s">
        <v>3435</v>
      </c>
      <c r="F8" s="357">
        <f>SUMIF(62:62,E8,63:63)-SUMIF(62:62,C8,63:63)+100</f>
        <v>102</v>
      </c>
      <c r="G8" s="358" t="s">
        <v>3435</v>
      </c>
      <c r="H8" s="355">
        <f>SUMIF(62:62,G8,63:63)-SUMIF(62:62,C8,63:63)+100</f>
        <v>102</v>
      </c>
      <c r="I8" s="358" t="s">
        <v>3435</v>
      </c>
      <c r="J8" s="355">
        <f>SUMIF(62:62,I8,63:63)-SUMIF(62:62,C8,63:63)+100</f>
        <v>102</v>
      </c>
      <c r="K8" s="38"/>
      <c r="L8" s="2486"/>
      <c r="M8" s="2438"/>
      <c r="N8" s="2438"/>
      <c r="O8" s="2438"/>
      <c r="P8" s="3447" t="s">
        <v>1683</v>
      </c>
      <c r="Q8" s="3411"/>
      <c r="R8" s="664" t="s">
        <v>14</v>
      </c>
      <c r="S8" s="665">
        <f t="shared" si="0"/>
        <v>102</v>
      </c>
      <c r="T8" s="664" t="s">
        <v>14</v>
      </c>
      <c r="U8" s="665">
        <f t="shared" si="1"/>
        <v>102</v>
      </c>
      <c r="V8" s="664" t="s">
        <v>14</v>
      </c>
      <c r="W8" s="665">
        <f t="shared" si="2"/>
        <v>102</v>
      </c>
      <c r="X8" s="666"/>
      <c r="Y8" s="3410" t="s">
        <v>1683</v>
      </c>
      <c r="Z8" s="341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3416</v>
      </c>
      <c r="D16" s="387"/>
      <c r="E16" s="1758" t="s">
        <v>3416</v>
      </c>
      <c r="F16" s="387"/>
      <c r="G16" s="1758" t="s">
        <v>3416</v>
      </c>
      <c r="H16" s="389"/>
      <c r="I16" s="1758" t="s">
        <v>3416</v>
      </c>
      <c r="J16" s="387"/>
      <c r="K16" s="541"/>
      <c r="L16" s="2490"/>
      <c r="M16" s="2485"/>
      <c r="N16" s="2485"/>
      <c r="O16" s="2485"/>
      <c r="P16" s="3385"/>
      <c r="Q16" s="1263"/>
      <c r="R16" s="667"/>
      <c r="S16" s="668"/>
      <c r="T16" s="667"/>
      <c r="U16" s="668"/>
      <c r="V16" s="667"/>
      <c r="W16" s="668"/>
      <c r="X16" s="1265"/>
      <c r="Y16" s="3378"/>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t="s">
        <v>3416</v>
      </c>
      <c r="D18" s="389"/>
      <c r="E18" s="1756" t="s">
        <v>3416</v>
      </c>
      <c r="F18" s="389"/>
      <c r="G18" s="1757" t="s">
        <v>3416</v>
      </c>
      <c r="H18" s="387"/>
      <c r="I18" s="1757" t="s">
        <v>3416</v>
      </c>
      <c r="J18" s="387"/>
      <c r="K18" s="541"/>
      <c r="L18" s="2490"/>
      <c r="M18" s="2485"/>
      <c r="N18" s="2485"/>
      <c r="O18" s="2485"/>
      <c r="P18" s="3385"/>
      <c r="Q18" s="1263"/>
      <c r="R18" s="667"/>
      <c r="S18" s="668"/>
      <c r="T18" s="667"/>
      <c r="U18" s="668"/>
      <c r="V18" s="667"/>
      <c r="W18" s="668"/>
      <c r="X18" s="1265"/>
      <c r="Y18" s="3378"/>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3416</v>
      </c>
      <c r="D20" s="387"/>
      <c r="E20" s="1751" t="s">
        <v>3416</v>
      </c>
      <c r="F20" s="387"/>
      <c r="G20" s="1752" t="s">
        <v>3416</v>
      </c>
      <c r="H20" s="387"/>
      <c r="I20" s="1752" t="s">
        <v>3416</v>
      </c>
      <c r="J20" s="387"/>
      <c r="K20" s="541"/>
      <c r="L20" s="2490"/>
      <c r="M20" s="2485"/>
      <c r="N20" s="2485"/>
      <c r="O20" s="2485"/>
      <c r="P20" s="3385"/>
      <c r="Q20" s="1263"/>
      <c r="R20" s="667"/>
      <c r="S20" s="668"/>
      <c r="T20" s="667"/>
      <c r="U20" s="668"/>
      <c r="V20" s="667"/>
      <c r="W20" s="668"/>
      <c r="X20" s="1265"/>
      <c r="Y20" s="3378"/>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3437</v>
      </c>
      <c r="D22" s="387"/>
      <c r="E22" s="386" t="s">
        <v>3437</v>
      </c>
      <c r="F22" s="387"/>
      <c r="G22" s="1758" t="s">
        <v>3437</v>
      </c>
      <c r="H22" s="387"/>
      <c r="I22" s="1758" t="s">
        <v>3437</v>
      </c>
      <c r="J22" s="387"/>
      <c r="K22" s="1064"/>
      <c r="L22" s="2490"/>
      <c r="M22" s="2485"/>
      <c r="N22" s="2485"/>
      <c r="O22" s="2485"/>
      <c r="P22" s="3385"/>
      <c r="Q22" s="1263"/>
      <c r="R22" s="667"/>
      <c r="S22" s="668"/>
      <c r="T22" s="667"/>
      <c r="U22" s="668"/>
      <c r="V22" s="667"/>
      <c r="W22" s="668"/>
      <c r="X22" s="1265"/>
      <c r="Y22" s="3378"/>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3416</v>
      </c>
      <c r="D24" s="387"/>
      <c r="E24" s="1751" t="s">
        <v>3416</v>
      </c>
      <c r="F24" s="387"/>
      <c r="G24" s="1752" t="s">
        <v>3416</v>
      </c>
      <c r="H24" s="387"/>
      <c r="I24" s="1752" t="s">
        <v>3416</v>
      </c>
      <c r="J24" s="387"/>
      <c r="K24" s="541"/>
      <c r="L24" s="2490"/>
      <c r="M24" s="2485"/>
      <c r="N24" s="2485"/>
      <c r="O24" s="2485"/>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t="s">
        <v>3441</v>
      </c>
      <c r="D26" s="374"/>
      <c r="E26" s="558" t="s">
        <v>3441</v>
      </c>
      <c r="F26" s="374"/>
      <c r="G26" s="558" t="s">
        <v>3441</v>
      </c>
      <c r="H26" s="374"/>
      <c r="I26" s="558" t="s">
        <v>3441</v>
      </c>
      <c r="J26" s="374"/>
      <c r="K26" s="541"/>
      <c r="L26" s="2490"/>
      <c r="M26" s="2485"/>
      <c r="N26" s="2485"/>
      <c r="O26" s="2485"/>
      <c r="P26" s="3385"/>
      <c r="Q26" s="1263"/>
      <c r="R26" s="667"/>
      <c r="S26" s="668"/>
      <c r="T26" s="667"/>
      <c r="U26" s="668"/>
      <c r="V26" s="667"/>
      <c r="W26" s="668"/>
      <c r="X26" s="1265"/>
      <c r="Y26" s="3378"/>
      <c r="Z26" s="1264"/>
      <c r="AA26" s="1264">
        <v>1</v>
      </c>
      <c r="AB26" s="1264">
        <v>1</v>
      </c>
      <c r="AC26" s="1812">
        <v>1</v>
      </c>
    </row>
    <row r="27" spans="1:29" ht="15">
      <c r="A27" s="367"/>
      <c r="B27" s="401" t="s">
        <v>1783</v>
      </c>
      <c r="C27" s="558" t="s">
        <v>3444</v>
      </c>
      <c r="D27" s="374">
        <v>100</v>
      </c>
      <c r="E27" s="558" t="s">
        <v>3446</v>
      </c>
      <c r="F27" s="374">
        <f>SUMIF(89:89,E27,90:90)-SUMIF(89:89,C27,90:90)+100</f>
        <v>96</v>
      </c>
      <c r="G27" s="558" t="s">
        <v>3446</v>
      </c>
      <c r="H27" s="374">
        <f>SUMIF(89:89,G27,90:90)-SUMIF(89:89,C27,90:90)+100</f>
        <v>96</v>
      </c>
      <c r="I27" s="558" t="s">
        <v>3446</v>
      </c>
      <c r="J27" s="374">
        <f>SUMIF(89:89,I27,90:90)-SUMIF(89:89,C27,90:90)+100</f>
        <v>96</v>
      </c>
      <c r="K27" s="538">
        <v>4</v>
      </c>
      <c r="L27" s="2490"/>
      <c r="M27" s="2485"/>
      <c r="N27" s="2485"/>
      <c r="O27" s="2485"/>
      <c r="P27" s="3385"/>
      <c r="Q27" s="1263" t="str">
        <f t="shared" ref="Q27:Q47" si="11">B27</f>
        <v>楼层</v>
      </c>
      <c r="R27" s="667" t="s">
        <v>14</v>
      </c>
      <c r="S27" s="668">
        <f>F27</f>
        <v>96</v>
      </c>
      <c r="T27" s="667" t="s">
        <v>14</v>
      </c>
      <c r="U27" s="668">
        <f>H27</f>
        <v>96</v>
      </c>
      <c r="V27" s="667" t="s">
        <v>14</v>
      </c>
      <c r="W27" s="668">
        <f>J27</f>
        <v>96</v>
      </c>
      <c r="X27" s="1265"/>
      <c r="Y27" s="3378"/>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3449</v>
      </c>
      <c r="D33" s="405">
        <v>100</v>
      </c>
      <c r="E33" s="1764" t="s">
        <v>3449</v>
      </c>
      <c r="F33" s="400">
        <f>SUMIF(101:101,E33,102:102)-SUMIF(101:101,C33,102:102)+100</f>
        <v>100</v>
      </c>
      <c r="G33" s="1764" t="s">
        <v>3449</v>
      </c>
      <c r="H33" s="374">
        <f>SUMIF(101:101,G33,102:102)-SUMIF(101:101,C33,102:102)+100</f>
        <v>100</v>
      </c>
      <c r="I33" s="1764" t="s">
        <v>3449</v>
      </c>
      <c r="J33" s="405">
        <f>SUMIF(101:101,I33,102:102)-SUMIF(101:101,C33,102:102)+100</f>
        <v>100</v>
      </c>
      <c r="K33" s="538">
        <v>2</v>
      </c>
      <c r="L33" s="2490"/>
      <c r="M33" s="2485"/>
      <c r="N33" s="2485"/>
      <c r="O33" s="2485"/>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476.94000000000005</v>
      </c>
      <c r="D34" s="119">
        <v>100</v>
      </c>
      <c r="E34" s="369">
        <v>401</v>
      </c>
      <c r="F34" s="364">
        <f>LOOKUP(E34,104:104,105:105)-LOOKUP(C34,104:104,105:105)+100</f>
        <v>100</v>
      </c>
      <c r="G34" s="368">
        <v>81.64</v>
      </c>
      <c r="H34" s="119">
        <f>LOOKUP(G34,104:104,105:105)-LOOKUP(C34,104:104,105:105)+100</f>
        <v>98</v>
      </c>
      <c r="I34" s="368">
        <v>641</v>
      </c>
      <c r="J34" s="119">
        <f>LOOKUP(I34,104:104,105:105)-LOOKUP(C34,104:104,105:105)+100</f>
        <v>99</v>
      </c>
      <c r="K34" s="539"/>
      <c r="L34" s="2489"/>
      <c r="M34" s="2491"/>
      <c r="N34" s="2491"/>
      <c r="O34" s="2491"/>
      <c r="P34" s="3380"/>
      <c r="Q34" s="531" t="str">
        <f t="shared" si="11"/>
        <v>项目建筑规模</v>
      </c>
      <c r="R34" s="669" t="s">
        <v>14</v>
      </c>
      <c r="S34" s="670">
        <f t="shared" si="12"/>
        <v>100</v>
      </c>
      <c r="T34" s="669" t="s">
        <v>14</v>
      </c>
      <c r="U34" s="670">
        <f t="shared" si="13"/>
        <v>98</v>
      </c>
      <c r="V34" s="669" t="s">
        <v>14</v>
      </c>
      <c r="W34" s="670">
        <f t="shared" si="14"/>
        <v>99</v>
      </c>
      <c r="X34" s="671"/>
      <c r="Y34" s="3382"/>
      <c r="Z34" s="672" t="str">
        <f t="shared" si="15"/>
        <v>项目建筑规模</v>
      </c>
      <c r="AA34" s="1264">
        <f t="shared" si="3"/>
        <v>1</v>
      </c>
      <c r="AB34" s="1264">
        <f t="shared" si="4"/>
        <v>1.0204081632653061</v>
      </c>
      <c r="AC34" s="1812">
        <f t="shared" si="5"/>
        <v>1.0101010101010102</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v>2</v>
      </c>
      <c r="L35" s="2490"/>
      <c r="M35" s="2485"/>
      <c r="N35" s="2485"/>
      <c r="O35" s="2485"/>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90"/>
      <c r="M37" s="2485"/>
      <c r="N37" s="2485"/>
      <c r="O37" s="2485"/>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2</v>
      </c>
      <c r="L39" s="2490"/>
      <c r="M39" s="2485"/>
      <c r="N39" s="2485"/>
      <c r="O39" s="2485"/>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t="s">
        <v>3438</v>
      </c>
      <c r="D40" s="374">
        <v>100</v>
      </c>
      <c r="E40" s="399" t="s">
        <v>3438</v>
      </c>
      <c r="F40" s="400">
        <f>SUMIF(117:117,E40,118:118)-SUMIF(117:117,C40,118:118)+100</f>
        <v>100</v>
      </c>
      <c r="G40" s="399" t="s">
        <v>3438</v>
      </c>
      <c r="H40" s="374">
        <f>SUMIF(117:117,G40,118:118)-SUMIF(117:117,C40,118:118)+100</f>
        <v>100</v>
      </c>
      <c r="I40" s="399" t="s">
        <v>3438</v>
      </c>
      <c r="J40" s="374">
        <f>SUMIF(117:117,I40,118:118)-SUMIF(117:117,C40,118:118)+100</f>
        <v>100</v>
      </c>
      <c r="K40" s="538">
        <v>1</v>
      </c>
      <c r="L40" s="2490"/>
      <c r="M40" s="2485"/>
      <c r="N40" s="2485"/>
      <c r="O40" s="2485"/>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5</v>
      </c>
      <c r="L41" s="2490"/>
      <c r="M41" s="2485"/>
      <c r="N41" s="2485"/>
      <c r="O41" s="2485"/>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160" t="s">
        <v>3453</v>
      </c>
      <c r="D43" s="374">
        <v>100</v>
      </c>
      <c r="E43" s="399" t="s">
        <v>3453</v>
      </c>
      <c r="F43" s="400">
        <f>SUMIF(123:123,E43,124:124)-SUMIF(123:123,C43,124:124)+100</f>
        <v>100</v>
      </c>
      <c r="G43" s="399" t="s">
        <v>3453</v>
      </c>
      <c r="H43" s="374">
        <f>SUMIF(123:123,G43,124:124)-SUMIF(123:123,C43,124:124)+100</f>
        <v>100</v>
      </c>
      <c r="I43" s="399" t="s">
        <v>3453</v>
      </c>
      <c r="J43" s="374">
        <f>SUMIF(123:123,I43,124:124)-SUMIF(123:123,C43,124:124)+100</f>
        <v>100</v>
      </c>
      <c r="K43" s="538">
        <v>2</v>
      </c>
      <c r="L43" s="2490"/>
      <c r="M43" s="2485"/>
      <c r="N43" s="2485"/>
      <c r="O43" s="2485"/>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t="s">
        <v>3416</v>
      </c>
      <c r="D44" s="374">
        <v>100</v>
      </c>
      <c r="E44" s="399" t="s">
        <v>3416</v>
      </c>
      <c r="F44" s="400">
        <f>SUMIF(125:125,E44,126:126)-SUMIF(125:125,C44,126:126)+100</f>
        <v>100</v>
      </c>
      <c r="G44" s="399" t="s">
        <v>3416</v>
      </c>
      <c r="H44" s="374">
        <f>SUMIF(125:125,G44,126:126)-SUMIF(125:125,C44,126:126)+100</f>
        <v>100</v>
      </c>
      <c r="I44" s="399" t="s">
        <v>3416</v>
      </c>
      <c r="J44" s="374">
        <f>SUMIF(125:125,I44,126:126)-SUMIF(125:125,C44,126:126)+100</f>
        <v>100</v>
      </c>
      <c r="K44" s="538">
        <v>2</v>
      </c>
      <c r="L44" s="2490"/>
      <c r="M44" s="2485"/>
      <c r="N44" s="2485"/>
      <c r="O44" s="2485"/>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86" t="str">
        <f>A48</f>
        <v>成交单价（元/平方米）</v>
      </c>
      <c r="Q48" s="3375"/>
      <c r="R48" s="3376">
        <f>E48</f>
        <v>36010</v>
      </c>
      <c r="S48" s="3376"/>
      <c r="T48" s="3376">
        <f>G48</f>
        <v>39809</v>
      </c>
      <c r="U48" s="3376"/>
      <c r="V48" s="3376">
        <f>I48</f>
        <v>40000</v>
      </c>
      <c r="W48" s="3376"/>
      <c r="X48" s="385"/>
      <c r="Y48" s="673"/>
      <c r="Z48" s="385"/>
      <c r="AA48" s="385"/>
      <c r="AB48" s="385"/>
      <c r="AC48" s="555"/>
    </row>
    <row r="49" spans="1:29" ht="15" thickBot="1">
      <c r="A49" s="423" t="s">
        <v>1793</v>
      </c>
      <c r="B49" s="424"/>
      <c r="C49" s="1082">
        <f>R50</f>
        <v>39840</v>
      </c>
      <c r="D49" s="2141" t="s">
        <v>2138</v>
      </c>
      <c r="E49" s="1083">
        <f>R49</f>
        <v>36775</v>
      </c>
      <c r="F49" s="2142"/>
      <c r="G49" s="1082">
        <f>T49</f>
        <v>41484</v>
      </c>
      <c r="H49" s="2142"/>
      <c r="I49" s="1083">
        <f>V49</f>
        <v>41262</v>
      </c>
      <c r="J49" s="2142"/>
      <c r="K49" s="2144">
        <f>F49+H49+J49</f>
        <v>0</v>
      </c>
      <c r="L49" s="2492"/>
      <c r="M49" s="2485"/>
      <c r="N49" s="2485"/>
      <c r="O49" s="2485"/>
      <c r="P49" s="3386" t="str">
        <f>A49</f>
        <v>比较价值（元/平方米）</v>
      </c>
      <c r="Q49" s="3375"/>
      <c r="R49" s="3376">
        <f>IF(F1="售价",ROUND(PRODUCT(R48,AA7:AA47),0),ROUND(PRODUCT(R48,AA7:AA47),1))</f>
        <v>36775</v>
      </c>
      <c r="S49" s="3376"/>
      <c r="T49" s="3376">
        <f>IF(F1="售价",ROUND(PRODUCT(T48,AB7:AB47),0),ROUND(PRODUCT(T48,AB7:AB47),1))</f>
        <v>41484</v>
      </c>
      <c r="U49" s="3376"/>
      <c r="V49" s="3376">
        <f>IF(F1="售价",ROUND(PRODUCT(V48,AC7:AC47),0),ROUND(PRODUCT(V48,AC7:AC47),1))</f>
        <v>41262</v>
      </c>
      <c r="W49" s="3376"/>
      <c r="X49" s="385"/>
      <c r="Y49" s="385"/>
      <c r="Z49" s="385"/>
      <c r="AA49" s="385"/>
      <c r="AB49" s="385"/>
      <c r="AC49" s="555"/>
    </row>
    <row r="50" spans="1:29" ht="15" thickBot="1">
      <c r="A50" s="427" t="s">
        <v>1794</v>
      </c>
      <c r="B50" s="428"/>
      <c r="C50" s="351">
        <f>R50</f>
        <v>39840</v>
      </c>
      <c r="D50" s="351"/>
      <c r="E50" s="351"/>
      <c r="F50" s="351"/>
      <c r="G50" s="351"/>
      <c r="H50" s="351"/>
      <c r="I50" s="351"/>
      <c r="J50" s="429"/>
      <c r="K50" s="675"/>
      <c r="L50" s="2492"/>
      <c r="M50" s="2485"/>
      <c r="N50" s="2485"/>
      <c r="O50" s="2485"/>
      <c r="P50" s="3432" t="str">
        <f>A50</f>
        <v>估价对象XX用房的比较价值（楼面单价，元/平方米）</v>
      </c>
      <c r="Q50" s="3433"/>
      <c r="R50" s="3434">
        <f>IF(F1="售价",ROUND(IF(D49="简单平均",AVERAGE(R49:V49),R49*F49+T49*H49+V49*J49),0),ROUND(IF(D49="简单平均",AVERAGE(R49:V49),R49*F49+T49*H49+V49*J49),1))</f>
        <v>39840</v>
      </c>
      <c r="S50" s="3434"/>
      <c r="T50" s="3434"/>
      <c r="U50" s="3434"/>
      <c r="V50" s="3434"/>
      <c r="W50" s="343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2.1244098861427307E-2</v>
      </c>
      <c r="F53" s="435" t="str">
        <f>IF(OR(E53&gt;=0.3,E53&lt;=-0.3),"超过30%","")</f>
        <v/>
      </c>
      <c r="G53" s="434">
        <f>IF(G48&lt;G49,G49/G48-1,G48/G49-1)</f>
        <v>4.2075912482101963E-2</v>
      </c>
      <c r="H53" s="435" t="str">
        <f>IF(OR(G53&gt;=0.3,G53&lt;=-0.3),"超过30%","")</f>
        <v/>
      </c>
      <c r="I53" s="434">
        <f>IF(I48&lt;I49,I49/I48-1,I48/I49-1)</f>
        <v>3.1549999999999967E-2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0.12804894629503738</v>
      </c>
      <c r="F54" s="435" t="str">
        <f>IF(OR(E54&gt;=0.2,E54&lt;=-0.2),"超过20%","")</f>
        <v/>
      </c>
      <c r="G54" s="434">
        <f>IF(G49&lt;I49,I49/G49-1,G49/I49-1)</f>
        <v>5.3802530173041596E-3</v>
      </c>
      <c r="H54" s="435" t="str">
        <f>IF(OR(G54&gt;=0.2,G54&lt;=-0.2),"超过20%","")</f>
        <v/>
      </c>
      <c r="I54" s="434">
        <f>IF(I49&lt;E49,E49/I49-1,I49/E49-1)</f>
        <v>0.12201223657375926</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3427</v>
      </c>
      <c r="D66" s="3154" t="s">
        <v>3428</v>
      </c>
      <c r="E66" s="3154" t="s">
        <v>3429</v>
      </c>
      <c r="F66" s="513" t="s">
        <v>3430</v>
      </c>
      <c r="G66" s="513" t="s">
        <v>3431</v>
      </c>
      <c r="H66" s="513" t="s">
        <v>3432</v>
      </c>
      <c r="I66" s="513" t="s">
        <v>3433</v>
      </c>
      <c r="J66" s="513" t="s">
        <v>3434</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3439</v>
      </c>
      <c r="D87" s="3157" t="s">
        <v>3440</v>
      </c>
      <c r="E87" s="3157" t="s">
        <v>3442</v>
      </c>
      <c r="F87" s="3157" t="s">
        <v>3443</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3445</v>
      </c>
      <c r="D89" s="3157" t="s">
        <v>3447</v>
      </c>
      <c r="E89" s="3157" t="s">
        <v>3448</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3450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3452</v>
      </c>
      <c r="D108" s="3157" t="s">
        <v>3454</v>
      </c>
      <c r="E108" s="3157" t="s">
        <v>3455</v>
      </c>
      <c r="F108" s="3159" t="s">
        <v>3456</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3458</v>
      </c>
      <c r="D115" s="3157" t="s">
        <v>3459</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3460</v>
      </c>
      <c r="D117" s="3157" t="s">
        <v>3461</v>
      </c>
      <c r="E117" s="3157" t="s">
        <v>3462</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3452</v>
      </c>
      <c r="D123" s="3157" t="s">
        <v>3454</v>
      </c>
      <c r="E123" s="3157" t="s">
        <v>3455</v>
      </c>
      <c r="F123" s="3159" t="s">
        <v>3456</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7" priority="16" stopIfTrue="1">
      <formula>$F$53="超过30%"</formula>
    </cfRule>
  </conditionalFormatting>
  <conditionalFormatting sqref="E54">
    <cfRule type="expression" dxfId="46" priority="15" stopIfTrue="1">
      <formula>$F$54="超过20%"</formula>
    </cfRule>
  </conditionalFormatting>
  <conditionalFormatting sqref="E55">
    <cfRule type="expression" dxfId="45" priority="14" stopIfTrue="1">
      <formula>$F$55="超过30%"</formula>
    </cfRule>
  </conditionalFormatting>
  <conditionalFormatting sqref="F7:F47 H7:H47 J7:J47">
    <cfRule type="cellIs" dxfId="44" priority="1" operator="notEqual">
      <formula>100</formula>
    </cfRule>
  </conditionalFormatting>
  <conditionalFormatting sqref="F49">
    <cfRule type="expression" dxfId="43" priority="4">
      <formula>$D$49="简单平均"</formula>
    </cfRule>
  </conditionalFormatting>
  <conditionalFormatting sqref="F53:F55 H53:H55">
    <cfRule type="containsText" dxfId="42" priority="17" stopIfTrue="1" operator="containsText" text="超过">
      <formula>NOT(ISERROR(SEARCH("超过",F53)))</formula>
    </cfRule>
  </conditionalFormatting>
  <conditionalFormatting sqref="G53">
    <cfRule type="expression" dxfId="41" priority="12" stopIfTrue="1">
      <formula>$H$53="超过30%"</formula>
    </cfRule>
  </conditionalFormatting>
  <conditionalFormatting sqref="G54">
    <cfRule type="expression" dxfId="40" priority="11" stopIfTrue="1">
      <formula>$H$54="超过20%"</formula>
    </cfRule>
  </conditionalFormatting>
  <conditionalFormatting sqref="G55">
    <cfRule type="expression" dxfId="39" priority="13" stopIfTrue="1">
      <formula>$H$55="超过30%"</formula>
    </cfRule>
  </conditionalFormatting>
  <conditionalFormatting sqref="H49">
    <cfRule type="expression" dxfId="38" priority="3">
      <formula>$D$49="简单平均"</formula>
    </cfRule>
  </conditionalFormatting>
  <conditionalFormatting sqref="I53">
    <cfRule type="expression" dxfId="37" priority="7" stopIfTrue="1">
      <formula>$J$53="超过30%"</formula>
    </cfRule>
  </conditionalFormatting>
  <conditionalFormatting sqref="I54">
    <cfRule type="expression" dxfId="36" priority="6" stopIfTrue="1">
      <formula>$J$53+$J$54="超过20%"</formula>
    </cfRule>
  </conditionalFormatting>
  <conditionalFormatting sqref="I55">
    <cfRule type="expression" dxfId="35" priority="5" stopIfTrue="1">
      <formula>$J$55="超过30%"</formula>
    </cfRule>
  </conditionalFormatting>
  <conditionalFormatting sqref="J49">
    <cfRule type="expression" dxfId="34" priority="2">
      <formula>$D$49="简单平均"</formula>
    </cfRule>
  </conditionalFormatting>
  <conditionalFormatting sqref="J53:J55">
    <cfRule type="containsText" dxfId="33"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topLeftCell="A25" zoomScaleNormal="80" zoomScaleSheetLayoutView="100" workbookViewId="0">
      <selection activeCell="L20" sqref="L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476.94000000000005</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1010</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35896</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21177</v>
      </c>
      <c r="C3" s="1846" t="s">
        <v>1941</v>
      </c>
      <c r="D3" s="162" t="s">
        <v>1942</v>
      </c>
      <c r="E3" s="3116" t="s">
        <v>3415</v>
      </c>
      <c r="F3" s="1848" t="s">
        <v>3487</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28498</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24624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22282</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21237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7"/>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2" t="s">
        <v>3250</v>
      </c>
      <c r="B20" s="159" t="s">
        <v>1994</v>
      </c>
      <c r="C20" s="3029">
        <f>ROUND(IF(F21="与级别开发程度一致",0,(G21-E21)/C21),0)</f>
        <v>-31</v>
      </c>
      <c r="D20" s="3044" t="s">
        <v>1998</v>
      </c>
      <c r="E20" s="3045"/>
      <c r="F20" s="3468" t="s">
        <v>1995</v>
      </c>
      <c r="G20" s="3469"/>
      <c r="H20" s="3030" t="s">
        <v>3466</v>
      </c>
      <c r="I20" s="3030" t="s">
        <v>3467</v>
      </c>
      <c r="J20" s="3031" t="s">
        <v>3468</v>
      </c>
      <c r="K20" s="1889" t="s">
        <v>3469</v>
      </c>
      <c r="L20" s="1889" t="s">
        <v>3470</v>
      </c>
      <c r="M20" s="1889" t="s">
        <v>3471</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3465</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45747</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0.68240000000000001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18.850000000000001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1010</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21175</v>
      </c>
      <c r="D33" s="1940">
        <f>'数据-汇总表'!E19</f>
        <v>476.94000000000005</v>
      </c>
      <c r="E33" s="727">
        <f>ROUND(C33*D33/10000,0)</f>
        <v>1010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5294</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f>ROUND(D5*C22*C23*C24*C28*F37,0)</f>
        <v>16201</v>
      </c>
      <c r="D37" s="1940"/>
      <c r="E37" s="163">
        <f>ROUND(C37*D37/10000,0)</f>
        <v>0</v>
      </c>
      <c r="F37" s="163">
        <f>SUMIF(修正!A57:A68,G2,修正!B57:B68)</f>
        <v>0.7</v>
      </c>
      <c r="G37" s="163">
        <f>ROUND(IF(E2="工业",C37*$M$42,C37*$M$41),0)</f>
        <v>4050</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9257</v>
      </c>
      <c r="D38" s="1940"/>
      <c r="E38" s="163">
        <f t="shared" ref="E38:E42" si="4">ROUND(C38*D38/10000,0)</f>
        <v>0</v>
      </c>
      <c r="F38" s="163">
        <f>SUMIF(修正!A57:A68,G2,修正!C57:C68)</f>
        <v>0.4</v>
      </c>
      <c r="G38" s="163">
        <f>ROUND(IF(E2="工业",C38*$M$42,C38*$M$41),0)</f>
        <v>2314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3255</v>
      </c>
      <c r="C39" s="167">
        <f>ROUND(D5*C22*C23*C24*C28*F39,0)</f>
        <v>6943</v>
      </c>
      <c r="D39" s="1940"/>
      <c r="E39" s="163">
        <f t="shared" si="4"/>
        <v>0</v>
      </c>
      <c r="F39" s="163">
        <f>SUMIF(修正!A57:A68,G2,修正!D57:D68)</f>
        <v>0.3</v>
      </c>
      <c r="G39" s="163">
        <f>ROUND(IF(E2="工业",C39*$M$42,C39*$M$41),0)</f>
        <v>1736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6943</v>
      </c>
      <c r="D40" s="1940"/>
      <c r="E40" s="163">
        <f t="shared" si="4"/>
        <v>0</v>
      </c>
      <c r="F40" s="167">
        <f>SUMIF(修正!A57:A68,G2,修正!E57:E68)</f>
        <v>0.3</v>
      </c>
      <c r="G40" s="163">
        <f>ROUND(IF(E2="工业",C40*$M$42,C40*$M$41),0)</f>
        <v>1736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3416</v>
      </c>
      <c r="D61" s="1002">
        <f t="shared" ref="D61:D69" si="12">SUMIF($J$60:$N$60,C61,J61:N61)</f>
        <v>1.0200000000000001E-2</v>
      </c>
      <c r="E61" s="702">
        <f>ROUND(SUM(D61:D69),4)</f>
        <v>4.3900000000000002E-2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3416</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3416</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3416</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3416</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3416</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customHeight="1">
      <c r="A67" s="1970" t="s">
        <v>2059</v>
      </c>
      <c r="B67" s="1240" t="str">
        <f>估价对象房地状况!C21</f>
        <v>估价对象所在区域银行、购物场所、学校等公共配套设施齐备，综合评价公共配套设施水平较好</v>
      </c>
      <c r="C67" s="1887" t="s">
        <v>3416</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3417</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3416</v>
      </c>
      <c r="D69" s="1002">
        <f t="shared" si="12"/>
        <v>2.5999999999999999E-3</v>
      </c>
      <c r="E69" s="704"/>
      <c r="F69" s="1675"/>
      <c r="G69" s="1000">
        <v>2.5999999999999999E-3</v>
      </c>
      <c r="H69" s="1003">
        <f t="shared" si="13"/>
        <v>2.8E-3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4" t="s">
        <v>3290</v>
      </c>
      <c r="B103" s="3464"/>
      <c r="C103" s="3464"/>
      <c r="D103" s="3464"/>
      <c r="E103" s="3464"/>
      <c r="F103" s="3464"/>
      <c r="G103" s="3464"/>
      <c r="H103" s="3464"/>
      <c r="I103" s="3464"/>
      <c r="J103" s="3464"/>
      <c r="K103" s="1667"/>
      <c r="L103" s="1667"/>
      <c r="M103" s="1667"/>
      <c r="N103" s="1667"/>
    </row>
    <row r="104" spans="1:14">
      <c r="A104" s="3465" t="s">
        <v>3291</v>
      </c>
      <c r="B104" s="3465" t="s">
        <v>3292</v>
      </c>
      <c r="C104" s="3088" t="s">
        <v>3293</v>
      </c>
      <c r="D104" s="3089"/>
      <c r="E104" s="3089"/>
      <c r="F104" s="3089"/>
      <c r="G104" s="3089"/>
      <c r="H104" s="3089"/>
      <c r="I104" s="3089"/>
      <c r="J104" s="3090"/>
      <c r="K104" s="3091"/>
      <c r="L104" s="3091"/>
      <c r="M104" s="3091"/>
      <c r="N104" s="3091"/>
    </row>
    <row r="105" spans="1:14">
      <c r="A105" s="3465"/>
      <c r="B105" s="3465"/>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51"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2"/>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4" t="s">
        <v>3307</v>
      </c>
      <c r="B113" s="3454"/>
      <c r="C113" s="3454"/>
      <c r="D113" s="3454"/>
      <c r="E113" s="3454"/>
      <c r="F113" s="3454"/>
      <c r="G113" s="3454"/>
      <c r="H113" s="3454"/>
      <c r="I113" s="3454"/>
      <c r="J113" s="345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3310</v>
      </c>
      <c r="F116" s="3099" t="str">
        <f>E2</f>
        <v>办公</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1957.8934999999999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41051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11399581</v>
      </c>
      <c r="D5" s="203" t="s">
        <v>1469</v>
      </c>
      <c r="E5" s="204" t="s">
        <v>1470</v>
      </c>
      <c r="F5" s="204" t="s">
        <v>1471</v>
      </c>
      <c r="G5" s="205"/>
    </row>
    <row r="6" spans="1:8" s="206" customFormat="1" ht="13.5" customHeight="1">
      <c r="A6" s="732" t="s">
        <v>1472</v>
      </c>
      <c r="B6" s="207" t="s">
        <v>1473</v>
      </c>
      <c r="C6" s="208">
        <f ca="1">ROUND(23000*D10,0)</f>
        <v>10969620</v>
      </c>
      <c r="D6" s="209"/>
      <c r="E6" s="210"/>
      <c r="F6" s="210"/>
      <c r="G6" s="211"/>
    </row>
    <row r="7" spans="1:8" s="206" customFormat="1" ht="13.5" customHeight="1">
      <c r="A7" s="732" t="s">
        <v>1474</v>
      </c>
      <c r="B7" s="207" t="s">
        <v>1475</v>
      </c>
      <c r="C7" s="212">
        <f ca="1">ROUND(C6*F7,0)</f>
        <v>334573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95388</v>
      </c>
      <c r="D8" s="214"/>
      <c r="E8" s="212"/>
      <c r="F8" s="213"/>
      <c r="G8" s="1714" t="s">
        <v>3418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95388</v>
      </c>
      <c r="D10" s="795">
        <f ca="1">IF(B1="",'数据-汇总表'!E6,IF(INDIRECT("'数据-取费表'!c"&amp;$G$1)="住宅",INDIRECT("'数据-取费表'!s"&amp;$G$1),INDIRECT("'数据-取费表'!k"&amp;$G$1)+INDIRECT("'数据-取费表'!s"&amp;$G$1)))</f>
        <v>476.94000000000005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476.94000000000005</v>
      </c>
      <c r="E19" s="203">
        <f>'数据-取费表'!B31</f>
        <v>200</v>
      </c>
      <c r="F19" s="223"/>
      <c r="G19" s="1714" t="s">
        <v>3419</v>
      </c>
    </row>
    <row r="20" spans="1:7" s="206" customFormat="1" ht="13.5" customHeight="1">
      <c r="A20" s="247" t="s">
        <v>1574</v>
      </c>
      <c r="B20" s="202" t="s">
        <v>1575</v>
      </c>
      <c r="C20" s="224">
        <f ca="1">ROUND((C5+C19)*F20,0)</f>
        <v>284990</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1106720</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1093366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13354</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2336914</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2336914</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16637199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3033338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2670864</v>
      </c>
      <c r="D34" s="209"/>
      <c r="E34" s="212"/>
      <c r="F34" s="249"/>
      <c r="G34" s="211"/>
    </row>
    <row r="35" spans="1:7" ht="13.5" customHeight="1">
      <c r="A35" s="734" t="s">
        <v>351</v>
      </c>
      <c r="B35" s="207" t="s">
        <v>1527</v>
      </c>
      <c r="C35" s="212">
        <f ca="1">ROUND(C34*F35,0)</f>
        <v>213669</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95388</v>
      </c>
      <c r="D37" s="209">
        <f ca="1">D19</f>
        <v>476.94000000000005</v>
      </c>
      <c r="E37" s="241">
        <f>'数据-取费表'!B35</f>
        <v>200</v>
      </c>
      <c r="F37" s="251"/>
      <c r="G37" s="253"/>
    </row>
    <row r="38" spans="1:7" ht="13.5" customHeight="1">
      <c r="A38" s="734" t="s">
        <v>354</v>
      </c>
      <c r="B38" s="207" t="s">
        <v>1533</v>
      </c>
      <c r="C38" s="212">
        <f ca="1">ROUND(C34*F38,0)</f>
        <v>53417</v>
      </c>
      <c r="D38" s="212"/>
      <c r="E38" s="212"/>
      <c r="F38" s="251">
        <f>'数据-取费表'!B36</f>
        <v>0.02</v>
      </c>
      <c r="G38" s="211" t="s">
        <v>1528</v>
      </c>
    </row>
    <row r="39" spans="1:7" s="206" customFormat="1" ht="13.5" customHeight="1">
      <c r="A39" s="247" t="s">
        <v>1534</v>
      </c>
      <c r="B39" s="202" t="s">
        <v>1535</v>
      </c>
      <c r="C39" s="224">
        <f ca="1">ROUND(C33*F20,0)</f>
        <v>75833</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145691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142138</v>
      </c>
      <c r="D42" s="230"/>
      <c r="E42" s="230"/>
      <c r="F42" s="231"/>
      <c r="G42" s="3348" t="s">
        <v>1591</v>
      </c>
    </row>
    <row r="43" spans="1:7" ht="13.5" customHeight="1">
      <c r="A43" s="734" t="s">
        <v>347</v>
      </c>
      <c r="B43" s="207" t="s">
        <v>1545</v>
      </c>
      <c r="C43" s="230">
        <f ca="1">ROUND(IF('数据-取费表'!B22&lt;=1,C39*F22*'数据-取费表'!B20/2,C39*(POWER((1+F22),'数据-取费表'!B20/2)-1)),0)</f>
        <v>3553</v>
      </c>
      <c r="D43" s="230"/>
      <c r="E43" s="230"/>
      <c r="F43" s="231"/>
      <c r="G43" s="3349"/>
    </row>
    <row r="44" spans="1:7" ht="13.5" customHeight="1">
      <c r="A44" s="734" t="s">
        <v>348</v>
      </c>
      <c r="B44" s="207" t="s">
        <v>1546</v>
      </c>
      <c r="C44" s="230">
        <f ca="1">ROUND(IF('数据-取费表'!B22&lt;=1,C40*F22*'数据-取费表'!B20/2,C40*(POWER((1+F22),'数据-取费表'!B20/2)-1)),4)</f>
        <v>1.4E-3</v>
      </c>
      <c r="D44" s="230"/>
      <c r="E44" s="230"/>
      <c r="F44" s="231"/>
      <c r="G44" s="3350"/>
    </row>
    <row r="45" spans="1:7" s="206" customFormat="1" ht="13.5" customHeight="1">
      <c r="A45" s="247" t="s">
        <v>1547</v>
      </c>
      <c r="B45" s="236" t="s">
        <v>1513</v>
      </c>
      <c r="C45" s="237">
        <f ca="1">C46</f>
        <v>621834</v>
      </c>
      <c r="D45" s="227">
        <f ca="1">C47</f>
        <v>6.0000000000000001E-3</v>
      </c>
      <c r="E45" s="228" t="s">
        <v>1539</v>
      </c>
      <c r="F45" s="238">
        <f ca="1">F27</f>
        <v>0.2</v>
      </c>
      <c r="G45" s="239" t="s">
        <v>1548</v>
      </c>
    </row>
    <row r="46" spans="1:7" s="206" customFormat="1" ht="13.5" customHeight="1">
      <c r="A46" s="734" t="s">
        <v>346</v>
      </c>
      <c r="B46" s="240" t="s">
        <v>1549</v>
      </c>
      <c r="C46" s="241">
        <f ca="1">ROUND((C33+C39)*F27,0)</f>
        <v>621834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4263385</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2941736</v>
      </c>
      <c r="D51" s="224"/>
      <c r="E51" s="224"/>
      <c r="F51" s="256"/>
      <c r="G51" s="226" t="s">
        <v>1560</v>
      </c>
    </row>
    <row r="52" spans="1:7" s="200" customFormat="1" ht="16.8" thickBot="1">
      <c r="A52" s="257" t="s">
        <v>1561</v>
      </c>
      <c r="B52" s="258"/>
      <c r="C52" s="259">
        <f ca="1">C31+C51</f>
        <v>19578935</v>
      </c>
      <c r="D52" s="258"/>
      <c r="E52" s="258"/>
      <c r="F52" s="258"/>
      <c r="G52" s="260"/>
    </row>
    <row r="55" spans="1:7" ht="15">
      <c r="B55" s="262" t="s">
        <v>1562</v>
      </c>
      <c r="C55" s="263"/>
    </row>
    <row r="56" spans="1:7">
      <c r="B56" s="265" t="s">
        <v>802</v>
      </c>
      <c r="C56" s="267">
        <f ca="1">1-C57</f>
        <v>0.85</v>
      </c>
    </row>
    <row r="57" spans="1:7">
      <c r="B57" s="265" t="s">
        <v>803</v>
      </c>
      <c r="C57" s="266">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9" t="s">
        <v>2603</v>
      </c>
      <c r="B20" s="3474" t="s">
        <v>2624</v>
      </c>
      <c r="C20" s="2840" t="s">
        <v>2435</v>
      </c>
      <c r="D20" s="2841"/>
      <c r="E20" s="2842">
        <v>1</v>
      </c>
      <c r="F20" s="2843" t="s">
        <v>2436</v>
      </c>
      <c r="G20" s="2843"/>
    </row>
    <row r="21" spans="1:13" ht="19.5" customHeight="1">
      <c r="A21" s="3480"/>
      <c r="B21" s="3473"/>
      <c r="C21" s="2844" t="s">
        <v>2437</v>
      </c>
      <c r="D21" s="2845"/>
      <c r="E21" s="2846">
        <v>1</v>
      </c>
      <c r="F21" s="2843" t="s">
        <v>2438</v>
      </c>
      <c r="G21" s="2843"/>
    </row>
    <row r="22" spans="1:13" ht="19.5" customHeight="1">
      <c r="A22" s="3480"/>
      <c r="B22" s="3473"/>
      <c r="C22" s="2844" t="s">
        <v>2439</v>
      </c>
      <c r="D22" s="2845"/>
      <c r="E22" s="2846">
        <v>0.9</v>
      </c>
      <c r="F22" s="2843" t="s">
        <v>2440</v>
      </c>
      <c r="G22" s="2843"/>
    </row>
    <row r="23" spans="1:13" ht="19.5" customHeight="1">
      <c r="A23" s="3480"/>
      <c r="B23" s="3473"/>
      <c r="C23" s="2844" t="s">
        <v>2441</v>
      </c>
      <c r="D23" s="2845"/>
      <c r="E23" s="2846">
        <v>0.9</v>
      </c>
      <c r="F23" s="2843" t="s">
        <v>2442</v>
      </c>
      <c r="G23" s="2843"/>
    </row>
    <row r="24" spans="1:13" ht="19.5" customHeight="1">
      <c r="A24" s="3480"/>
      <c r="B24" s="3473"/>
      <c r="C24" s="2844" t="s">
        <v>2443</v>
      </c>
      <c r="D24" s="2845"/>
      <c r="E24" s="2846">
        <v>0.8</v>
      </c>
      <c r="F24" s="2843" t="s">
        <v>2444</v>
      </c>
      <c r="G24" s="2843"/>
    </row>
    <row r="25" spans="1:13" ht="19.5" customHeight="1" thickBot="1">
      <c r="A25" s="3481"/>
      <c r="B25" s="3475"/>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6" t="s">
        <v>2627</v>
      </c>
      <c r="B27" s="3474" t="s">
        <v>2608</v>
      </c>
      <c r="C27" s="2840" t="s">
        <v>2448</v>
      </c>
      <c r="D27" s="2841"/>
      <c r="E27" s="2842">
        <v>1</v>
      </c>
      <c r="F27" s="2843" t="s">
        <v>2449</v>
      </c>
      <c r="G27" s="2843"/>
    </row>
    <row r="28" spans="1:13" ht="19.5" customHeight="1">
      <c r="A28" s="3477"/>
      <c r="B28" s="3473"/>
      <c r="C28" s="2844" t="s">
        <v>2450</v>
      </c>
      <c r="D28" s="2845"/>
      <c r="E28" s="2846">
        <v>1</v>
      </c>
      <c r="F28" s="2843" t="s">
        <v>2451</v>
      </c>
      <c r="G28" s="2843"/>
    </row>
    <row r="29" spans="1:13" ht="19.5" customHeight="1">
      <c r="A29" s="3477"/>
      <c r="B29" s="3473"/>
      <c r="C29" s="2844" t="s">
        <v>2452</v>
      </c>
      <c r="D29" s="2845"/>
      <c r="E29" s="2846">
        <v>0.8</v>
      </c>
      <c r="F29" s="2843" t="s">
        <v>2453</v>
      </c>
      <c r="G29" s="2843"/>
    </row>
    <row r="30" spans="1:13" ht="19.5" customHeight="1">
      <c r="A30" s="3477"/>
      <c r="B30" s="3473"/>
      <c r="C30" s="2844" t="s">
        <v>2454</v>
      </c>
      <c r="D30" s="2845"/>
      <c r="E30" s="2846">
        <v>0.8</v>
      </c>
      <c r="F30" s="2843" t="s">
        <v>2455</v>
      </c>
      <c r="G30" s="2843"/>
    </row>
    <row r="31" spans="1:13" ht="19.5" customHeight="1">
      <c r="A31" s="3477"/>
      <c r="B31" s="3473"/>
      <c r="C31" s="2844" t="s">
        <v>2456</v>
      </c>
      <c r="D31" s="2845"/>
      <c r="E31" s="2846">
        <v>0.8</v>
      </c>
      <c r="F31" s="2843" t="s">
        <v>2457</v>
      </c>
      <c r="G31" s="2843"/>
    </row>
    <row r="32" spans="1:13" ht="19.5" customHeight="1">
      <c r="A32" s="3477"/>
      <c r="B32" s="3473"/>
      <c r="C32" s="2844" t="s">
        <v>2458</v>
      </c>
      <c r="D32" s="2845"/>
      <c r="E32" s="2846">
        <v>0.7</v>
      </c>
      <c r="F32" s="2843" t="s">
        <v>2459</v>
      </c>
      <c r="G32" s="2843"/>
    </row>
    <row r="33" spans="1:7" ht="19.5" customHeight="1">
      <c r="A33" s="3477"/>
      <c r="B33" s="3473"/>
      <c r="C33" s="2844" t="s">
        <v>2460</v>
      </c>
      <c r="D33" s="2845"/>
      <c r="E33" s="2846">
        <v>0.8</v>
      </c>
      <c r="F33" s="2843" t="s">
        <v>2461</v>
      </c>
      <c r="G33" s="2843"/>
    </row>
    <row r="34" spans="1:7" ht="19.5" customHeight="1">
      <c r="A34" s="3477"/>
      <c r="B34" s="3473"/>
      <c r="C34" s="2844" t="s">
        <v>2462</v>
      </c>
      <c r="D34" s="2845"/>
      <c r="E34" s="2846">
        <v>0.6</v>
      </c>
      <c r="F34" s="2843" t="s">
        <v>2463</v>
      </c>
      <c r="G34" s="2843"/>
    </row>
    <row r="35" spans="1:7" ht="19.5" customHeight="1">
      <c r="A35" s="3477"/>
      <c r="B35" s="3473"/>
      <c r="C35" s="2844" t="s">
        <v>2464</v>
      </c>
      <c r="D35" s="2845"/>
      <c r="E35" s="2846">
        <v>0.2</v>
      </c>
      <c r="F35" s="2843" t="s">
        <v>2465</v>
      </c>
      <c r="G35" s="2843"/>
    </row>
    <row r="36" spans="1:7" ht="19.5" customHeight="1">
      <c r="A36" s="3477"/>
      <c r="B36" s="3473"/>
      <c r="C36" s="2844" t="s">
        <v>2466</v>
      </c>
      <c r="D36" s="2845"/>
      <c r="E36" s="2846">
        <v>0.2</v>
      </c>
      <c r="F36" s="2843" t="s">
        <v>2467</v>
      </c>
      <c r="G36" s="2843"/>
    </row>
    <row r="37" spans="1:7" ht="19.5" customHeight="1">
      <c r="A37" s="3477"/>
      <c r="B37" s="3471" t="s">
        <v>2628</v>
      </c>
      <c r="C37" s="2844" t="s">
        <v>2468</v>
      </c>
      <c r="D37" s="2845"/>
      <c r="E37" s="2846">
        <v>0.6</v>
      </c>
      <c r="F37" s="2843" t="s">
        <v>2469</v>
      </c>
      <c r="G37" s="2843"/>
    </row>
    <row r="38" spans="1:7" ht="19.5" customHeight="1">
      <c r="A38" s="3477"/>
      <c r="B38" s="3473"/>
      <c r="C38" s="2844" t="s">
        <v>2470</v>
      </c>
      <c r="D38" s="2845"/>
      <c r="E38" s="2846">
        <v>0.6</v>
      </c>
      <c r="F38" s="2843" t="s">
        <v>2471</v>
      </c>
      <c r="G38" s="2843"/>
    </row>
    <row r="39" spans="1:7" ht="19.5" customHeight="1" thickBot="1">
      <c r="A39" s="3478"/>
      <c r="B39" s="3475"/>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9" t="s">
        <v>2606</v>
      </c>
      <c r="B41" s="3474" t="s">
        <v>2630</v>
      </c>
      <c r="C41" s="2840" t="s">
        <v>2475</v>
      </c>
      <c r="D41" s="2841"/>
      <c r="E41" s="2842">
        <v>1</v>
      </c>
      <c r="F41" s="2843" t="s">
        <v>2476</v>
      </c>
      <c r="G41" s="2843"/>
    </row>
    <row r="42" spans="1:7" ht="19.5" customHeight="1">
      <c r="A42" s="3480"/>
      <c r="B42" s="3473"/>
      <c r="C42" s="2844" t="s">
        <v>2477</v>
      </c>
      <c r="D42" s="2845"/>
      <c r="E42" s="2846">
        <v>1</v>
      </c>
      <c r="F42" s="2843" t="s">
        <v>2478</v>
      </c>
      <c r="G42" s="2843"/>
    </row>
    <row r="43" spans="1:7" ht="19.5" customHeight="1">
      <c r="A43" s="3480"/>
      <c r="B43" s="3472"/>
      <c r="C43" s="2844" t="s">
        <v>2479</v>
      </c>
      <c r="D43" s="2845"/>
      <c r="E43" s="2846">
        <v>1.5</v>
      </c>
      <c r="F43" s="2843" t="s">
        <v>2480</v>
      </c>
      <c r="G43" s="2843"/>
    </row>
    <row r="44" spans="1:7" ht="19.5" customHeight="1">
      <c r="A44" s="3480"/>
      <c r="B44" s="2855" t="s">
        <v>2631</v>
      </c>
      <c r="C44" s="2844" t="s">
        <v>2632</v>
      </c>
      <c r="D44" s="2845"/>
      <c r="E44" s="2846">
        <v>2</v>
      </c>
      <c r="F44" s="2843" t="s">
        <v>2481</v>
      </c>
      <c r="G44" s="2843"/>
    </row>
    <row r="45" spans="1:7" ht="19.5" customHeight="1">
      <c r="A45" s="3480"/>
      <c r="B45" s="3471" t="s">
        <v>2633</v>
      </c>
      <c r="C45" s="2844" t="s">
        <v>2482</v>
      </c>
      <c r="D45" s="2845"/>
      <c r="E45" s="2846">
        <v>1</v>
      </c>
      <c r="F45" s="2843" t="s">
        <v>2483</v>
      </c>
      <c r="G45" s="2843"/>
    </row>
    <row r="46" spans="1:7" ht="19.5" customHeight="1">
      <c r="A46" s="3480"/>
      <c r="B46" s="3473"/>
      <c r="C46" s="2844" t="s">
        <v>2484</v>
      </c>
      <c r="D46" s="2845"/>
      <c r="E46" s="2846">
        <v>1</v>
      </c>
      <c r="F46" s="2843" t="s">
        <v>2485</v>
      </c>
      <c r="G46" s="2843"/>
    </row>
    <row r="47" spans="1:7" ht="19.5" customHeight="1">
      <c r="A47" s="3480"/>
      <c r="B47" s="3473"/>
      <c r="C47" s="2844" t="s">
        <v>2486</v>
      </c>
      <c r="D47" s="2845"/>
      <c r="E47" s="2846">
        <v>1</v>
      </c>
      <c r="F47" s="2843" t="s">
        <v>2487</v>
      </c>
      <c r="G47" s="2843"/>
    </row>
    <row r="48" spans="1:7" ht="19.5" customHeight="1">
      <c r="A48" s="3480"/>
      <c r="B48" s="3473"/>
      <c r="C48" s="2844" t="s">
        <v>2488</v>
      </c>
      <c r="D48" s="2845"/>
      <c r="E48" s="2846">
        <v>1</v>
      </c>
      <c r="F48" s="2843" t="s">
        <v>2489</v>
      </c>
      <c r="G48" s="2843"/>
    </row>
    <row r="49" spans="1:7" ht="19.5" customHeight="1">
      <c r="A49" s="3480"/>
      <c r="B49" s="3473"/>
      <c r="C49" s="2844" t="s">
        <v>2490</v>
      </c>
      <c r="D49" s="2845"/>
      <c r="E49" s="2846">
        <v>1</v>
      </c>
      <c r="F49" s="2843" t="s">
        <v>2491</v>
      </c>
      <c r="G49" s="2843"/>
    </row>
    <row r="50" spans="1:7" ht="19.5" customHeight="1">
      <c r="A50" s="3480"/>
      <c r="B50" s="3473"/>
      <c r="C50" s="2844" t="s">
        <v>2492</v>
      </c>
      <c r="D50" s="2845"/>
      <c r="E50" s="2846">
        <v>1</v>
      </c>
      <c r="F50" s="2843" t="s">
        <v>2493</v>
      </c>
      <c r="G50" s="2843"/>
    </row>
    <row r="51" spans="1:7" ht="19.5" customHeight="1" thickBot="1">
      <c r="A51" s="3481"/>
      <c r="B51" s="3475"/>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1" t="s">
        <v>2647</v>
      </c>
      <c r="C73" s="2829" t="s">
        <v>2648</v>
      </c>
      <c r="D73" s="2829" t="s">
        <v>2649</v>
      </c>
      <c r="E73" s="2855">
        <v>0.2</v>
      </c>
      <c r="F73" s="2855">
        <v>25</v>
      </c>
    </row>
    <row r="74" spans="1:7" ht="24">
      <c r="A74" s="2855">
        <v>2</v>
      </c>
      <c r="B74" s="3473"/>
      <c r="C74" s="2829" t="s">
        <v>2650</v>
      </c>
      <c r="D74" s="2829" t="s">
        <v>2651</v>
      </c>
      <c r="E74" s="2855">
        <v>0.2</v>
      </c>
      <c r="F74" s="2855">
        <v>25</v>
      </c>
    </row>
    <row r="75" spans="1:7" ht="24">
      <c r="A75" s="2855">
        <v>3</v>
      </c>
      <c r="B75" s="3473"/>
      <c r="C75" s="2829" t="s">
        <v>2652</v>
      </c>
      <c r="D75" s="2829" t="s">
        <v>2653</v>
      </c>
      <c r="E75" s="2855">
        <v>0.2</v>
      </c>
      <c r="F75" s="2855">
        <v>25</v>
      </c>
    </row>
    <row r="76" spans="1:7" ht="14.4">
      <c r="A76" s="2855">
        <v>4</v>
      </c>
      <c r="B76" s="3473"/>
      <c r="C76" s="2829" t="s">
        <v>2654</v>
      </c>
      <c r="D76" s="2829" t="s">
        <v>2655</v>
      </c>
      <c r="E76" s="2855">
        <v>0.15</v>
      </c>
      <c r="F76" s="2855">
        <v>20</v>
      </c>
    </row>
    <row r="77" spans="1:7" ht="24">
      <c r="A77" s="2855">
        <v>5</v>
      </c>
      <c r="B77" s="3473"/>
      <c r="C77" s="2829" t="s">
        <v>2656</v>
      </c>
      <c r="D77" s="2829" t="s">
        <v>2657</v>
      </c>
      <c r="E77" s="2855">
        <v>0.15</v>
      </c>
      <c r="F77" s="2855">
        <v>20</v>
      </c>
    </row>
    <row r="78" spans="1:7" ht="24">
      <c r="A78" s="2855">
        <v>6</v>
      </c>
      <c r="B78" s="3473"/>
      <c r="C78" s="2829" t="s">
        <v>2658</v>
      </c>
      <c r="D78" s="2829" t="s">
        <v>2659</v>
      </c>
      <c r="E78" s="2855">
        <v>0.15</v>
      </c>
      <c r="F78" s="2855">
        <v>20</v>
      </c>
    </row>
    <row r="79" spans="1:7" ht="24">
      <c r="A79" s="2855">
        <v>7</v>
      </c>
      <c r="B79" s="3473"/>
      <c r="C79" s="2829" t="s">
        <v>2660</v>
      </c>
      <c r="D79" s="2829" t="s">
        <v>2661</v>
      </c>
      <c r="E79" s="2855">
        <v>0.15</v>
      </c>
      <c r="F79" s="2855">
        <v>20</v>
      </c>
    </row>
    <row r="80" spans="1:7" ht="24">
      <c r="A80" s="2855">
        <v>8</v>
      </c>
      <c r="B80" s="3473"/>
      <c r="C80" s="2829" t="s">
        <v>2662</v>
      </c>
      <c r="D80" s="2829" t="s">
        <v>2663</v>
      </c>
      <c r="E80" s="2855">
        <v>0.1</v>
      </c>
      <c r="F80" s="2855">
        <v>15</v>
      </c>
    </row>
    <row r="81" spans="1:6" ht="24">
      <c r="A81" s="2855">
        <v>9</v>
      </c>
      <c r="B81" s="3473"/>
      <c r="C81" s="2829" t="s">
        <v>2664</v>
      </c>
      <c r="D81" s="2829" t="s">
        <v>2665</v>
      </c>
      <c r="E81" s="2855">
        <v>0.1</v>
      </c>
      <c r="F81" s="2855">
        <v>15</v>
      </c>
    </row>
    <row r="82" spans="1:6" ht="24">
      <c r="A82" s="2855">
        <v>10</v>
      </c>
      <c r="B82" s="3473"/>
      <c r="C82" s="2829" t="s">
        <v>2666</v>
      </c>
      <c r="D82" s="2829" t="s">
        <v>2667</v>
      </c>
      <c r="E82" s="2855">
        <v>0.1</v>
      </c>
      <c r="F82" s="2855">
        <v>15</v>
      </c>
    </row>
    <row r="83" spans="1:6" ht="24">
      <c r="A83" s="2855">
        <v>11</v>
      </c>
      <c r="B83" s="3473"/>
      <c r="C83" s="2829" t="s">
        <v>2668</v>
      </c>
      <c r="D83" s="2829" t="s">
        <v>2669</v>
      </c>
      <c r="E83" s="2855">
        <v>0.1</v>
      </c>
      <c r="F83" s="2855">
        <v>15</v>
      </c>
    </row>
    <row r="84" spans="1:6" ht="24">
      <c r="A84" s="2855">
        <v>12</v>
      </c>
      <c r="B84" s="3473"/>
      <c r="C84" s="2829" t="s">
        <v>2670</v>
      </c>
      <c r="D84" s="2829" t="s">
        <v>2671</v>
      </c>
      <c r="E84" s="2855">
        <v>0.1</v>
      </c>
      <c r="F84" s="2855">
        <v>15</v>
      </c>
    </row>
    <row r="85" spans="1:6" ht="24">
      <c r="A85" s="2855">
        <v>13</v>
      </c>
      <c r="B85" s="3473"/>
      <c r="C85" s="2829" t="s">
        <v>2672</v>
      </c>
      <c r="D85" s="2829" t="s">
        <v>2673</v>
      </c>
      <c r="E85" s="2855">
        <v>0.1</v>
      </c>
      <c r="F85" s="2855">
        <v>15</v>
      </c>
    </row>
    <row r="86" spans="1:6" ht="24">
      <c r="A86" s="2855">
        <v>14</v>
      </c>
      <c r="B86" s="3473"/>
      <c r="C86" s="2829" t="s">
        <v>2674</v>
      </c>
      <c r="D86" s="2829" t="s">
        <v>2675</v>
      </c>
      <c r="E86" s="2855">
        <v>0.1</v>
      </c>
      <c r="F86" s="2855">
        <v>15</v>
      </c>
    </row>
    <row r="87" spans="1:6" ht="24">
      <c r="A87" s="2855">
        <v>15</v>
      </c>
      <c r="B87" s="3473"/>
      <c r="C87" s="2829" t="s">
        <v>2676</v>
      </c>
      <c r="D87" s="2829" t="s">
        <v>2677</v>
      </c>
      <c r="E87" s="2855">
        <v>0.1</v>
      </c>
      <c r="F87" s="2855">
        <v>15</v>
      </c>
    </row>
    <row r="88" spans="1:6" ht="24">
      <c r="A88" s="2855">
        <v>16</v>
      </c>
      <c r="B88" s="3473"/>
      <c r="C88" s="2829" t="s">
        <v>2678</v>
      </c>
      <c r="D88" s="2829" t="s">
        <v>2679</v>
      </c>
      <c r="E88" s="2855">
        <v>0.1</v>
      </c>
      <c r="F88" s="2855">
        <v>15</v>
      </c>
    </row>
    <row r="89" spans="1:6" ht="24">
      <c r="A89" s="2855">
        <v>17</v>
      </c>
      <c r="B89" s="3472"/>
      <c r="C89" s="2829" t="s">
        <v>2680</v>
      </c>
      <c r="D89" s="2829" t="s">
        <v>2681</v>
      </c>
      <c r="E89" s="2855">
        <v>0.1</v>
      </c>
      <c r="F89" s="2855">
        <v>15</v>
      </c>
    </row>
    <row r="90" spans="1:6" ht="14.4">
      <c r="A90" s="2855">
        <v>18</v>
      </c>
      <c r="B90" s="3471" t="s">
        <v>2682</v>
      </c>
      <c r="C90" s="2829" t="s">
        <v>2683</v>
      </c>
      <c r="D90" s="2829" t="s">
        <v>2684</v>
      </c>
      <c r="E90" s="2855">
        <v>0.2</v>
      </c>
      <c r="F90" s="2855">
        <v>25</v>
      </c>
    </row>
    <row r="91" spans="1:6" ht="24">
      <c r="A91" s="2855">
        <v>19</v>
      </c>
      <c r="B91" s="3473"/>
      <c r="C91" s="2829" t="s">
        <v>2685</v>
      </c>
      <c r="D91" s="2829" t="s">
        <v>2686</v>
      </c>
      <c r="E91" s="2855">
        <v>0.2</v>
      </c>
      <c r="F91" s="2855">
        <v>25</v>
      </c>
    </row>
    <row r="92" spans="1:6" ht="14.4">
      <c r="A92" s="2855">
        <v>20</v>
      </c>
      <c r="B92" s="3473"/>
      <c r="C92" s="2829" t="s">
        <v>2687</v>
      </c>
      <c r="D92" s="2829" t="s">
        <v>2688</v>
      </c>
      <c r="E92" s="2855">
        <v>0.15</v>
      </c>
      <c r="F92" s="2855">
        <v>20</v>
      </c>
    </row>
    <row r="93" spans="1:6" ht="24">
      <c r="A93" s="2855">
        <v>21</v>
      </c>
      <c r="B93" s="3473"/>
      <c r="C93" s="2829" t="s">
        <v>2689</v>
      </c>
      <c r="D93" s="2829" t="s">
        <v>2690</v>
      </c>
      <c r="E93" s="2855">
        <v>0.15</v>
      </c>
      <c r="F93" s="2855">
        <v>20</v>
      </c>
    </row>
    <row r="94" spans="1:6" ht="24">
      <c r="A94" s="2855">
        <v>22</v>
      </c>
      <c r="B94" s="3473"/>
      <c r="C94" s="2829" t="s">
        <v>2691</v>
      </c>
      <c r="D94" s="2829" t="s">
        <v>2692</v>
      </c>
      <c r="E94" s="2855">
        <v>0.15</v>
      </c>
      <c r="F94" s="2855">
        <v>20</v>
      </c>
    </row>
    <row r="95" spans="1:6" ht="36">
      <c r="A95" s="2855">
        <v>23</v>
      </c>
      <c r="B95" s="3473"/>
      <c r="C95" s="2829" t="s">
        <v>2693</v>
      </c>
      <c r="D95" s="2829" t="s">
        <v>2694</v>
      </c>
      <c r="E95" s="2855">
        <v>0.15</v>
      </c>
      <c r="F95" s="2855">
        <v>20</v>
      </c>
    </row>
    <row r="96" spans="1:6" ht="24">
      <c r="A96" s="2855">
        <v>24</v>
      </c>
      <c r="B96" s="3473"/>
      <c r="C96" s="2829" t="s">
        <v>2695</v>
      </c>
      <c r="D96" s="2829" t="s">
        <v>2696</v>
      </c>
      <c r="E96" s="2855">
        <v>0.1</v>
      </c>
      <c r="F96" s="2855">
        <v>15</v>
      </c>
    </row>
    <row r="97" spans="1:6" ht="24">
      <c r="A97" s="2855">
        <v>25</v>
      </c>
      <c r="B97" s="3473"/>
      <c r="C97" s="2829" t="s">
        <v>2697</v>
      </c>
      <c r="D97" s="2829" t="s">
        <v>2698</v>
      </c>
      <c r="E97" s="2855">
        <v>0.1</v>
      </c>
      <c r="F97" s="2855">
        <v>15</v>
      </c>
    </row>
    <row r="98" spans="1:6" ht="24">
      <c r="A98" s="2855">
        <v>26</v>
      </c>
      <c r="B98" s="3473"/>
      <c r="C98" s="2829" t="s">
        <v>2699</v>
      </c>
      <c r="D98" s="2829" t="s">
        <v>2700</v>
      </c>
      <c r="E98" s="2855">
        <v>0.1</v>
      </c>
      <c r="F98" s="2855">
        <v>15</v>
      </c>
    </row>
    <row r="99" spans="1:6" ht="24">
      <c r="A99" s="2855">
        <v>27</v>
      </c>
      <c r="B99" s="3473"/>
      <c r="C99" s="2829" t="s">
        <v>2701</v>
      </c>
      <c r="D99" s="2829" t="s">
        <v>2702</v>
      </c>
      <c r="E99" s="2855">
        <v>0.1</v>
      </c>
      <c r="F99" s="2855">
        <v>15</v>
      </c>
    </row>
    <row r="100" spans="1:6" ht="24">
      <c r="A100" s="2855">
        <v>28</v>
      </c>
      <c r="B100" s="3473"/>
      <c r="C100" s="2829" t="s">
        <v>2703</v>
      </c>
      <c r="D100" s="2829" t="s">
        <v>2704</v>
      </c>
      <c r="E100" s="2855">
        <v>0.1</v>
      </c>
      <c r="F100" s="2855">
        <v>15</v>
      </c>
    </row>
    <row r="101" spans="1:6" ht="24">
      <c r="A101" s="2855">
        <v>29</v>
      </c>
      <c r="B101" s="3473"/>
      <c r="C101" s="2829" t="s">
        <v>2705</v>
      </c>
      <c r="D101" s="2829" t="s">
        <v>2706</v>
      </c>
      <c r="E101" s="2855">
        <v>0.1</v>
      </c>
      <c r="F101" s="2855">
        <v>15</v>
      </c>
    </row>
    <row r="102" spans="1:6" ht="24">
      <c r="A102" s="2855">
        <v>30</v>
      </c>
      <c r="B102" s="3473"/>
      <c r="C102" s="2829" t="s">
        <v>2707</v>
      </c>
      <c r="D102" s="2829" t="s">
        <v>2708</v>
      </c>
      <c r="E102" s="2855">
        <v>0.1</v>
      </c>
      <c r="F102" s="2855">
        <v>15</v>
      </c>
    </row>
    <row r="103" spans="1:6" ht="24">
      <c r="A103" s="2855">
        <v>31</v>
      </c>
      <c r="B103" s="3473"/>
      <c r="C103" s="2829" t="s">
        <v>2709</v>
      </c>
      <c r="D103" s="2829" t="s">
        <v>2710</v>
      </c>
      <c r="E103" s="2855">
        <v>0.1</v>
      </c>
      <c r="F103" s="2855">
        <v>15</v>
      </c>
    </row>
    <row r="104" spans="1:6" ht="24">
      <c r="A104" s="2855">
        <v>32</v>
      </c>
      <c r="B104" s="3473"/>
      <c r="C104" s="2829" t="s">
        <v>2711</v>
      </c>
      <c r="D104" s="2829" t="s">
        <v>2712</v>
      </c>
      <c r="E104" s="2855">
        <v>0.1</v>
      </c>
      <c r="F104" s="2855">
        <v>15</v>
      </c>
    </row>
    <row r="105" spans="1:6" ht="24">
      <c r="A105" s="2855">
        <v>33</v>
      </c>
      <c r="B105" s="3473"/>
      <c r="C105" s="2829" t="s">
        <v>2713</v>
      </c>
      <c r="D105" s="2829" t="s">
        <v>2714</v>
      </c>
      <c r="E105" s="2855">
        <v>0.1</v>
      </c>
      <c r="F105" s="2855">
        <v>15</v>
      </c>
    </row>
    <row r="106" spans="1:6" ht="24">
      <c r="A106" s="2855">
        <v>34</v>
      </c>
      <c r="B106" s="3472"/>
      <c r="C106" s="2829" t="s">
        <v>2715</v>
      </c>
      <c r="D106" s="2829" t="s">
        <v>2716</v>
      </c>
      <c r="E106" s="2855">
        <v>0.1</v>
      </c>
      <c r="F106" s="2855">
        <v>15</v>
      </c>
    </row>
    <row r="107" spans="1:6" ht="36">
      <c r="A107" s="2855">
        <v>35</v>
      </c>
      <c r="B107" s="3471" t="s">
        <v>2717</v>
      </c>
      <c r="C107" s="2855" t="s">
        <v>2718</v>
      </c>
      <c r="D107" s="2829" t="s">
        <v>2719</v>
      </c>
      <c r="E107" s="2855">
        <v>0.15</v>
      </c>
      <c r="F107" s="2855">
        <v>20</v>
      </c>
    </row>
    <row r="108" spans="1:6" ht="24">
      <c r="A108" s="2855">
        <v>36</v>
      </c>
      <c r="B108" s="3473"/>
      <c r="C108" s="2855" t="s">
        <v>2720</v>
      </c>
      <c r="D108" s="2829" t="s">
        <v>2721</v>
      </c>
      <c r="E108" s="2855">
        <v>0.15</v>
      </c>
      <c r="F108" s="2855">
        <v>20</v>
      </c>
    </row>
    <row r="109" spans="1:6" ht="24">
      <c r="A109" s="2855">
        <v>37</v>
      </c>
      <c r="B109" s="3473"/>
      <c r="C109" s="2855" t="s">
        <v>2722</v>
      </c>
      <c r="D109" s="2829" t="s">
        <v>2723</v>
      </c>
      <c r="E109" s="2855">
        <v>0.15</v>
      </c>
      <c r="F109" s="2855">
        <v>20</v>
      </c>
    </row>
    <row r="110" spans="1:6" ht="24">
      <c r="A110" s="2855">
        <v>38</v>
      </c>
      <c r="B110" s="3473"/>
      <c r="C110" s="2855" t="s">
        <v>2724</v>
      </c>
      <c r="D110" s="2829" t="s">
        <v>2725</v>
      </c>
      <c r="E110" s="2855">
        <v>0.1</v>
      </c>
      <c r="F110" s="2855">
        <v>15</v>
      </c>
    </row>
    <row r="111" spans="1:6" ht="24">
      <c r="A111" s="2855">
        <v>39</v>
      </c>
      <c r="B111" s="3473"/>
      <c r="C111" s="2855" t="s">
        <v>2726</v>
      </c>
      <c r="D111" s="2829" t="s">
        <v>2727</v>
      </c>
      <c r="E111" s="2855">
        <v>0.1</v>
      </c>
      <c r="F111" s="2855">
        <v>15</v>
      </c>
    </row>
    <row r="112" spans="1:6" ht="24">
      <c r="A112" s="2855">
        <v>40</v>
      </c>
      <c r="B112" s="3472"/>
      <c r="C112" s="2855" t="s">
        <v>2728</v>
      </c>
      <c r="D112" s="2829" t="s">
        <v>2729</v>
      </c>
      <c r="E112" s="2855">
        <v>0.1</v>
      </c>
      <c r="F112" s="2855">
        <v>15</v>
      </c>
    </row>
    <row r="113" spans="1:6" ht="24">
      <c r="A113" s="2855">
        <v>41</v>
      </c>
      <c r="B113" s="3470" t="s">
        <v>2730</v>
      </c>
      <c r="C113" s="2855" t="s">
        <v>2731</v>
      </c>
      <c r="D113" s="2829" t="s">
        <v>2732</v>
      </c>
      <c r="E113" s="2855">
        <v>0.1</v>
      </c>
      <c r="F113" s="2855">
        <v>15</v>
      </c>
    </row>
    <row r="114" spans="1:6" ht="24">
      <c r="A114" s="2855">
        <v>42</v>
      </c>
      <c r="B114" s="3470"/>
      <c r="C114" s="2855" t="s">
        <v>2733</v>
      </c>
      <c r="D114" s="2829" t="s">
        <v>2734</v>
      </c>
      <c r="E114" s="2855">
        <v>0.1</v>
      </c>
      <c r="F114" s="2855">
        <v>15</v>
      </c>
    </row>
    <row r="115" spans="1:6" ht="24">
      <c r="A115" s="2855">
        <v>43</v>
      </c>
      <c r="B115" s="3470"/>
      <c r="C115" s="2855" t="s">
        <v>2735</v>
      </c>
      <c r="D115" s="2829" t="s">
        <v>2736</v>
      </c>
      <c r="E115" s="2855">
        <v>0.1</v>
      </c>
      <c r="F115" s="2855">
        <v>15</v>
      </c>
    </row>
    <row r="116" spans="1:6" ht="24">
      <c r="A116" s="2855">
        <v>44</v>
      </c>
      <c r="B116" s="3471" t="s">
        <v>2737</v>
      </c>
      <c r="C116" s="2855" t="s">
        <v>2738</v>
      </c>
      <c r="D116" s="2829" t="s">
        <v>2739</v>
      </c>
      <c r="E116" s="2855">
        <v>0.1</v>
      </c>
      <c r="F116" s="2855">
        <v>15</v>
      </c>
    </row>
    <row r="117" spans="1:6" ht="24">
      <c r="A117" s="2855">
        <v>45</v>
      </c>
      <c r="B117" s="3472"/>
      <c r="C117" s="2829" t="s">
        <v>2740</v>
      </c>
      <c r="D117" s="2829" t="s">
        <v>2741</v>
      </c>
      <c r="E117" s="2855">
        <v>0.1</v>
      </c>
      <c r="F117" s="2855">
        <v>15</v>
      </c>
    </row>
    <row r="118" spans="1:6" ht="24">
      <c r="A118" s="2855">
        <v>46</v>
      </c>
      <c r="B118" s="3471" t="s">
        <v>2742</v>
      </c>
      <c r="C118" s="2855" t="s">
        <v>2743</v>
      </c>
      <c r="D118" s="2829" t="s">
        <v>2744</v>
      </c>
      <c r="E118" s="2855">
        <v>0.1</v>
      </c>
      <c r="F118" s="2855">
        <v>15</v>
      </c>
    </row>
    <row r="119" spans="1:6" ht="24">
      <c r="A119" s="2855">
        <v>47</v>
      </c>
      <c r="B119" s="3472"/>
      <c r="C119" s="2855" t="s">
        <v>2745</v>
      </c>
      <c r="D119" s="2829" t="s">
        <v>2746</v>
      </c>
      <c r="E119" s="2855">
        <v>0.1</v>
      </c>
      <c r="F119" s="2855">
        <v>15</v>
      </c>
    </row>
    <row r="120" spans="1:6" ht="24">
      <c r="A120" s="2855">
        <v>48</v>
      </c>
      <c r="B120" s="3471" t="s">
        <v>2747</v>
      </c>
      <c r="C120" s="2855" t="s">
        <v>2748</v>
      </c>
      <c r="D120" s="2829" t="s">
        <v>2749</v>
      </c>
      <c r="E120" s="2855">
        <v>0.1</v>
      </c>
      <c r="F120" s="2855">
        <v>15</v>
      </c>
    </row>
    <row r="121" spans="1:6" ht="24">
      <c r="A121" s="2855">
        <v>49</v>
      </c>
      <c r="B121" s="3472"/>
      <c r="C121" s="2855" t="s">
        <v>2750</v>
      </c>
      <c r="D121" s="2829" t="s">
        <v>2751</v>
      </c>
      <c r="E121" s="2855">
        <v>0.1</v>
      </c>
      <c r="F121" s="2855">
        <v>15</v>
      </c>
    </row>
    <row r="122" spans="1:6" ht="24">
      <c r="A122" s="2855">
        <v>50</v>
      </c>
      <c r="B122" s="3470" t="s">
        <v>2752</v>
      </c>
      <c r="C122" s="2855" t="s">
        <v>2753</v>
      </c>
      <c r="D122" s="2829" t="s">
        <v>2754</v>
      </c>
      <c r="E122" s="2855">
        <v>0.1</v>
      </c>
      <c r="F122" s="2855">
        <v>15</v>
      </c>
    </row>
    <row r="123" spans="1:6" ht="24">
      <c r="A123" s="2855">
        <v>51</v>
      </c>
      <c r="B123" s="3470"/>
      <c r="C123" s="2855" t="s">
        <v>2755</v>
      </c>
      <c r="D123" s="2829" t="s">
        <v>2756</v>
      </c>
      <c r="E123" s="2855">
        <v>0.1</v>
      </c>
      <c r="F123" s="2855">
        <v>15</v>
      </c>
    </row>
    <row r="124" spans="1:6" ht="24">
      <c r="A124" s="2855">
        <v>52</v>
      </c>
      <c r="B124" s="3470" t="s">
        <v>2757</v>
      </c>
      <c r="C124" s="2855" t="s">
        <v>2758</v>
      </c>
      <c r="D124" s="2829" t="s">
        <v>2759</v>
      </c>
      <c r="E124" s="2855">
        <v>0.1</v>
      </c>
      <c r="F124" s="2855">
        <v>15</v>
      </c>
    </row>
    <row r="125" spans="1:6" ht="24">
      <c r="A125" s="2855">
        <v>53</v>
      </c>
      <c r="B125" s="3470"/>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0" t="s">
        <v>2765</v>
      </c>
      <c r="C127" s="2855" t="s">
        <v>2766</v>
      </c>
      <c r="D127" s="2829" t="s">
        <v>2767</v>
      </c>
      <c r="E127" s="2855">
        <v>0.1</v>
      </c>
      <c r="F127" s="2855">
        <v>15</v>
      </c>
    </row>
    <row r="128" spans="1:6" ht="24">
      <c r="A128" s="2855">
        <v>56</v>
      </c>
      <c r="B128" s="3470"/>
      <c r="C128" s="2855" t="s">
        <v>2768</v>
      </c>
      <c r="D128" s="2829" t="s">
        <v>2769</v>
      </c>
      <c r="E128" s="2855">
        <v>0.1</v>
      </c>
      <c r="F128" s="2855">
        <v>15</v>
      </c>
    </row>
    <row r="129" spans="1:6" ht="24">
      <c r="A129" s="2855">
        <v>57</v>
      </c>
      <c r="B129" s="3470"/>
      <c r="C129" s="2855" t="s">
        <v>2770</v>
      </c>
      <c r="D129" s="2829" t="s">
        <v>2771</v>
      </c>
      <c r="E129" s="2855">
        <v>0.1</v>
      </c>
      <c r="F129" s="2855">
        <v>15</v>
      </c>
    </row>
    <row r="130" spans="1:6" ht="24">
      <c r="A130" s="2855">
        <v>58</v>
      </c>
      <c r="B130" s="3470" t="s">
        <v>2772</v>
      </c>
      <c r="C130" s="2855" t="s">
        <v>2773</v>
      </c>
      <c r="D130" s="2829" t="s">
        <v>2774</v>
      </c>
      <c r="E130" s="2855">
        <v>0.1</v>
      </c>
      <c r="F130" s="2855">
        <v>15</v>
      </c>
    </row>
    <row r="131" spans="1:6" ht="24">
      <c r="A131" s="2855">
        <v>59</v>
      </c>
      <c r="B131" s="3470"/>
      <c r="C131" s="2855" t="s">
        <v>2775</v>
      </c>
      <c r="D131" s="2829" t="s">
        <v>2776</v>
      </c>
      <c r="E131" s="2855">
        <v>0.1</v>
      </c>
      <c r="F131" s="2855">
        <v>15</v>
      </c>
    </row>
    <row r="132" spans="1:6" ht="24">
      <c r="A132" s="2855">
        <v>60</v>
      </c>
      <c r="B132" s="3471" t="s">
        <v>2777</v>
      </c>
      <c r="C132" s="2855" t="s">
        <v>2778</v>
      </c>
      <c r="D132" s="2829" t="s">
        <v>2779</v>
      </c>
      <c r="E132" s="2855">
        <v>0.1</v>
      </c>
      <c r="F132" s="2855">
        <v>15</v>
      </c>
    </row>
    <row r="133" spans="1:6" ht="24">
      <c r="A133" s="2855">
        <v>61</v>
      </c>
      <c r="B133" s="3472"/>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0" t="s">
        <v>2785</v>
      </c>
      <c r="C135" s="2855" t="s">
        <v>2786</v>
      </c>
      <c r="D135" s="2829" t="s">
        <v>2787</v>
      </c>
      <c r="E135" s="2855">
        <v>0.1</v>
      </c>
      <c r="F135" s="2855">
        <v>15</v>
      </c>
    </row>
    <row r="136" spans="1:6" ht="24">
      <c r="A136" s="2855">
        <v>64</v>
      </c>
      <c r="B136" s="3470"/>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30638</v>
      </c>
      <c r="C2" s="2" t="s">
        <v>106</v>
      </c>
      <c r="D2" s="191"/>
      <c r="E2" s="191"/>
      <c r="F2" s="191"/>
      <c r="G2" s="191"/>
    </row>
    <row r="3" spans="1:7" s="192" customFormat="1" ht="18" customHeight="1" thickBot="1">
      <c r="A3" s="195" t="s">
        <v>58</v>
      </c>
      <c r="B3" s="196">
        <f ca="1">ROUND(B2*10000/'数据-汇总表'!E3,0)</f>
        <v>125506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v>
      </c>
      <c r="D10" s="795">
        <f>'数据-汇总表'!E6</f>
        <v>2441.15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v>
      </c>
      <c r="D19" s="204">
        <f>'数据-汇总表'!E3</f>
        <v>2441.15</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2006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3388</v>
      </c>
      <c r="D27" s="227">
        <f>C29</f>
        <v>4.7999999999999996E-3</v>
      </c>
      <c r="E27" s="228" t="s">
        <v>99</v>
      </c>
      <c r="F27" s="238">
        <f>'数据-取费表'!Q16</f>
        <v>0.16</v>
      </c>
      <c r="G27" s="239" t="s">
        <v>431</v>
      </c>
    </row>
    <row r="28" spans="1:7" s="206" customFormat="1" ht="13.5" customHeight="1">
      <c r="A28" s="734" t="s">
        <v>349</v>
      </c>
      <c r="B28" s="240" t="s">
        <v>424</v>
      </c>
      <c r="C28" s="241">
        <f>ROUND((C5+C19+C20)*F27*'数据-取费表'!B21/'数据-取费表'!B20,0)</f>
        <v>3388</v>
      </c>
      <c r="D28" s="227"/>
      <c r="E28" s="228"/>
      <c r="F28" s="238"/>
      <c r="G28" s="239"/>
    </row>
    <row r="29" spans="1:7" s="206" customFormat="1" ht="13.5" customHeight="1">
      <c r="A29" s="734" t="s">
        <v>347</v>
      </c>
      <c r="B29" s="240" t="s">
        <v>425</v>
      </c>
      <c r="C29" s="230">
        <f>ROUND(C21*F27*'数据-取费表'!B21/'数据-取费表'!B20,4)</f>
        <v>4.7999999999999996E-3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29182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1367</v>
      </c>
      <c r="D34" s="209"/>
      <c r="E34" s="212"/>
      <c r="F34" s="249">
        <f>IF('数据-取费表'!B24=0,1,'数据-取费表'!N16)</f>
        <v>1</v>
      </c>
      <c r="G34" s="211" t="s">
        <v>89</v>
      </c>
    </row>
    <row r="35" spans="1:7" ht="13.5" customHeight="1">
      <c r="A35" s="734" t="s">
        <v>351</v>
      </c>
      <c r="B35" s="207" t="s">
        <v>33</v>
      </c>
      <c r="C35" s="212">
        <f>ROUND(C34*F35,0)</f>
        <v>109</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v>
      </c>
      <c r="D37" s="209">
        <f>'数据-汇总表'!E3</f>
        <v>2441.15</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75</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73</v>
      </c>
      <c r="D42" s="230"/>
      <c r="E42" s="230"/>
      <c r="F42" s="231"/>
      <c r="G42" s="3348" t="s">
        <v>94</v>
      </c>
    </row>
    <row r="43" spans="1:7" ht="13.5" customHeight="1">
      <c r="A43" s="734" t="s">
        <v>347</v>
      </c>
      <c r="B43" s="207" t="s">
        <v>426</v>
      </c>
      <c r="C43" s="230">
        <f ca="1">ROUND(IF('数据-取费表'!B22&lt;=1,C39*F22*'数据-取费表'!B21/2,C39*(POWER((1+F22),'数据-取费表'!B21/2)-1)),0)</f>
        <v>2</v>
      </c>
      <c r="D43" s="230"/>
      <c r="E43" s="230"/>
      <c r="F43" s="231"/>
      <c r="G43" s="3349"/>
    </row>
    <row r="44" spans="1:7" ht="13.5" customHeight="1">
      <c r="A44" s="734" t="s">
        <v>348</v>
      </c>
      <c r="B44" s="207" t="s">
        <v>428</v>
      </c>
      <c r="C44" s="230">
        <f ca="1">ROUND(IF('数据-取费表'!B22&lt;=1,C40*F22*'数据-取费表'!B21/2,C40*(POWER((1+F22),'数据-取费表'!B21/2)-1)),4)</f>
        <v>1.4E-3</v>
      </c>
      <c r="D44" s="230"/>
      <c r="E44" s="230"/>
      <c r="F44" s="231"/>
      <c r="G44" s="3350"/>
    </row>
    <row r="45" spans="1:7" s="206" customFormat="1" ht="13.5" customHeight="1">
      <c r="A45" s="731" t="s">
        <v>341</v>
      </c>
      <c r="B45" s="236" t="s">
        <v>85</v>
      </c>
      <c r="C45" s="237">
        <f>C46</f>
        <v>255</v>
      </c>
      <c r="D45" s="227">
        <f>C47</f>
        <v>4.7999999999999996E-3</v>
      </c>
      <c r="E45" s="228" t="s">
        <v>102</v>
      </c>
      <c r="F45" s="238"/>
      <c r="G45" s="239" t="s">
        <v>434</v>
      </c>
    </row>
    <row r="46" spans="1:7" s="206" customFormat="1" ht="13.5" customHeight="1">
      <c r="A46" s="734" t="s">
        <v>349</v>
      </c>
      <c r="B46" s="240" t="s">
        <v>427</v>
      </c>
      <c r="C46" s="241">
        <f>ROUND((C33+C39)*F27,0)</f>
        <v>255</v>
      </c>
      <c r="D46" s="255"/>
      <c r="E46" s="228"/>
      <c r="F46" s="238"/>
      <c r="G46" s="239"/>
    </row>
    <row r="47" spans="1:7" s="206" customFormat="1" ht="13.5" customHeight="1">
      <c r="A47" s="734" t="s">
        <v>347</v>
      </c>
      <c r="B47" s="240" t="s">
        <v>429</v>
      </c>
      <c r="C47" s="230">
        <f>ROUND(C40*F27,4)</f>
        <v>4.7999999999999996E-3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2110</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1456</v>
      </c>
      <c r="D51" s="224"/>
      <c r="E51" s="224"/>
      <c r="F51" s="256"/>
      <c r="G51" s="226" t="s">
        <v>37</v>
      </c>
    </row>
    <row r="52" spans="1:7" s="200" customFormat="1" ht="16.8" thickBot="1">
      <c r="A52" s="257" t="s">
        <v>38</v>
      </c>
      <c r="B52" s="258"/>
      <c r="C52" s="259">
        <f ca="1">C31+C51</f>
        <v>30638</v>
      </c>
      <c r="D52" s="258"/>
      <c r="E52" s="258"/>
      <c r="F52" s="258"/>
      <c r="G52" s="260"/>
    </row>
    <row r="55" spans="1:7" ht="15">
      <c r="B55" s="262" t="s">
        <v>39</v>
      </c>
      <c r="C55" s="263"/>
    </row>
    <row r="56" spans="1:7">
      <c r="B56" s="265" t="s">
        <v>40</v>
      </c>
      <c r="C56" s="266">
        <f ca="1">ROUND(C51/C52,3)</f>
        <v>4.8000000000000001E-2</v>
      </c>
    </row>
    <row r="57" spans="1:7">
      <c r="B57" s="265" t="s">
        <v>41</v>
      </c>
      <c r="C57" s="267">
        <f ca="1">1-C56</f>
        <v>0.95199999999999996</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18.850000000000001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1085.5882999999999</v>
      </c>
      <c r="C2" s="1289" t="s">
        <v>879</v>
      </c>
      <c r="D2" s="1375">
        <f ca="1">C40+J29+L46</f>
        <v>10855883</v>
      </c>
      <c r="E2" s="1295" t="s">
        <v>880</v>
      </c>
      <c r="F2" s="1296"/>
      <c r="G2" s="2476"/>
      <c r="H2" s="2466"/>
      <c r="I2" s="2466"/>
      <c r="J2" s="2466"/>
      <c r="K2" s="2467"/>
      <c r="L2" s="2466"/>
      <c r="M2" s="2466"/>
    </row>
    <row r="3" spans="1:37" ht="18" customHeight="1" thickBot="1">
      <c r="A3" s="1297" t="s">
        <v>881</v>
      </c>
      <c r="B3" s="1298">
        <f ca="1">IF(ISERROR(D2/F43),0,ROUND(D2/F43,0))</f>
        <v>22762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988285</v>
      </c>
      <c r="D5" s="1273" t="s">
        <v>889</v>
      </c>
      <c r="E5" s="1008"/>
      <c r="F5" s="1009"/>
      <c r="G5" s="1292"/>
      <c r="H5" s="291">
        <v>1</v>
      </c>
      <c r="I5" s="292" t="s">
        <v>888</v>
      </c>
      <c r="J5" s="1007">
        <f ca="1">J6+J10+J12</f>
        <v>0</v>
      </c>
      <c r="K5" s="1273" t="s">
        <v>889</v>
      </c>
      <c r="L5" s="1008"/>
      <c r="M5" s="1009"/>
    </row>
    <row r="6" spans="1:37" ht="18" customHeight="1">
      <c r="A6" s="1006" t="s">
        <v>398</v>
      </c>
      <c r="B6" s="3482" t="s">
        <v>694</v>
      </c>
      <c r="C6" s="1011">
        <f ca="1">ROUND(F6*F8*F7*(1-F9),0)</f>
        <v>987051</v>
      </c>
      <c r="D6" s="147" t="s">
        <v>2106</v>
      </c>
      <c r="E6" s="294" t="s">
        <v>696</v>
      </c>
      <c r="F6" s="295">
        <f ca="1">INDIRECT("'数据-取费表'!u"&amp;$G$1)</f>
        <v>6.3</v>
      </c>
      <c r="G6" s="1292"/>
      <c r="H6" s="1006" t="s">
        <v>398</v>
      </c>
      <c r="I6" s="3482" t="s">
        <v>694</v>
      </c>
      <c r="J6" s="293">
        <f ca="1">ROUND(M6*M8*M7*(1-M9),0)</f>
        <v>0</v>
      </c>
      <c r="K6" s="1284" t="s">
        <v>2107</v>
      </c>
      <c r="L6" s="294" t="s">
        <v>696</v>
      </c>
      <c r="M6" s="295">
        <f ca="1">INDIRECT("'数据-取费表'!z"&amp;$G$1)</f>
        <v>0</v>
      </c>
    </row>
    <row r="7" spans="1:37" ht="18" customHeight="1">
      <c r="A7" s="1010"/>
      <c r="B7" s="3483"/>
      <c r="C7" s="1012"/>
      <c r="D7" s="299"/>
      <c r="E7" s="1013" t="s">
        <v>697</v>
      </c>
      <c r="F7" s="295">
        <f ca="1">IF(INDIRECT("'数据-取费表'!ah"&amp;$G$1)="",INDIRECT("'数据-取费表'!k"&amp;$G$1),INDIRECT("'数据-取费表'!ah"&amp;$G$1))</f>
        <v>476.94000000000005</v>
      </c>
      <c r="G7" s="1292"/>
      <c r="H7" s="296"/>
      <c r="I7" s="3483"/>
      <c r="J7" s="298"/>
      <c r="K7" s="299"/>
      <c r="L7" s="294" t="s">
        <v>697</v>
      </c>
      <c r="M7" s="295">
        <f ca="1">F7</f>
        <v>476.94000000000005</v>
      </c>
    </row>
    <row r="8" spans="1:37" ht="18" customHeight="1">
      <c r="A8" s="296"/>
      <c r="B8" s="3483"/>
      <c r="C8" s="298"/>
      <c r="D8" s="299"/>
      <c r="E8" s="294" t="s">
        <v>698</v>
      </c>
      <c r="F8" s="295">
        <f ca="1">INDIRECT("'数据-取费表'!ai"&amp;$G$1)</f>
        <v>365</v>
      </c>
      <c r="G8" s="1292"/>
      <c r="H8" s="296"/>
      <c r="I8" s="3483"/>
      <c r="J8" s="298"/>
      <c r="K8" s="299"/>
      <c r="L8" s="294" t="s">
        <v>698</v>
      </c>
      <c r="M8" s="295">
        <f ca="1">INDIRECT("'数据-取费表'!ai"&amp;$G$1)</f>
        <v>365</v>
      </c>
    </row>
    <row r="9" spans="1:37" ht="18" customHeight="1">
      <c r="A9" s="296"/>
      <c r="B9" s="3484"/>
      <c r="C9" s="298"/>
      <c r="D9" s="299"/>
      <c r="E9" s="294" t="s">
        <v>699</v>
      </c>
      <c r="F9" s="304">
        <f ca="1">INDIRECT("'数据-取费表'!w"&amp;$G$1)</f>
        <v>0.1</v>
      </c>
      <c r="G9" s="1292"/>
      <c r="H9" s="296"/>
      <c r="I9" s="3484"/>
      <c r="J9" s="298"/>
      <c r="K9" s="299"/>
      <c r="L9" s="305" t="s">
        <v>699</v>
      </c>
      <c r="M9" s="306">
        <f ca="1">INDIRECT("'数据-取费表'!ab"&amp;$G$1)</f>
        <v>0</v>
      </c>
    </row>
    <row r="10" spans="1:37" ht="18" customHeight="1">
      <c r="A10" s="1006" t="s">
        <v>402</v>
      </c>
      <c r="B10" s="1274" t="s">
        <v>700</v>
      </c>
      <c r="C10" s="308">
        <f ca="1">ROUND(IF(F10="押一",C6/12*F11,IF(F10="押二",C6/12*2*F11,IF(F10="押三",C6/12*3*F11,C11*F11))),0)</f>
        <v>1234</v>
      </c>
      <c r="D10" s="150" t="s">
        <v>2116</v>
      </c>
      <c r="E10" s="305" t="s">
        <v>701</v>
      </c>
      <c r="F10" s="1053" t="s">
        <v>3420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2941736</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2670864</v>
      </c>
      <c r="D14" s="1257" t="s">
        <v>708</v>
      </c>
      <c r="E14" s="1255"/>
      <c r="F14" s="311"/>
      <c r="G14" s="1292"/>
      <c r="H14" s="928" t="s">
        <v>398</v>
      </c>
      <c r="I14" s="294" t="s">
        <v>709</v>
      </c>
      <c r="J14" s="21">
        <f ca="1">C29</f>
        <v>4263385</v>
      </c>
      <c r="K14" s="12"/>
      <c r="L14" s="759"/>
      <c r="M14" s="760"/>
    </row>
    <row r="15" spans="1:37" s="1304" customFormat="1" ht="18" customHeight="1" thickBot="1">
      <c r="A15" s="928" t="s">
        <v>399</v>
      </c>
      <c r="B15" s="294" t="s">
        <v>710</v>
      </c>
      <c r="C15" s="21">
        <f ca="1">ROUND(C14*F15,0)</f>
        <v>213669</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42954</v>
      </c>
      <c r="K16" s="1024" t="s">
        <v>715</v>
      </c>
      <c r="L16" s="1025"/>
      <c r="M16" s="1009"/>
    </row>
    <row r="17" spans="1:37" s="1304" customFormat="1" ht="18" customHeight="1">
      <c r="A17" s="928" t="s">
        <v>681</v>
      </c>
      <c r="B17" s="294" t="s">
        <v>716</v>
      </c>
      <c r="C17" s="21">
        <f ca="1">ROUND(F17*(F43+INDIRECT("'数据-取费表'!S"&amp;$G$1)),0)</f>
        <v>95388</v>
      </c>
      <c r="D17" s="294" t="s">
        <v>717</v>
      </c>
      <c r="E17" s="294" t="s">
        <v>718</v>
      </c>
      <c r="F17" s="23">
        <f>'数据-取费表'!B35</f>
        <v>200</v>
      </c>
      <c r="G17" s="1303"/>
      <c r="H17" s="928" t="s">
        <v>398</v>
      </c>
      <c r="I17" s="294" t="s">
        <v>719</v>
      </c>
      <c r="J17" s="2140">
        <f ca="1">ROUND(IF(AND(项目基本情况!B11="自然人",项目基本情况!B10="北京市"),J6*M17/(1+'数据-取费表'!C42),J18+J19+J20),0)</f>
        <v>320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53417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3033338</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75833</v>
      </c>
      <c r="D20" s="315" t="s">
        <v>729</v>
      </c>
      <c r="E20" s="294" t="s">
        <v>712</v>
      </c>
      <c r="F20" s="314">
        <f>'数据-取费表'!B37</f>
        <v>2.5000000000000001E-2</v>
      </c>
      <c r="G20" s="1303"/>
      <c r="H20" s="928" t="s">
        <v>680</v>
      </c>
      <c r="I20" s="147" t="s">
        <v>730</v>
      </c>
      <c r="J20" s="22">
        <f ca="1">ROUND(M20*M21,0)</f>
        <v>320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10.68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42634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145691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-42954</v>
      </c>
      <c r="K25" s="1032" t="s">
        <v>753</v>
      </c>
      <c r="L25" s="1033"/>
      <c r="M25" s="1034"/>
    </row>
    <row r="26" spans="1:37" ht="18" customHeight="1">
      <c r="A26" s="928" t="s">
        <v>397</v>
      </c>
      <c r="B26" s="294" t="s">
        <v>754</v>
      </c>
      <c r="C26" s="21">
        <f ca="1">ROUND((C19+C20)*F26,0)</f>
        <v>621834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4263385</v>
      </c>
      <c r="D29" s="1029"/>
      <c r="E29" s="1027"/>
      <c r="F29" s="1030"/>
      <c r="G29" s="1303"/>
      <c r="H29" s="325" t="s">
        <v>396</v>
      </c>
      <c r="I29" s="326" t="s">
        <v>768</v>
      </c>
      <c r="J29" s="327">
        <f ca="1">ROUND(J26/(1+F40)^F41,0)</f>
        <v>0</v>
      </c>
      <c r="K29" s="328" t="s">
        <v>769</v>
      </c>
      <c r="L29" s="329"/>
      <c r="M29" s="330">
        <f ca="1">INDIRECT("'数据-取费表'!k"&amp;$G$1)</f>
        <v>476.94000000000005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216286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165769</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52643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112806</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320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10.68</v>
      </c>
      <c r="G35" s="1292"/>
      <c r="H35" s="2468"/>
      <c r="I35" s="1305"/>
      <c r="J35" s="1306"/>
      <c r="K35" s="2472"/>
      <c r="L35" s="2471"/>
      <c r="M35" s="2471"/>
    </row>
    <row r="36" spans="1:18" ht="18" customHeight="1">
      <c r="A36" s="1039" t="s">
        <v>402</v>
      </c>
      <c r="B36" s="294" t="s">
        <v>738</v>
      </c>
      <c r="C36" s="21">
        <f ca="1">ROUND(C29*F36,0)</f>
        <v>42634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2942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4941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771999</v>
      </c>
      <c r="D39" s="1032" t="s">
        <v>773</v>
      </c>
      <c r="E39" s="1033"/>
      <c r="F39" s="1034"/>
      <c r="G39" s="1292"/>
      <c r="H39" s="2471">
        <f ca="1">C39/C5</f>
        <v>0.78115017429182876</v>
      </c>
      <c r="I39" s="1305"/>
      <c r="J39" s="1306"/>
      <c r="K39" s="2469"/>
      <c r="L39" s="2471"/>
      <c r="M39" s="2471"/>
    </row>
    <row r="40" spans="1:18" ht="18" customHeight="1">
      <c r="A40" s="291" t="s">
        <v>395</v>
      </c>
      <c r="B40" s="292" t="s">
        <v>774</v>
      </c>
      <c r="C40" s="293">
        <f ca="1">ROUND(C39*(1-((1+F42)/(1+F40))^F41)/(F40-F42),0)</f>
        <v>10379528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18.850000000000001</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21763</v>
      </c>
      <c r="D43" s="328" t="s">
        <v>777</v>
      </c>
      <c r="E43" s="329" t="s">
        <v>778</v>
      </c>
      <c r="F43" s="330">
        <f ca="1">INDIRECT("'数据-取费表'!k"&amp;$G$1)</f>
        <v>476.94000000000005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-1090.9839999999999</v>
      </c>
      <c r="D45" s="3128" t="s">
        <v>3349</v>
      </c>
      <c r="E45" s="1307"/>
      <c r="F45" s="1307"/>
      <c r="O45" s="1310" t="s">
        <v>808</v>
      </c>
      <c r="P45" s="1366"/>
      <c r="Q45" s="1366"/>
      <c r="R45" s="1366"/>
    </row>
    <row r="46" spans="1:18" s="1292" customFormat="1" ht="13.8" thickBot="1">
      <c r="A46" s="1311" t="s">
        <v>809</v>
      </c>
      <c r="C46" s="1312">
        <f ca="1">ROUND(C45,0)</f>
        <v>-1091</v>
      </c>
      <c r="D46" s="1313" t="str">
        <f>C2</f>
        <v>万元</v>
      </c>
      <c r="I46" s="1314" t="s">
        <v>810</v>
      </c>
      <c r="J46" s="1315"/>
      <c r="K46" s="1316"/>
      <c r="L46" s="1317">
        <f ca="1">IF(M47="住宅",0,IF(L48&gt;J51,L60,J60))</f>
        <v>476355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10379528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18.850000000000001</v>
      </c>
      <c r="O48" s="1325" t="s">
        <v>404</v>
      </c>
      <c r="P48" s="1326" t="s">
        <v>821</v>
      </c>
      <c r="Q48" s="1327">
        <f ca="1">J60</f>
        <v>476355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1996</v>
      </c>
      <c r="K49" s="1330" t="s">
        <v>824</v>
      </c>
      <c r="L49" s="1333"/>
      <c r="O49" s="1334" t="s">
        <v>405</v>
      </c>
      <c r="P49" s="1326" t="s">
        <v>825</v>
      </c>
      <c r="Q49" s="1327">
        <f ca="1">C29</f>
        <v>4263385</v>
      </c>
      <c r="R49" s="1327" t="s">
        <v>818</v>
      </c>
    </row>
    <row r="50" spans="1:18" s="1292" customFormat="1" ht="13.8" thickBot="1">
      <c r="A50" s="922"/>
      <c r="B50" s="925"/>
      <c r="C50" s="926"/>
      <c r="D50" s="899"/>
      <c r="E50" s="993" t="s">
        <v>697</v>
      </c>
      <c r="F50" s="994">
        <f ca="1">F7</f>
        <v>476.94000000000005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8826739</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18.850000000000001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18.850000000000001</v>
      </c>
      <c r="K53" s="3485" t="s">
        <v>837</v>
      </c>
      <c r="L53" s="3486"/>
      <c r="O53" s="1325" t="s">
        <v>409</v>
      </c>
      <c r="P53" s="1326" t="s">
        <v>838</v>
      </c>
      <c r="Q53" s="1327">
        <f ca="1">Q47+Q48</f>
        <v>10855883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2941736</v>
      </c>
      <c r="D56" s="1352"/>
      <c r="E56" s="1353"/>
      <c r="F56" s="1345"/>
      <c r="I56" s="1354" t="s">
        <v>842</v>
      </c>
      <c r="J56" s="1355" t="s">
        <v>3405</v>
      </c>
      <c r="K56" s="1328" t="s">
        <v>843</v>
      </c>
      <c r="L56" s="1331" t="str">
        <f ca="1">IF(L48&lt;J51,"——",L48-J51)</f>
        <v>——</v>
      </c>
      <c r="O56" s="1325" t="s">
        <v>403</v>
      </c>
      <c r="P56" s="1326" t="s">
        <v>817</v>
      </c>
      <c r="Q56" s="1327">
        <f ca="1">C40+J29</f>
        <v>10379528</v>
      </c>
      <c r="R56" s="1327" t="s">
        <v>818</v>
      </c>
    </row>
    <row r="57" spans="1:18" s="1292" customFormat="1" ht="24.6" thickBot="1">
      <c r="A57" s="1356"/>
      <c r="B57" s="896" t="s">
        <v>767</v>
      </c>
      <c r="C57" s="230">
        <f ca="1">C29</f>
        <v>4263385</v>
      </c>
      <c r="D57" s="1357"/>
      <c r="E57" s="1358"/>
      <c r="F57" s="1359"/>
      <c r="I57" s="1360" t="s">
        <v>844</v>
      </c>
      <c r="J57" s="1361">
        <f ca="1">IF(OR(M47="住宅",J51&lt;L48,J56="是"),"——",J51-L48)</f>
        <v>12.149999999999999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45896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320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1705354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476355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320</v>
      </c>
      <c r="D62" s="911" t="s">
        <v>786</v>
      </c>
      <c r="E62" s="896" t="s">
        <v>787</v>
      </c>
      <c r="F62" s="317">
        <f t="shared" si="0"/>
        <v>30</v>
      </c>
      <c r="I62" s="1367" t="s">
        <v>858</v>
      </c>
      <c r="J62" s="610" t="s">
        <v>859</v>
      </c>
      <c r="K62" s="610" t="s">
        <v>860</v>
      </c>
      <c r="L62" s="610" t="s">
        <v>861</v>
      </c>
      <c r="M62" s="1368" t="s">
        <v>862</v>
      </c>
      <c r="O62" s="1325" t="s">
        <v>409</v>
      </c>
      <c r="P62" s="1326" t="s">
        <v>863</v>
      </c>
      <c r="Q62" s="1327">
        <f ca="1">Q56+Q57</f>
        <v>10379528</v>
      </c>
      <c r="R62" s="1327" t="s">
        <v>410</v>
      </c>
    </row>
    <row r="63" spans="1:18" s="1292" customFormat="1" ht="13.8" thickBot="1">
      <c r="A63" s="318"/>
      <c r="B63" s="902"/>
      <c r="C63" s="26"/>
      <c r="D63" s="912"/>
      <c r="E63" s="896" t="s">
        <v>788</v>
      </c>
      <c r="F63" s="295">
        <f t="shared" ca="1" si="0"/>
        <v>10.68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42634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2942</v>
      </c>
      <c r="D65" s="910" t="s">
        <v>743</v>
      </c>
      <c r="E65" s="896" t="s">
        <v>744</v>
      </c>
      <c r="F65" s="321">
        <f t="shared" ca="1" si="0"/>
        <v>1E-3</v>
      </c>
      <c r="I65" s="1367" t="s">
        <v>867</v>
      </c>
      <c r="J65" s="610">
        <v>40</v>
      </c>
      <c r="K65" s="610">
        <v>30</v>
      </c>
      <c r="L65" s="610">
        <v>50</v>
      </c>
      <c r="M65" s="1369">
        <v>0.02</v>
      </c>
      <c r="O65" s="1325" t="s">
        <v>403</v>
      </c>
      <c r="P65" s="1326" t="s">
        <v>868</v>
      </c>
      <c r="Q65" s="1327">
        <f ca="1">C40+J29</f>
        <v>10379528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-45896</v>
      </c>
      <c r="D67" s="909" t="s">
        <v>753</v>
      </c>
      <c r="E67" s="914"/>
      <c r="F67" s="915"/>
      <c r="O67" s="1334" t="s">
        <v>405</v>
      </c>
      <c r="P67" s="1326" t="s">
        <v>850</v>
      </c>
      <c r="Q67" s="1370">
        <f ca="1">L51</f>
        <v>8826739</v>
      </c>
      <c r="R67" s="1327" t="s">
        <v>870</v>
      </c>
    </row>
    <row r="68" spans="1:18" s="1292" customFormat="1" ht="16.2" thickBot="1">
      <c r="A68" s="893" t="s">
        <v>395</v>
      </c>
      <c r="B68" s="894" t="s">
        <v>774</v>
      </c>
      <c r="C68" s="293">
        <f ca="1">ROUND(C67*(1-((1+F70)/(1+F68))^F69)/(F68-F70),0)</f>
        <v>-530312</v>
      </c>
      <c r="D68" s="911" t="s">
        <v>758</v>
      </c>
      <c r="E68" s="896" t="s">
        <v>759</v>
      </c>
      <c r="F68" s="304">
        <f ca="1">F40</f>
        <v>5.5E-2</v>
      </c>
      <c r="O68" s="1334" t="s">
        <v>406</v>
      </c>
      <c r="P68" s="1371" t="s">
        <v>871</v>
      </c>
      <c r="Q68" s="1327">
        <f ca="1">ROUND(Q69-Q70*Q71,0)</f>
        <v>566077</v>
      </c>
      <c r="R68" s="1327" t="s">
        <v>414</v>
      </c>
    </row>
    <row r="69" spans="1:18" s="1292" customFormat="1" ht="13.8" thickBot="1">
      <c r="A69" s="897"/>
      <c r="B69" s="898"/>
      <c r="C69" s="298"/>
      <c r="D69" s="916" t="s">
        <v>762</v>
      </c>
      <c r="E69" s="896" t="s">
        <v>763</v>
      </c>
      <c r="F69" s="324">
        <f ca="1">F41</f>
        <v>18.850000000000001</v>
      </c>
      <c r="O69" s="1334" t="s">
        <v>411</v>
      </c>
      <c r="P69" s="1371" t="s">
        <v>872</v>
      </c>
      <c r="Q69" s="1327">
        <f ca="1">C39</f>
        <v>771999</v>
      </c>
      <c r="R69" s="1327" t="s">
        <v>818</v>
      </c>
    </row>
    <row r="70" spans="1:18" s="1292" customFormat="1" ht="13.8" thickBot="1">
      <c r="A70" s="900"/>
      <c r="B70" s="901"/>
      <c r="C70" s="302"/>
      <c r="D70" s="912"/>
      <c r="E70" s="896" t="s">
        <v>766</v>
      </c>
      <c r="F70" s="991"/>
      <c r="O70" s="1334" t="s">
        <v>412</v>
      </c>
      <c r="P70" s="1371" t="s">
        <v>873</v>
      </c>
      <c r="Q70" s="1327">
        <f ca="1">C13</f>
        <v>2941736</v>
      </c>
      <c r="R70" s="1327" t="s">
        <v>818</v>
      </c>
    </row>
    <row r="71" spans="1:18" s="1292" customFormat="1" ht="13.8" thickBot="1">
      <c r="A71" s="917" t="s">
        <v>396</v>
      </c>
      <c r="B71" s="918" t="s">
        <v>776</v>
      </c>
      <c r="C71" s="327">
        <f ca="1">ROUND(C68/F71,0)</f>
        <v>-1112</v>
      </c>
      <c r="D71" s="919" t="s">
        <v>777</v>
      </c>
      <c r="E71" s="920" t="s">
        <v>778</v>
      </c>
      <c r="F71" s="330">
        <f ca="1">F43</f>
        <v>476.94000000000005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205922</v>
      </c>
      <c r="D75" s="1292"/>
      <c r="E75" s="1292"/>
      <c r="F75" s="1292"/>
      <c r="K75" s="1309"/>
      <c r="L75" s="1292"/>
      <c r="O75" s="1325" t="s">
        <v>409</v>
      </c>
      <c r="P75" s="1326" t="s">
        <v>838</v>
      </c>
      <c r="Q75" s="1327">
        <f ca="1">Q65+Q66</f>
        <v>10379528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0.73299999999999998</v>
      </c>
    </row>
    <row r="80" spans="1:18">
      <c r="B80" s="331" t="s">
        <v>800</v>
      </c>
      <c r="C80" s="266">
        <f ca="1">ROUND(C75/C39,3)</f>
        <v>0.26700000000000002</v>
      </c>
    </row>
    <row r="81" spans="2:3">
      <c r="B81" s="262" t="s">
        <v>801</v>
      </c>
      <c r="C81" s="230"/>
    </row>
    <row r="82" spans="2:3">
      <c r="B82" s="265" t="s">
        <v>802</v>
      </c>
      <c r="C82" s="267">
        <f ca="1">1-C83</f>
        <v>0.71700000000000008</v>
      </c>
    </row>
    <row r="83" spans="2:3">
      <c r="B83" s="265" t="s">
        <v>803</v>
      </c>
      <c r="C83" s="266">
        <f ca="1">ROUND(C13/C40,3)</f>
        <v>0.28299999999999997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6" priority="3">
      <formula>$F$10="自定义"</formula>
    </cfRule>
  </conditionalFormatting>
  <conditionalFormatting sqref="C54">
    <cfRule type="expression" dxfId="25" priority="1">
      <formula>$F$53="自定义"</formula>
    </cfRule>
  </conditionalFormatting>
  <conditionalFormatting sqref="I55 I60">
    <cfRule type="expression" dxfId="24" priority="5">
      <formula>$J$51&gt;$L$48</formula>
    </cfRule>
  </conditionalFormatting>
  <conditionalFormatting sqref="J11">
    <cfRule type="expression" dxfId="23" priority="2">
      <formula>$M$10="自定义"</formula>
    </cfRule>
  </conditionalFormatting>
  <conditionalFormatting sqref="K55 K60">
    <cfRule type="expression" dxfId="22"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5" zoomScale="70" zoomScaleNormal="70" zoomScaleSheetLayoutView="70" workbookViewId="0">
      <selection activeCell="M17" sqref="M1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18.850000000000001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1082</v>
      </c>
      <c r="C2" s="1289" t="s">
        <v>805</v>
      </c>
      <c r="D2" s="1289"/>
      <c r="E2" s="1295"/>
      <c r="F2" s="1296"/>
      <c r="G2" s="2476"/>
      <c r="H2" s="2466"/>
      <c r="I2" s="2466"/>
      <c r="J2" s="2466"/>
      <c r="K2" s="2467"/>
      <c r="L2" s="2466"/>
      <c r="M2" s="2466"/>
    </row>
    <row r="3" spans="1:37" ht="18" customHeight="1" thickBot="1">
      <c r="A3" s="1297" t="s">
        <v>806</v>
      </c>
      <c r="B3" s="1298">
        <f ca="1">IF(ISERROR(B2*10000/F43),0,ROUND(B2*10000/F43,0))</f>
        <v>22686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99</v>
      </c>
      <c r="D5" s="1273" t="s">
        <v>693</v>
      </c>
      <c r="E5" s="1008"/>
      <c r="F5" s="1009"/>
      <c r="G5" s="1292"/>
      <c r="H5" s="291">
        <v>1</v>
      </c>
      <c r="I5" s="292" t="s">
        <v>692</v>
      </c>
      <c r="J5" s="1007">
        <f ca="1">J6+J10+J12</f>
        <v>0</v>
      </c>
      <c r="K5" s="1273" t="s">
        <v>693</v>
      </c>
      <c r="L5" s="1008"/>
      <c r="M5" s="1009"/>
    </row>
    <row r="6" spans="1:37" ht="18" customHeight="1">
      <c r="A6" s="1006" t="s">
        <v>398</v>
      </c>
      <c r="B6" s="3482" t="s">
        <v>694</v>
      </c>
      <c r="C6" s="1011">
        <f ca="1">ROUND(F6*F8*F7*(1-F9)/10000,0)</f>
        <v>99</v>
      </c>
      <c r="D6" s="147" t="s">
        <v>2109</v>
      </c>
      <c r="E6" s="294" t="s">
        <v>696</v>
      </c>
      <c r="F6" s="295">
        <f ca="1">INDIRECT("'数据-取费表'!u"&amp;$G$1)</f>
        <v>6.3</v>
      </c>
      <c r="G6" s="1292"/>
      <c r="H6" s="1006" t="s">
        <v>398</v>
      </c>
      <c r="I6" s="3482" t="s">
        <v>694</v>
      </c>
      <c r="J6" s="293">
        <f ca="1">ROUND(M6*M8*M7*(1-M9)/10000,0)</f>
        <v>0</v>
      </c>
      <c r="K6" s="147" t="s">
        <v>2108</v>
      </c>
      <c r="L6" s="294" t="s">
        <v>696</v>
      </c>
      <c r="M6" s="295">
        <f ca="1">INDIRECT("'数据-取费表'!z"&amp;$G$1)</f>
        <v>0</v>
      </c>
    </row>
    <row r="7" spans="1:37" ht="18" customHeight="1">
      <c r="A7" s="1010"/>
      <c r="B7" s="3483"/>
      <c r="C7" s="1012"/>
      <c r="D7" s="299"/>
      <c r="E7" s="1013" t="s">
        <v>697</v>
      </c>
      <c r="F7" s="295">
        <f ca="1">IF(INDIRECT("'数据-取费表'!ah"&amp;$G$1)="",INDIRECT("'数据-取费表'!k"&amp;$G$1),INDIRECT("'数据-取费表'!ah"&amp;$G$1))</f>
        <v>476.94000000000005</v>
      </c>
      <c r="G7" s="1292"/>
      <c r="H7" s="296"/>
      <c r="I7" s="3483"/>
      <c r="J7" s="298"/>
      <c r="K7" s="299"/>
      <c r="L7" s="294" t="s">
        <v>697</v>
      </c>
      <c r="M7" s="295">
        <f ca="1">F7</f>
        <v>476.94000000000005</v>
      </c>
    </row>
    <row r="8" spans="1:37" ht="18" customHeight="1">
      <c r="A8" s="296"/>
      <c r="B8" s="3483"/>
      <c r="C8" s="298"/>
      <c r="D8" s="299"/>
      <c r="E8" s="294" t="s">
        <v>698</v>
      </c>
      <c r="F8" s="295">
        <f ca="1">INDIRECT("'数据-取费表'!ai"&amp;$G$1)</f>
        <v>365</v>
      </c>
      <c r="G8" s="1292"/>
      <c r="H8" s="296"/>
      <c r="I8" s="3483"/>
      <c r="J8" s="298"/>
      <c r="K8" s="299"/>
      <c r="L8" s="294" t="s">
        <v>698</v>
      </c>
      <c r="M8" s="295">
        <f ca="1">INDIRECT("'数据-取费表'!ai"&amp;$G$1)</f>
        <v>365</v>
      </c>
    </row>
    <row r="9" spans="1:37" ht="18" customHeight="1">
      <c r="A9" s="296"/>
      <c r="B9" s="3484"/>
      <c r="C9" s="298"/>
      <c r="D9" s="299"/>
      <c r="E9" s="294" t="s">
        <v>699</v>
      </c>
      <c r="F9" s="304">
        <f ca="1">INDIRECT("'数据-取费表'!w"&amp;$G$1)</f>
        <v>0.1</v>
      </c>
      <c r="G9" s="1292"/>
      <c r="H9" s="296"/>
      <c r="I9" s="34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294</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267</v>
      </c>
      <c r="D14" s="1257" t="s">
        <v>708</v>
      </c>
      <c r="E14" s="1255"/>
      <c r="F14" s="311"/>
      <c r="G14" s="1292"/>
      <c r="H14" s="928" t="s">
        <v>398</v>
      </c>
      <c r="I14" s="294" t="s">
        <v>709</v>
      </c>
      <c r="J14" s="21">
        <f ca="1">C29</f>
        <v>426</v>
      </c>
      <c r="K14" s="12"/>
      <c r="L14" s="759"/>
      <c r="M14" s="760"/>
    </row>
    <row r="15" spans="1:37" s="1304" customFormat="1" ht="18" customHeight="1" thickBot="1">
      <c r="A15" s="928" t="s">
        <v>399</v>
      </c>
      <c r="B15" s="294" t="s">
        <v>710</v>
      </c>
      <c r="C15" s="21">
        <f ca="1">ROUND(C14*F15,0)</f>
        <v>21</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10</v>
      </c>
      <c r="D17" s="294" t="s">
        <v>717</v>
      </c>
      <c r="E17" s="294" t="s">
        <v>718</v>
      </c>
      <c r="F17" s="23">
        <f>'数据-取费表'!B35</f>
        <v>200</v>
      </c>
      <c r="G17" s="1303"/>
      <c r="H17" s="928" t="s">
        <v>398</v>
      </c>
      <c r="I17" s="294" t="s">
        <v>719</v>
      </c>
      <c r="J17" s="2140">
        <f ca="1">ROUND(IF(AND(项目基本情况!B11="自然人",项目基本情况!B10="北京市"),J6*M17/(1+'数据-取费表'!C42),J18+J19+J20),2)</f>
        <v>0.03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303</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v>
      </c>
      <c r="D20" s="315" t="s">
        <v>729</v>
      </c>
      <c r="E20" s="294" t="s">
        <v>712</v>
      </c>
      <c r="F20" s="314">
        <f>'数据-取费表'!B37</f>
        <v>2.5000000000000001E-2</v>
      </c>
      <c r="G20" s="1303"/>
      <c r="H20" s="928" t="s">
        <v>680</v>
      </c>
      <c r="I20" s="147" t="s">
        <v>730</v>
      </c>
      <c r="J20" s="22">
        <f ca="1">ROUND(M20*M21/10000,2)</f>
        <v>0.03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10.68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4.26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62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426</v>
      </c>
      <c r="D29" s="1029"/>
      <c r="E29" s="1027"/>
      <c r="F29" s="1030"/>
      <c r="G29" s="1303"/>
      <c r="H29" s="325" t="s">
        <v>396</v>
      </c>
      <c r="I29" s="326" t="s">
        <v>768</v>
      </c>
      <c r="J29" s="327">
        <f ca="1">ROUND(J26/(1+F40)^F41,0)</f>
        <v>0</v>
      </c>
      <c r="K29" s="328" t="s">
        <v>769</v>
      </c>
      <c r="L29" s="329"/>
      <c r="M29" s="330">
        <f ca="1">INDIRECT("'数据-取费表'!k"&amp;$G$1)</f>
        <v>476.94000000000005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16.62</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5.28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11.31</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0.03</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10.68</v>
      </c>
      <c r="G35" s="1292"/>
      <c r="H35" s="2468"/>
      <c r="I35" s="1305"/>
      <c r="J35" s="1306"/>
      <c r="K35" s="2472"/>
      <c r="L35" s="2471"/>
      <c r="M35" s="2471"/>
    </row>
    <row r="36" spans="1:18" ht="18" customHeight="1">
      <c r="A36" s="1039" t="s">
        <v>402</v>
      </c>
      <c r="B36" s="294" t="s">
        <v>738</v>
      </c>
      <c r="C36" s="21">
        <f ca="1">ROUND(C29*F36,2)</f>
        <v>4.26</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0.28999999999999998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0.5</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77</v>
      </c>
      <c r="D39" s="1032" t="s">
        <v>773</v>
      </c>
      <c r="E39" s="1033"/>
      <c r="F39" s="1034"/>
      <c r="G39" s="1292"/>
      <c r="H39" s="2471"/>
      <c r="I39" s="1305"/>
      <c r="J39" s="1306"/>
      <c r="K39" s="2469"/>
      <c r="L39" s="2471"/>
      <c r="M39" s="2471"/>
    </row>
    <row r="40" spans="1:18" ht="18" customHeight="1">
      <c r="A40" s="291" t="s">
        <v>395</v>
      </c>
      <c r="B40" s="292" t="s">
        <v>774</v>
      </c>
      <c r="C40" s="293">
        <f ca="1">ROUND(C39*(1-((1+F42)/(1+F40))^F41)/(F40-F42),0)</f>
        <v>1035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18.850000000000001</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21701</v>
      </c>
      <c r="D43" s="328" t="s">
        <v>777</v>
      </c>
      <c r="E43" s="329" t="s">
        <v>778</v>
      </c>
      <c r="F43" s="330">
        <f ca="1">INDIRECT("'数据-取费表'!k"&amp;$G$1)</f>
        <v>476.94000000000005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-1093</v>
      </c>
      <c r="D46" s="1313" t="str">
        <f>C2</f>
        <v>万元</v>
      </c>
      <c r="E46" s="1307"/>
      <c r="F46" s="1307"/>
      <c r="I46" s="1314" t="s">
        <v>810</v>
      </c>
      <c r="J46" s="1315"/>
      <c r="K46" s="1316"/>
      <c r="L46" s="1317">
        <f ca="1">IF(M47="住宅",0,IF(L48&gt;J51,L60,J60))</f>
        <v>47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1035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18.850000000000001</v>
      </c>
      <c r="O48" s="1325" t="s">
        <v>404</v>
      </c>
      <c r="P48" s="1326" t="s">
        <v>821</v>
      </c>
      <c r="Q48" s="1327">
        <f ca="1">J60</f>
        <v>47</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1996</v>
      </c>
      <c r="K49" s="1330" t="s">
        <v>824</v>
      </c>
      <c r="L49" s="1333"/>
      <c r="O49" s="1334" t="s">
        <v>405</v>
      </c>
      <c r="P49" s="1326" t="s">
        <v>825</v>
      </c>
      <c r="Q49" s="1327">
        <f ca="1">C29</f>
        <v>426</v>
      </c>
      <c r="R49" s="1327" t="s">
        <v>818</v>
      </c>
    </row>
    <row r="50" spans="1:18" s="1292" customFormat="1" ht="13.8" thickBot="1">
      <c r="A50" s="922"/>
      <c r="B50" s="925"/>
      <c r="C50" s="1055"/>
      <c r="D50" s="899"/>
      <c r="E50" s="993" t="s">
        <v>697</v>
      </c>
      <c r="F50" s="994">
        <f ca="1">F7</f>
        <v>476.94000000000005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880</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18.850000000000001</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18.850000000000001</v>
      </c>
      <c r="K53" s="3485" t="s">
        <v>837</v>
      </c>
      <c r="L53" s="3486"/>
      <c r="O53" s="1325" t="s">
        <v>409</v>
      </c>
      <c r="P53" s="1326" t="s">
        <v>838</v>
      </c>
      <c r="Q53" s="1327">
        <f ca="1">Q47+Q48</f>
        <v>1082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294</v>
      </c>
      <c r="D56" s="1352"/>
      <c r="E56" s="1353"/>
      <c r="F56" s="1345"/>
      <c r="I56" s="1354" t="s">
        <v>842</v>
      </c>
      <c r="J56" s="1355"/>
      <c r="K56" s="1328" t="s">
        <v>843</v>
      </c>
      <c r="L56" s="1331" t="str">
        <f ca="1">IF(L48&lt;J51,"——",L48-J53)</f>
        <v>——</v>
      </c>
      <c r="O56" s="1325" t="s">
        <v>403</v>
      </c>
      <c r="P56" s="1326" t="s">
        <v>817</v>
      </c>
      <c r="Q56" s="1327">
        <f ca="1">C40+J29</f>
        <v>1035</v>
      </c>
      <c r="R56" s="1327" t="s">
        <v>818</v>
      </c>
    </row>
    <row r="57" spans="1:18" s="1292" customFormat="1" ht="24.6" thickBot="1">
      <c r="A57" s="1356"/>
      <c r="B57" s="896" t="s">
        <v>767</v>
      </c>
      <c r="C57" s="230">
        <f ca="1">C29</f>
        <v>426</v>
      </c>
      <c r="D57" s="1357"/>
      <c r="E57" s="1358"/>
      <c r="F57" s="1359"/>
      <c r="I57" s="1360" t="s">
        <v>844</v>
      </c>
      <c r="J57" s="1361">
        <f ca="1">IF(OR(M47="住宅",J51&lt;L48,J56="是"),"——",J51-L48)</f>
        <v>12.149999999999999</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0.03</v>
      </c>
      <c r="D62" s="911" t="s">
        <v>786</v>
      </c>
      <c r="E62" s="896" t="s">
        <v>787</v>
      </c>
      <c r="F62" s="317">
        <f t="shared" si="0"/>
        <v>30</v>
      </c>
      <c r="I62" s="1367" t="s">
        <v>858</v>
      </c>
      <c r="J62" s="610" t="s">
        <v>859</v>
      </c>
      <c r="K62" s="610" t="s">
        <v>860</v>
      </c>
      <c r="L62" s="610" t="s">
        <v>861</v>
      </c>
      <c r="M62" s="1368" t="s">
        <v>862</v>
      </c>
      <c r="O62" s="1325" t="s">
        <v>409</v>
      </c>
      <c r="P62" s="1326" t="s">
        <v>863</v>
      </c>
      <c r="Q62" s="1327">
        <f ca="1">Q56+Q57</f>
        <v>1035</v>
      </c>
      <c r="R62" s="1327" t="s">
        <v>410</v>
      </c>
    </row>
    <row r="63" spans="1:18" s="1292" customFormat="1" ht="13.8" thickBot="1">
      <c r="A63" s="318"/>
      <c r="B63" s="902"/>
      <c r="C63" s="26"/>
      <c r="D63" s="912"/>
      <c r="E63" s="896" t="s">
        <v>788</v>
      </c>
      <c r="F63" s="295">
        <f t="shared" ca="1" si="0"/>
        <v>10.68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4.26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0.28999999999999998</v>
      </c>
      <c r="D65" s="910" t="s">
        <v>743</v>
      </c>
      <c r="E65" s="896" t="s">
        <v>744</v>
      </c>
      <c r="F65" s="321">
        <f t="shared" ca="1" si="0"/>
        <v>1E-3</v>
      </c>
      <c r="I65" s="1367" t="s">
        <v>867</v>
      </c>
      <c r="J65" s="610">
        <v>40</v>
      </c>
      <c r="K65" s="610">
        <v>30</v>
      </c>
      <c r="L65" s="610">
        <v>50</v>
      </c>
      <c r="M65" s="1369">
        <v>0.02</v>
      </c>
      <c r="O65" s="1325" t="s">
        <v>403</v>
      </c>
      <c r="P65" s="1326" t="s">
        <v>868</v>
      </c>
      <c r="Q65" s="1327">
        <f ca="1">C40+J29</f>
        <v>1035</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880</v>
      </c>
      <c r="R67" s="1327" t="s">
        <v>870</v>
      </c>
    </row>
    <row r="68" spans="1:18" s="1292" customFormat="1" ht="16.2" thickBot="1">
      <c r="A68" s="893" t="s">
        <v>395</v>
      </c>
      <c r="B68" s="894" t="s">
        <v>774</v>
      </c>
      <c r="C68" s="293">
        <f ca="1">ROUND(C67*(1-((1+F70)/(1+F68))^F69)/(F68-F70),0)</f>
        <v>-58</v>
      </c>
      <c r="D68" s="911" t="s">
        <v>758</v>
      </c>
      <c r="E68" s="896" t="s">
        <v>759</v>
      </c>
      <c r="F68" s="304">
        <f ca="1">F40</f>
        <v>5.5E-2</v>
      </c>
      <c r="O68" s="1334" t="s">
        <v>406</v>
      </c>
      <c r="P68" s="1371" t="s">
        <v>871</v>
      </c>
      <c r="Q68" s="1327">
        <f ca="1">ROUND(Q69-Q70*Q71,0)</f>
        <v>56</v>
      </c>
      <c r="R68" s="1327" t="s">
        <v>414</v>
      </c>
    </row>
    <row r="69" spans="1:18" s="1292" customFormat="1" ht="13.8" thickBot="1">
      <c r="A69" s="897"/>
      <c r="B69" s="898"/>
      <c r="C69" s="298"/>
      <c r="D69" s="916" t="s">
        <v>762</v>
      </c>
      <c r="E69" s="896" t="s">
        <v>763</v>
      </c>
      <c r="F69" s="324">
        <f ca="1">F41</f>
        <v>18.850000000000001</v>
      </c>
      <c r="O69" s="1334" t="s">
        <v>411</v>
      </c>
      <c r="P69" s="1371" t="s">
        <v>872</v>
      </c>
      <c r="Q69" s="1327">
        <f ca="1">C39</f>
        <v>77</v>
      </c>
      <c r="R69" s="1327" t="s">
        <v>818</v>
      </c>
    </row>
    <row r="70" spans="1:18" s="1292" customFormat="1" ht="13.8" thickBot="1">
      <c r="A70" s="900"/>
      <c r="B70" s="901"/>
      <c r="C70" s="302"/>
      <c r="D70" s="912"/>
      <c r="E70" s="896" t="s">
        <v>766</v>
      </c>
      <c r="F70" s="991"/>
      <c r="O70" s="1334" t="s">
        <v>412</v>
      </c>
      <c r="P70" s="1371" t="s">
        <v>873</v>
      </c>
      <c r="Q70" s="1327">
        <f ca="1">C13</f>
        <v>294</v>
      </c>
      <c r="R70" s="1327" t="s">
        <v>818</v>
      </c>
    </row>
    <row r="71" spans="1:18" s="1292" customFormat="1" ht="13.8" thickBot="1">
      <c r="A71" s="917" t="s">
        <v>396</v>
      </c>
      <c r="B71" s="918" t="s">
        <v>776</v>
      </c>
      <c r="C71" s="327">
        <f ca="1">ROUND(C68*10000/F71,0)</f>
        <v>-1216</v>
      </c>
      <c r="D71" s="919" t="s">
        <v>777</v>
      </c>
      <c r="E71" s="920" t="s">
        <v>778</v>
      </c>
      <c r="F71" s="330">
        <f ca="1">F43</f>
        <v>476.94000000000005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v>
      </c>
      <c r="D75" s="1292"/>
      <c r="E75" s="1292"/>
      <c r="F75" s="1292"/>
      <c r="K75" s="1309"/>
      <c r="L75" s="1292"/>
      <c r="O75" s="1325" t="s">
        <v>409</v>
      </c>
      <c r="P75" s="1326" t="s">
        <v>838</v>
      </c>
      <c r="Q75" s="1327">
        <f ca="1">Q65+Q66</f>
        <v>1035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0.72699999999999998</v>
      </c>
    </row>
    <row r="80" spans="1:18">
      <c r="B80" s="331" t="s">
        <v>800</v>
      </c>
      <c r="C80" s="266">
        <f ca="1">ROUND(C75/C39,3)</f>
        <v>0.27300000000000002</v>
      </c>
    </row>
    <row r="81" spans="2:3">
      <c r="B81" s="262" t="s">
        <v>801</v>
      </c>
      <c r="C81" s="230"/>
    </row>
    <row r="82" spans="2:3">
      <c r="B82" s="265" t="s">
        <v>802</v>
      </c>
      <c r="C82" s="267">
        <f ca="1">1-C83</f>
        <v>0.71599999999999997</v>
      </c>
    </row>
    <row r="83" spans="2:3">
      <c r="B83" s="265" t="s">
        <v>803</v>
      </c>
      <c r="C83" s="266">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7">
      <formula>$J$51&gt;$L$48</formula>
    </cfRule>
  </conditionalFormatting>
  <conditionalFormatting sqref="J11">
    <cfRule type="expression" dxfId="18" priority="2">
      <formula>$M$10="自定义"</formula>
    </cfRule>
  </conditionalFormatting>
  <conditionalFormatting sqref="K55 K60">
    <cfRule type="expression" dxfId="17"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1604</v>
      </c>
    </row>
    <row r="6" spans="1:5" ht="15.6">
      <c r="B6" s="3168"/>
      <c r="C6" s="1392" t="s">
        <v>911</v>
      </c>
      <c r="D6" s="797" t="str">
        <f ca="1">NUMBERSTRING(INT(D5*10000),2)&amp;"元整"</f>
        <v>壹仟陆佰零肆万元整</v>
      </c>
    </row>
    <row r="7" spans="1:5" ht="15.6">
      <c r="B7" s="3173"/>
      <c r="C7" s="1393" t="s">
        <v>912</v>
      </c>
      <c r="D7" s="798">
        <f ca="1">结果表!H102</f>
        <v>33631</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1604</v>
      </c>
    </row>
    <row r="14" spans="1:5" ht="15.6">
      <c r="B14" s="3168"/>
      <c r="C14" s="1392" t="s">
        <v>911</v>
      </c>
      <c r="D14" s="797" t="str">
        <f ca="1">NUMBERSTRING(INT(D13*10000),2)&amp;"元整"</f>
        <v>壹仟陆佰零肆万元整</v>
      </c>
    </row>
    <row r="15" spans="1:5" ht="15.6">
      <c r="B15" s="3173"/>
      <c r="C15" s="1393" t="s">
        <v>921</v>
      </c>
      <c r="D15" s="806">
        <f ca="1">结果表!H108</f>
        <v>33631</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4.抵押净值</v>
      </c>
      <c r="C19" s="1397" t="s">
        <v>910</v>
      </c>
      <c r="D19" s="798">
        <f ca="1">结果表!H111</f>
        <v>1517</v>
      </c>
    </row>
    <row r="20" spans="1:5" ht="15.6">
      <c r="B20" s="3168"/>
      <c r="C20" s="1392" t="s">
        <v>923</v>
      </c>
      <c r="D20" s="797" t="str">
        <f ca="1">NUMBERSTRING(INT(D19*10000),2)&amp;"元整"</f>
        <v>壹仟伍佰壹拾柒万元整</v>
      </c>
    </row>
    <row r="21" spans="1:5" ht="16.2" thickBot="1">
      <c r="B21" s="3169"/>
      <c r="C21" s="1399" t="s">
        <v>921</v>
      </c>
      <c r="D21" s="807">
        <f ca="1">结果表!H112</f>
        <v>31807</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D1B56-AB45-4A45-9420-1FBC60D1775E}">
  <sheetPr>
    <tabColor rgb="FFFF0000"/>
  </sheetPr>
  <dimension ref="A1:AJ512"/>
  <sheetViews>
    <sheetView view="pageBreakPreview" topLeftCell="A56" zoomScaleNormal="100" zoomScaleSheetLayoutView="100" zoomScalePageLayoutView="80" workbookViewId="0">
      <selection activeCell="G7" sqref="G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3407</v>
      </c>
      <c r="H1" s="1621" t="str">
        <f>IF(G1="现房","——","估价对象范围")</f>
        <v>——</v>
      </c>
      <c r="I1" s="1622"/>
    </row>
    <row r="2" spans="1:12" ht="21.75" customHeight="1" thickBot="1">
      <c r="A2" s="3288" t="str">
        <f>项目基本情况!S2</f>
        <v>北京市朝阳区朝阳门外大街18号房地产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3507</v>
      </c>
      <c r="D4" s="1626" t="s">
        <v>3504</v>
      </c>
      <c r="E4" s="3294" t="s">
        <v>1267</v>
      </c>
      <c r="F4" s="3295"/>
      <c r="G4" s="3295"/>
      <c r="H4" s="3295"/>
      <c r="I4" s="3296"/>
      <c r="K4" s="138" t="str">
        <f>IF(ISNUMBER(FIND("比较法",'结果表 (2)'!C4)),"比较法",IF(ISNUMBER(FIND("成本法",'结果表 (2)'!C4)),"成本法",IF(ISNUMBER(FIND("假设开发法",'结果表 (2)'!C4)),"假设开发法",IF(ISNUMBER(FIND("收益法",'结果表 (2)'!C4)),"收益法","基准地价系数修正法"))))</f>
        <v>成本法</v>
      </c>
      <c r="L4" s="138" t="str">
        <f>IF(ISNUMBER(FIND("比较法",'结果表 (2)'!D4)),"比较法",IF(ISNUMBER(FIND("成本法",'结果表 (2)'!D4)),"成本法",IF(ISNUMBER(FIND("假设开发法",'结果表 (2)'!D4)),"假设开发法",IF(ISNUMBER(FIND("收益法",'结果表 (2)'!D4)),"收益法","基准地价系数修正法"))))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v>7</v>
      </c>
      <c r="D14" s="3291">
        <v>3</v>
      </c>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8" t="s">
        <v>2131</v>
      </c>
      <c r="F18" s="3279"/>
      <c r="G18" s="3279"/>
      <c r="H18" s="3279"/>
      <c r="I18" s="3279"/>
      <c r="K18" s="294" t="s">
        <v>1289</v>
      </c>
      <c r="L18" s="294">
        <f>IF(C1="",'数据-汇总表'!E3,SUMIF(项目类型,C1,'数据-汇总表'!E17:E26)+SUMIF(项目类型,C1,'数据-汇总表'!I17:I26))</f>
        <v>1964.21</v>
      </c>
      <c r="M18" s="294">
        <f>IF(C1="",'数据-汇总表'!E3,SUMIF(项目类型,C1,'数据-汇总表'!E17:E26))</f>
        <v>1964.21</v>
      </c>
    </row>
    <row r="19" spans="1:36" ht="14.4">
      <c r="A19" s="1630" t="s">
        <v>1290</v>
      </c>
      <c r="B19" s="1631" t="s">
        <v>1291</v>
      </c>
      <c r="C19" s="126">
        <f ca="1">SUMIF(INDIRECT("'"&amp;C4&amp;"'"&amp;"!A:A"),'结果表 (2)'!B19,INDIRECT("'"&amp;C4&amp;"'"&amp;"!B:B"))</f>
        <v>4092</v>
      </c>
      <c r="D19" s="127">
        <f ca="1">SUMIF(INDIRECT("'"&amp;D4&amp;"'"&amp;"!A:A"),'结果表 (2)'!B19,INDIRECT("'"&amp;D4&amp;"'"&amp;"!B:B"))</f>
        <v>2205</v>
      </c>
      <c r="E19" s="1630" t="s">
        <v>1292</v>
      </c>
      <c r="F19" s="1631" t="s">
        <v>1291</v>
      </c>
      <c r="G19" s="128">
        <f ca="1">ROUND(C19*$C$18+D19*$D$18,0)</f>
        <v>3526</v>
      </c>
      <c r="H19" s="1632" t="s">
        <v>1293</v>
      </c>
      <c r="I19" s="121"/>
      <c r="K19" s="294" t="s">
        <v>1294</v>
      </c>
      <c r="L19" s="294">
        <f>IF(C1="",'数据-汇总表'!D3,SUMIF(项目类型,C1,'数据-汇总表'!D17:D26)+SUMIF(项目类型,C1,'数据-汇总表'!H17:H27))</f>
        <v>43.98</v>
      </c>
      <c r="M19" s="294">
        <f>IF(C1="",'数据-汇总表'!D3,SUMIF(项目类型,C1,'数据-汇总表'!D17:D26))</f>
        <v>43.98</v>
      </c>
    </row>
    <row r="20" spans="1:36" ht="14.4">
      <c r="A20" s="1633"/>
      <c r="B20" s="43" t="s">
        <v>1295</v>
      </c>
      <c r="C20" s="129">
        <f ca="1">SUMIF(INDIRECT("'"&amp;C4&amp;"'"&amp;"!A:A"),'结果表 (2)'!B20,INDIRECT("'"&amp;C4&amp;"'"&amp;"!B:B"))</f>
        <v>20833</v>
      </c>
      <c r="D20" s="130">
        <f ca="1">SUMIF(INDIRECT("'"&amp;D4&amp;"'"&amp;"!A:A"),'结果表 (2)'!B20,INDIRECT("'"&amp;D4&amp;"'"&amp;"!B:B"))</f>
        <v>11226</v>
      </c>
      <c r="E20" s="1633"/>
      <c r="F20" s="43" t="s">
        <v>1295</v>
      </c>
      <c r="G20" s="131">
        <f ca="1">ROUND(C20*$C$18+D20*$D$18,0)</f>
        <v>17951</v>
      </c>
      <c r="H20" s="760" t="s">
        <v>1296</v>
      </c>
      <c r="I20" s="121"/>
    </row>
    <row r="21" spans="1:36" ht="15" customHeight="1" thickBot="1">
      <c r="A21" s="449"/>
      <c r="B21" s="93" t="s">
        <v>1297</v>
      </c>
      <c r="C21" s="678">
        <f ca="1">ROUND(C19*10000/L19,0)</f>
        <v>930423</v>
      </c>
      <c r="D21" s="679">
        <f ca="1">ROUND(D19*10000/L19,0)</f>
        <v>501364</v>
      </c>
      <c r="E21" s="449"/>
      <c r="F21" s="93" t="s">
        <v>1297</v>
      </c>
      <c r="G21" s="132">
        <f ca="1">ROUND(G19*10000/L19,0)</f>
        <v>801728</v>
      </c>
      <c r="H21" s="1634" t="s">
        <v>1296</v>
      </c>
      <c r="I21" s="121"/>
    </row>
    <row r="22" spans="1:36" ht="15" thickBot="1">
      <c r="A22" s="1564" t="s">
        <v>1298</v>
      </c>
      <c r="B22" s="1635"/>
      <c r="C22" s="1636"/>
      <c r="D22" s="680">
        <f ca="1">IF(C19&lt;D19,D19/C19-1,C19/D19-1)</f>
        <v>0.85578231292517004</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316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3526</v>
      </c>
      <c r="D32" s="1641" t="s">
        <v>3495</v>
      </c>
      <c r="E32" s="121"/>
      <c r="F32" s="121"/>
      <c r="G32" s="121"/>
      <c r="H32" s="121"/>
      <c r="I32" s="121"/>
    </row>
    <row r="33" spans="1:15" ht="14.4">
      <c r="A33" s="740" t="s">
        <v>1306</v>
      </c>
      <c r="B33" s="123"/>
      <c r="C33" s="1642" t="s">
        <v>3496</v>
      </c>
      <c r="D33" s="1643" t="s">
        <v>3493</v>
      </c>
      <c r="E33" s="1644" t="s">
        <v>1307</v>
      </c>
      <c r="F33" s="1645" t="str">
        <f>IF(D32="楼面单价","取值（单价）","取值（总价）")</f>
        <v>取值（总价）</v>
      </c>
      <c r="G33" s="121"/>
      <c r="H33" s="121"/>
      <c r="I33" s="121"/>
    </row>
    <row r="34" spans="1:15" ht="14.4">
      <c r="A34" s="1646"/>
      <c r="B34" s="1647" t="s">
        <v>1308</v>
      </c>
      <c r="C34" s="140">
        <f ca="1">IF(C33="自定义",F34,C32-C35)</f>
        <v>2958</v>
      </c>
      <c r="D34" s="808">
        <f ca="1">IF(C33="自定义",ROUND(C34/C32,3),IF(C33="收益比率",SUMIF(INDIRECT("'"&amp;D33&amp;"'"&amp;"!b:b"),"土地收益比率",INDIRECT("'"&amp;D33&amp;"'"&amp;"!c:c")),SUMIF(INDIRECT("'"&amp;D33&amp;"'"&amp;"!b:b"),"土地成本比率",INDIRECT("'"&amp;D33&amp;"'"&amp;"!c:c"))))</f>
        <v>0.83899999999999997</v>
      </c>
      <c r="E34" s="1648" t="s">
        <v>1309</v>
      </c>
      <c r="F34" s="1243"/>
      <c r="G34" s="121"/>
      <c r="H34" s="121"/>
      <c r="I34" s="121"/>
    </row>
    <row r="35" spans="1:15" ht="15" thickBot="1">
      <c r="A35" s="1649"/>
      <c r="B35" s="1650" t="s">
        <v>1310</v>
      </c>
      <c r="C35" s="1090">
        <f ca="1">IF(C33="自定义",F35,ROUND(C32*D35,0))</f>
        <v>568</v>
      </c>
      <c r="D35" s="1091">
        <f ca="1">IF(C33="自定义",ROUND(C35/C32,3),IF(C33="收益比率",SUMIF(INDIRECT("'"&amp;D33&amp;"'"&amp;"!b:b"),"建筑物收益比率",INDIRECT("'"&amp;D33&amp;"'"&amp;"!c:c")),SUMIF(INDIRECT("'"&amp;D33&amp;"'"&amp;"!b:b"),"建筑物成本比率",INDIRECT("'"&amp;D33&amp;"'"&amp;"!c:c"))))</f>
        <v>0.161</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3526</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08">
        <v>1</v>
      </c>
      <c r="K46" s="3318" t="s">
        <v>1331</v>
      </c>
      <c r="L46" s="3318"/>
      <c r="M46" s="3338"/>
      <c r="N46" s="3338"/>
      <c r="O46" s="3338"/>
    </row>
    <row r="47" spans="1:15" ht="12" customHeight="1">
      <c r="A47" s="152" t="s">
        <v>1332</v>
      </c>
      <c r="B47" s="153"/>
      <c r="C47" s="154"/>
      <c r="D47" s="1024" t="s">
        <v>1333</v>
      </c>
      <c r="E47" s="294" t="s">
        <v>1334</v>
      </c>
      <c r="F47" s="155" t="s">
        <v>1335</v>
      </c>
      <c r="G47" s="2331" t="s">
        <v>1336</v>
      </c>
      <c r="H47" s="2332"/>
      <c r="I47" s="151"/>
      <c r="J47" s="2308">
        <v>2</v>
      </c>
      <c r="K47" s="3318" t="s">
        <v>1337</v>
      </c>
      <c r="L47" s="3318"/>
      <c r="M47" s="3339">
        <f>'数据-取费表'!B2</f>
        <v>45747</v>
      </c>
      <c r="N47" s="3339"/>
      <c r="O47" s="3339"/>
    </row>
    <row r="48" spans="1:15" ht="26.4">
      <c r="A48" s="3287" t="s">
        <v>1338</v>
      </c>
      <c r="B48" s="3270"/>
      <c r="C48" s="3270"/>
      <c r="D48" s="12">
        <f ca="1">IF(H48="情况1",0,IF(H48="情况2",D52,IF(H48="情况3",D53,IF(H48="情况4",D54))))</f>
        <v>188</v>
      </c>
      <c r="E48" s="1256" t="str">
        <f>IF(H48="情况4","(销售额-原购置价)×税（费）率","销售额×税（费）率")</f>
        <v>销售额×税（费）率</v>
      </c>
      <c r="F48" s="2333">
        <f>IF(H48="情况1","免征",'数据-取费表'!B41)</f>
        <v>5.6000000000000001E-2</v>
      </c>
      <c r="G48" s="2334" t="s">
        <v>1339</v>
      </c>
      <c r="H48" s="2335" t="s">
        <v>3488</v>
      </c>
      <c r="I48" s="1668"/>
      <c r="J48" s="2308">
        <v>3</v>
      </c>
      <c r="K48" s="3318" t="s">
        <v>1340</v>
      </c>
      <c r="L48" s="3318"/>
      <c r="M48" s="3340">
        <f ca="1">ROUND(H101,0)</f>
        <v>3526</v>
      </c>
      <c r="N48" s="3340"/>
      <c r="O48" s="3340"/>
    </row>
    <row r="49" spans="1:35" ht="25.5" customHeight="1">
      <c r="A49" s="2152" t="s">
        <v>1341</v>
      </c>
      <c r="B49" s="3254" t="s">
        <v>1342</v>
      </c>
      <c r="C49" s="3254"/>
      <c r="D49" s="1478">
        <v>0</v>
      </c>
      <c r="E49" s="316" t="s">
        <v>1343</v>
      </c>
      <c r="F49" s="2232" t="s">
        <v>28</v>
      </c>
      <c r="G49" s="3324"/>
      <c r="H49" s="2134" t="s">
        <v>2134</v>
      </c>
      <c r="I49" s="2135"/>
      <c r="J49" s="2308">
        <v>4</v>
      </c>
      <c r="K49" s="3318" t="str">
        <f>IF(项目基本情况!E8="房地产抵押价值","房地产抵押价值","抵押担保权已注销时的房地产抵押价值")</f>
        <v>房地产抵押价值</v>
      </c>
      <c r="L49" s="3318"/>
      <c r="M49" s="3340">
        <f ca="1">ROUND(IF(项目基本情况!E8="房地产抵押价值",H107,H109),0)</f>
        <v>3526</v>
      </c>
      <c r="N49" s="3340"/>
      <c r="O49" s="3340"/>
    </row>
    <row r="50" spans="1:35" ht="25.5" customHeight="1">
      <c r="A50" s="2336"/>
      <c r="B50" s="3254" t="s">
        <v>1344</v>
      </c>
      <c r="C50" s="3254"/>
      <c r="D50" s="2189"/>
      <c r="E50" s="323"/>
      <c r="F50" s="2232"/>
      <c r="G50" s="3325"/>
      <c r="H50" s="2136" t="s">
        <v>2135</v>
      </c>
      <c r="I50" s="2135"/>
      <c r="J50" s="3337" t="s">
        <v>1345</v>
      </c>
      <c r="K50" s="3337"/>
      <c r="L50" s="3337"/>
      <c r="M50" s="3337"/>
      <c r="N50" s="3337"/>
      <c r="O50" s="3337"/>
    </row>
    <row r="51" spans="1:35" ht="20.399999999999999" customHeight="1">
      <c r="A51" s="2337"/>
      <c r="B51" s="3254" t="s">
        <v>1346</v>
      </c>
      <c r="C51" s="3254"/>
      <c r="D51" s="1024"/>
      <c r="E51" s="319"/>
      <c r="F51" s="2232"/>
      <c r="G51" s="3326"/>
      <c r="H51" s="2136" t="s">
        <v>2136</v>
      </c>
      <c r="I51" s="2135"/>
      <c r="J51" s="2309" t="s">
        <v>1347</v>
      </c>
      <c r="K51" s="3318" t="s">
        <v>1348</v>
      </c>
      <c r="L51" s="3318"/>
      <c r="M51" s="2309" t="s">
        <v>1349</v>
      </c>
      <c r="N51" s="2309" t="s">
        <v>1350</v>
      </c>
      <c r="O51" s="2309" t="s">
        <v>1351</v>
      </c>
    </row>
    <row r="52" spans="1:35" ht="24" customHeight="1">
      <c r="A52" s="2153" t="s">
        <v>1352</v>
      </c>
      <c r="B52" s="3254" t="s">
        <v>1353</v>
      </c>
      <c r="C52" s="3254"/>
      <c r="D52" s="1024">
        <f ca="1">ROUND(D45*'数据-取费表'!B41/(1+'数据-取费表'!C42),0)</f>
        <v>188</v>
      </c>
      <c r="E52" s="1256" t="s">
        <v>1354</v>
      </c>
      <c r="F52" s="2338">
        <f>'数据-取费表'!B41</f>
        <v>5.6000000000000001E-2</v>
      </c>
      <c r="G52" s="2339"/>
      <c r="H52" s="2329"/>
      <c r="I52" s="1669"/>
      <c r="J52" s="2308">
        <v>1</v>
      </c>
      <c r="K52" s="3319" t="s">
        <v>1355</v>
      </c>
      <c r="L52" s="3319"/>
      <c r="M52" s="2310">
        <f ca="1">D48</f>
        <v>188</v>
      </c>
      <c r="N52" s="2308" t="str">
        <f>E48</f>
        <v>销售额×税（费）率</v>
      </c>
      <c r="O52" s="2311">
        <f>F48</f>
        <v>5.6000000000000001E-2</v>
      </c>
    </row>
    <row r="53" spans="1:35" ht="12" customHeight="1">
      <c r="A53" s="2153" t="s">
        <v>1356</v>
      </c>
      <c r="B53" s="3280" t="s">
        <v>2287</v>
      </c>
      <c r="C53" s="3281"/>
      <c r="D53" s="1024">
        <f ca="1">ROUND(D45*'数据-取费表'!B41/(1+'数据-取费表'!C42),0)</f>
        <v>188</v>
      </c>
      <c r="E53" s="1256" t="s">
        <v>1354</v>
      </c>
      <c r="F53" s="2338">
        <f>'数据-取费表'!B41</f>
        <v>5.6000000000000001E-2</v>
      </c>
      <c r="G53" s="2339"/>
      <c r="H53" s="2329"/>
      <c r="I53" s="1669"/>
      <c r="J53" s="2308">
        <v>2</v>
      </c>
      <c r="K53" s="3319" t="s">
        <v>1357</v>
      </c>
      <c r="L53" s="3319"/>
      <c r="M53" s="2310">
        <f t="shared" ref="M53:O54" ca="1" si="0">D55</f>
        <v>2</v>
      </c>
      <c r="N53" s="2308" t="str">
        <f t="shared" si="0"/>
        <v>销售额×税（费）率</v>
      </c>
      <c r="O53" s="2311">
        <f t="shared" si="0"/>
        <v>5.0000000000000001E-4</v>
      </c>
    </row>
    <row r="54" spans="1:35" ht="12" customHeight="1">
      <c r="A54" s="2153" t="s">
        <v>1358</v>
      </c>
      <c r="B54" s="3280" t="s">
        <v>2288</v>
      </c>
      <c r="C54" s="3281"/>
      <c r="D54" s="1024">
        <f ca="1">C68</f>
        <v>188</v>
      </c>
      <c r="E54" s="319" t="s">
        <v>1359</v>
      </c>
      <c r="F54" s="2338">
        <f>'数据-取费表'!B41</f>
        <v>5.6000000000000001E-2</v>
      </c>
      <c r="G54" s="2339"/>
      <c r="H54" s="2340"/>
      <c r="I54" s="1669"/>
      <c r="J54" s="2308">
        <v>3</v>
      </c>
      <c r="K54" s="3319" t="s">
        <v>1360</v>
      </c>
      <c r="L54" s="3319"/>
      <c r="M54" s="2310">
        <f t="shared" ca="1" si="0"/>
        <v>0</v>
      </c>
      <c r="N54" s="2308" t="str">
        <f t="shared" si="0"/>
        <v>增值额×税（费）率</v>
      </c>
      <c r="O54" s="2312" t="str">
        <f t="shared" si="0"/>
        <v>——</v>
      </c>
    </row>
    <row r="55" spans="1:35" ht="24" customHeight="1">
      <c r="A55" s="3269" t="s">
        <v>1361</v>
      </c>
      <c r="B55" s="3270"/>
      <c r="C55" s="3270"/>
      <c r="D55" s="12">
        <f ca="1">IF(H55="个人住宅",0,ROUND(D45*I55,0))</f>
        <v>2</v>
      </c>
      <c r="E55" s="1256" t="s">
        <v>1362</v>
      </c>
      <c r="F55" s="2338">
        <f>IF(H55="正常",I55,"免征")</f>
        <v>5.0000000000000001E-4</v>
      </c>
      <c r="G55" s="2339"/>
      <c r="H55" s="2335" t="s">
        <v>3425</v>
      </c>
      <c r="I55" s="157">
        <f>'数据-取费表'!B49</f>
        <v>5.0000000000000001E-4</v>
      </c>
      <c r="J55" s="2308" t="str">
        <f>IF(H59="非个人房产","",4)</f>
        <v/>
      </c>
      <c r="K55" s="3319" t="str">
        <f>IF(H59="非个人房产","——","个人所得税")</f>
        <v>——</v>
      </c>
      <c r="L55" s="3319"/>
      <c r="M55" s="2313" t="str">
        <f>D59</f>
        <v>——</v>
      </c>
      <c r="N55" s="1883" t="str">
        <f>E59</f>
        <v>——</v>
      </c>
      <c r="O55" s="2314" t="str">
        <f>F59</f>
        <v>——</v>
      </c>
    </row>
    <row r="56" spans="1:35" ht="25.2">
      <c r="A56" s="3269" t="s">
        <v>1363</v>
      </c>
      <c r="B56" s="3270"/>
      <c r="C56" s="3270"/>
      <c r="D56" s="12">
        <f ca="1">IF(H56="个人住宅",D57,D58)</f>
        <v>0</v>
      </c>
      <c r="E56" s="1256" t="s">
        <v>1364</v>
      </c>
      <c r="F56" s="2338" t="str">
        <f>IF(H56="正常",F58,"免征")</f>
        <v>——</v>
      </c>
      <c r="G56" s="2341" t="s">
        <v>1365</v>
      </c>
      <c r="H56" s="2342" t="s">
        <v>3425</v>
      </c>
      <c r="I56" s="1670"/>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39"/>
      <c r="H57" s="2343"/>
      <c r="I57" s="1670"/>
      <c r="J57" s="3319">
        <f>IF(AND(J55="",J56=""),4,IF(项目基本情况!K6="上海银行",'结果表 (2)'!J56+1,'结果表 (2)'!J55+1))</f>
        <v>4</v>
      </c>
      <c r="K57" s="3319" t="s">
        <v>1367</v>
      </c>
      <c r="L57" s="2315" t="s">
        <v>1368</v>
      </c>
      <c r="M57" s="2316"/>
      <c r="N57" s="2317">
        <f ca="1">SUMIF(M52:M56,"&lt;9e307")</f>
        <v>190</v>
      </c>
      <c r="O57" s="2318"/>
      <c r="P57" s="2462">
        <f ca="1">N57/M49</f>
        <v>5.3885422575155981E-2</v>
      </c>
    </row>
    <row r="58" spans="1:35" ht="25.2">
      <c r="A58" s="2153" t="s">
        <v>1352</v>
      </c>
      <c r="B58" s="3280" t="s">
        <v>1369</v>
      </c>
      <c r="C58" s="3254"/>
      <c r="D58" s="12">
        <f ca="1">IF(H58="转让取得",C81,C97)</f>
        <v>0</v>
      </c>
      <c r="E58" s="1256" t="s">
        <v>1364</v>
      </c>
      <c r="F58" s="294" t="s">
        <v>28</v>
      </c>
      <c r="G58" s="2339"/>
      <c r="H58" s="2342" t="s">
        <v>3489</v>
      </c>
      <c r="I58" s="1670"/>
      <c r="J58" s="3319"/>
      <c r="K58" s="3319"/>
      <c r="L58" s="2315" t="s">
        <v>1370</v>
      </c>
      <c r="M58" s="2319"/>
      <c r="N58" s="2320" t="str">
        <f ca="1">NUMBERSTRING(INT(N57*10000),2)&amp;"元整"</f>
        <v>壹佰玖拾万元整</v>
      </c>
      <c r="O58" s="2321"/>
    </row>
    <row r="59" spans="1:35" ht="24.6" thickBot="1">
      <c r="A59" s="3322" t="s">
        <v>1371</v>
      </c>
      <c r="B59" s="3323"/>
      <c r="C59" s="3323"/>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3476</v>
      </c>
      <c r="I59" s="2137" t="s">
        <v>2137</v>
      </c>
      <c r="J59" s="3320">
        <f>J57+1</f>
        <v>5</v>
      </c>
      <c r="K59" s="3319" t="s">
        <v>1372</v>
      </c>
      <c r="L59" s="2308" t="s">
        <v>1368</v>
      </c>
      <c r="M59" s="2322"/>
      <c r="N59" s="2323">
        <f ca="1">M49-N57</f>
        <v>3336</v>
      </c>
      <c r="O59" s="2324"/>
      <c r="P59" s="684">
        <v>9095</v>
      </c>
    </row>
    <row r="60" spans="1:35" ht="12" customHeight="1">
      <c r="A60" s="1671"/>
      <c r="B60" s="646"/>
      <c r="C60" s="646"/>
      <c r="D60" s="646"/>
      <c r="E60" s="1466"/>
      <c r="F60" s="1670"/>
      <c r="G60" s="1670"/>
      <c r="H60" s="151"/>
      <c r="I60" s="121"/>
      <c r="J60" s="3321"/>
      <c r="K60" s="3319"/>
      <c r="L60" s="2315" t="s">
        <v>1370</v>
      </c>
      <c r="M60" s="2319"/>
      <c r="N60" s="2320" t="str">
        <f ca="1">NUMBERSTRING(INT(N59*10000),2)&amp;"元整"</f>
        <v>叁仟叁佰叁拾陆万元整</v>
      </c>
      <c r="O60" s="2321"/>
    </row>
    <row r="61" spans="1:35" ht="13.8" thickBot="1">
      <c r="A61" s="3267" t="s">
        <v>1373</v>
      </c>
      <c r="B61" s="3267"/>
      <c r="C61" s="3267"/>
      <c r="D61" s="3267"/>
      <c r="E61" s="3267"/>
      <c r="F61" s="1670"/>
      <c r="G61" s="1670"/>
      <c r="H61" s="151"/>
      <c r="I61" s="121"/>
      <c r="J61" s="2308">
        <f>J59+1</f>
        <v>6</v>
      </c>
      <c r="K61" s="3319" t="s">
        <v>1374</v>
      </c>
      <c r="L61" s="3319"/>
      <c r="M61" s="2325"/>
      <c r="N61" s="2326">
        <f ca="1">ROUND(N59*10000/M18,0)</f>
        <v>16984</v>
      </c>
      <c r="O61" s="2327"/>
    </row>
    <row r="62" spans="1:35" ht="13.2">
      <c r="A62" s="3285" t="s">
        <v>1375</v>
      </c>
      <c r="B62" s="3286"/>
      <c r="C62" s="1865"/>
      <c r="D62" s="1865" t="s">
        <v>1376</v>
      </c>
      <c r="E62" s="158" t="s">
        <v>1377</v>
      </c>
      <c r="F62" s="1670"/>
      <c r="G62" s="1670"/>
      <c r="H62" s="151"/>
      <c r="I62" s="121"/>
    </row>
    <row r="63" spans="1:35" ht="13.2">
      <c r="A63" s="165" t="s">
        <v>330</v>
      </c>
      <c r="B63" s="159" t="s">
        <v>1378</v>
      </c>
      <c r="C63" s="2348">
        <f ca="1">ROUND((C64+C65)/(1+'数据-取费表'!C42),0)</f>
        <v>3358</v>
      </c>
      <c r="D63" s="159"/>
      <c r="E63" s="160"/>
      <c r="F63" s="1670"/>
      <c r="G63" s="1670"/>
      <c r="H63" s="151"/>
      <c r="I63" s="121"/>
      <c r="J63" s="3344" t="s">
        <v>1379</v>
      </c>
      <c r="K63" s="1245" t="s">
        <v>1380</v>
      </c>
      <c r="L63" s="1245">
        <f ca="1">IF(M49&gt;10000,M49*0.5%,IF(AND(M49&gt;1000,M49&lt;=10000),M49*1%,IF(AND(M49&gt;100,M49&lt;=1000),M49*3%,IF(AND(M49&gt;10,M49&lt;=100),M49*5%,M49*8%))))</f>
        <v>35.26</v>
      </c>
      <c r="M63" s="294">
        <f ca="1">ROUND(L63,1)</f>
        <v>35.299999999999997</v>
      </c>
      <c r="N63" s="2328"/>
      <c r="Z63" s="1623"/>
      <c r="AI63" s="1561"/>
    </row>
    <row r="64" spans="1:35" ht="14.25" customHeight="1">
      <c r="A64" s="161" t="s">
        <v>325</v>
      </c>
      <c r="B64" s="162" t="s">
        <v>1381</v>
      </c>
      <c r="C64" s="2349">
        <f ca="1">D45</f>
        <v>3526</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17.63</v>
      </c>
      <c r="M64" s="294">
        <f t="shared" ref="M64:M65" ca="1" si="1">ROUND(L64,1)</f>
        <v>17.600000000000001</v>
      </c>
      <c r="N64" s="2329" t="s">
        <v>1383</v>
      </c>
      <c r="Z64" s="1623"/>
      <c r="AI64" s="1561"/>
    </row>
    <row r="65" spans="1:35" ht="14.25" customHeight="1">
      <c r="A65" s="161" t="s">
        <v>326</v>
      </c>
      <c r="B65" s="162" t="s">
        <v>1384</v>
      </c>
      <c r="C65" s="2350"/>
      <c r="D65" s="162"/>
      <c r="E65" s="164"/>
      <c r="F65" s="1670"/>
      <c r="G65" s="1670"/>
      <c r="H65" s="151"/>
      <c r="I65" s="121"/>
      <c r="J65" s="3344"/>
      <c r="K65" s="1245" t="s">
        <v>1385</v>
      </c>
      <c r="L65" s="1245">
        <f ca="1">IF(M49&gt;1000,M49*0.1%,IF(AND(M49&gt;500,M49&lt;=1000),M49*0.5%,IF(AND(M49&gt;50,M49&lt;=500),M49*1%,IF(AND(M49&gt;1,M49&lt;=50),M49*1.5%))))</f>
        <v>3.5260000000000002</v>
      </c>
      <c r="M65" s="294">
        <f t="shared" ca="1" si="1"/>
        <v>3.5</v>
      </c>
      <c r="N65" s="2329" t="s">
        <v>1383</v>
      </c>
      <c r="Z65" s="1623"/>
      <c r="AI65" s="1561"/>
    </row>
    <row r="66" spans="1:35" ht="14.25" customHeight="1">
      <c r="A66" s="165" t="s">
        <v>327</v>
      </c>
      <c r="B66" s="166" t="s">
        <v>1386</v>
      </c>
      <c r="C66" s="2351"/>
      <c r="D66" s="166" t="s">
        <v>26</v>
      </c>
      <c r="E66" s="1251" t="s">
        <v>671</v>
      </c>
      <c r="F66" s="1670"/>
      <c r="G66" s="1670"/>
      <c r="H66" s="151"/>
      <c r="I66" s="121"/>
      <c r="J66" s="3344"/>
      <c r="K66" s="1245" t="s">
        <v>1387</v>
      </c>
      <c r="L66" s="1245">
        <f ca="1">M49*0.5%</f>
        <v>17.63</v>
      </c>
      <c r="M66" s="294">
        <f ca="1">IF(L66&gt;0.5,0.5,ROUND(L66,0))</f>
        <v>0.5</v>
      </c>
      <c r="N66" s="2329" t="s">
        <v>1388</v>
      </c>
      <c r="Z66" s="1623"/>
      <c r="AI66" s="1561"/>
    </row>
    <row r="67" spans="1:35" ht="14.25" customHeight="1">
      <c r="A67" s="165" t="s">
        <v>328</v>
      </c>
      <c r="B67" s="166" t="s">
        <v>1389</v>
      </c>
      <c r="C67" s="2352">
        <f ca="1">C63-C66</f>
        <v>3358</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188</v>
      </c>
      <c r="D68" s="2354">
        <f>'数据-取费表'!B41</f>
        <v>5.6000000000000001E-2</v>
      </c>
      <c r="E68" s="170"/>
      <c r="F68" s="1670"/>
      <c r="G68" s="1670"/>
      <c r="H68" s="151"/>
      <c r="I68" s="121"/>
      <c r="J68" s="3344"/>
      <c r="K68" s="1245" t="s">
        <v>1392</v>
      </c>
      <c r="L68" s="1245">
        <f ca="1">IF(M49&gt;10000,M49*0.5%,IF(AND(M49&gt;5000,M49&lt;=10000),M49*1%,IF(AND(M49&gt;1000,M49&lt;=5000),M49*2%,IF(AND(M49&gt;200,M49&lt;=1000),M49*3%,M49*5%))))</f>
        <v>70.52</v>
      </c>
      <c r="M68" s="294">
        <f ca="1">ROUND(L68,1)</f>
        <v>70.5</v>
      </c>
      <c r="N68" s="2328"/>
      <c r="Z68" s="1623"/>
      <c r="AI68" s="1561"/>
    </row>
    <row r="69" spans="1:35" ht="16.5" customHeight="1">
      <c r="A69" s="1672"/>
      <c r="B69" s="1673"/>
      <c r="C69" s="1674"/>
      <c r="D69" s="1675"/>
      <c r="E69" s="1676"/>
      <c r="F69" s="1466"/>
      <c r="G69" s="1466"/>
      <c r="H69" s="1467"/>
      <c r="I69" s="646"/>
      <c r="J69" s="3344"/>
      <c r="K69" s="1245" t="s">
        <v>1393</v>
      </c>
      <c r="L69" s="1245"/>
      <c r="M69" s="294">
        <f ca="1">ROUND(SUM(M63:M68),0)</f>
        <v>130</v>
      </c>
      <c r="N69" s="2330">
        <f ca="1">M69/M49</f>
        <v>3.6868973340896199E-2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3358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3477</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20</v>
      </c>
      <c r="D78" s="2361">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3338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1996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3358</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5462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3490</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6" t="s">
        <v>2129</v>
      </c>
      <c r="H90" s="3347"/>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64" t="s">
        <v>1419</v>
      </c>
      <c r="F91" s="3265"/>
      <c r="G91" s="3265"/>
      <c r="H91" s="1685" t="s">
        <v>3491</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64" t="s">
        <v>1422</v>
      </c>
      <c r="F92" s="3265"/>
      <c r="G92" s="3265"/>
      <c r="H92" s="3274"/>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20</v>
      </c>
      <c r="D93" s="2361">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-2104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t="str">
        <f>C4</f>
        <v>成本法商</v>
      </c>
      <c r="D101" s="2370" t="str">
        <f>D4</f>
        <v>收益法商</v>
      </c>
      <c r="E101" s="3341" t="s">
        <v>1431</v>
      </c>
      <c r="F101" s="3298"/>
      <c r="G101" s="1687" t="s">
        <v>1432</v>
      </c>
      <c r="H101" s="2379">
        <f ca="1">H118</f>
        <v>3526</v>
      </c>
      <c r="I101" s="121"/>
    </row>
    <row r="102" spans="1:35" ht="18.75" customHeight="1">
      <c r="A102" s="3300" t="s">
        <v>1433</v>
      </c>
      <c r="B102" s="2368" t="s">
        <v>1432</v>
      </c>
      <c r="C102" s="2369">
        <f ca="1">IF(D32="楼面单价",ROUND(C19,0),C19)</f>
        <v>4092</v>
      </c>
      <c r="D102" s="2370">
        <f ca="1">IF(D32="楼面单价",ROUND(D19,0),D19)</f>
        <v>2205</v>
      </c>
      <c r="E102" s="3341"/>
      <c r="F102" s="3298"/>
      <c r="G102" s="1687" t="s">
        <v>1434</v>
      </c>
      <c r="H102" s="2339">
        <f ca="1">I118</f>
        <v>17951</v>
      </c>
      <c r="I102" s="121"/>
    </row>
    <row r="103" spans="1:35" ht="42.75" customHeight="1">
      <c r="A103" s="3300"/>
      <c r="B103" s="2368" t="s">
        <v>1434</v>
      </c>
      <c r="C103" s="2371">
        <f ca="1">C20</f>
        <v>20833</v>
      </c>
      <c r="D103" s="2372">
        <f ca="1">D20</f>
        <v>11226</v>
      </c>
      <c r="E103" s="3335" t="s">
        <v>1435</v>
      </c>
      <c r="F103" s="3336"/>
      <c r="G103" s="1688" t="s">
        <v>1436</v>
      </c>
      <c r="H103" s="2379">
        <f>IF(D36="正常操作",H104+H105+H106,H105+H106)</f>
        <v>0</v>
      </c>
      <c r="I103" s="121"/>
    </row>
    <row r="104" spans="1:35" ht="18.75" customHeight="1">
      <c r="A104" s="3300" t="s">
        <v>1437</v>
      </c>
      <c r="B104" s="2373" t="s">
        <v>1432</v>
      </c>
      <c r="C104" s="2374">
        <f ca="1">H118</f>
        <v>3526</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17951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7" t="str">
        <f>IF(项目基本情况!E8="已注销","——","3.房地产抵押价值")</f>
        <v>3.房地产抵押价值</v>
      </c>
      <c r="F107" s="3298"/>
      <c r="G107" s="1687" t="s">
        <v>1432</v>
      </c>
      <c r="H107" s="2379">
        <f ca="1">IF(E107="——","——",H101-H103)</f>
        <v>3526</v>
      </c>
      <c r="I107" s="121"/>
    </row>
    <row r="108" spans="1:35" ht="18.75" customHeight="1">
      <c r="A108" s="121"/>
      <c r="B108" s="121"/>
      <c r="C108" s="121"/>
      <c r="D108" s="121"/>
      <c r="E108" s="3297"/>
      <c r="F108" s="3298"/>
      <c r="G108" s="1687" t="s">
        <v>1434</v>
      </c>
      <c r="H108" s="2339">
        <f ca="1">IF(H107=H101,H102,ROUND(H107*10000/'数据-汇总表'!E3,0))</f>
        <v>17951</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297"/>
      <c r="F110" s="3298"/>
      <c r="G110" s="1687"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299"/>
      <c r="G111" s="1687" t="s">
        <v>1432</v>
      </c>
      <c r="H111" s="2379">
        <f ca="1">IF(E111="——","——",N59)</f>
        <v>3336</v>
      </c>
      <c r="I111" s="121"/>
    </row>
    <row r="112" spans="1:35" ht="18.75" customHeight="1" thickBot="1">
      <c r="A112" s="121"/>
      <c r="B112" s="121"/>
      <c r="C112" s="121"/>
      <c r="D112" s="121"/>
      <c r="E112" s="3330"/>
      <c r="F112" s="3331"/>
      <c r="G112" s="1690" t="s">
        <v>1434</v>
      </c>
      <c r="H112" s="2383">
        <f ca="1">IF(E111="——","——",N61)</f>
        <v>16984</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1964.21</v>
      </c>
      <c r="C118" s="2150">
        <f>M19</f>
        <v>43.98</v>
      </c>
      <c r="D118" s="2150">
        <f ca="1">ROUND(IF(D32="总价",C34,E118*B118/10000),0)</f>
        <v>2958</v>
      </c>
      <c r="E118" s="2150">
        <f ca="1">ROUND(IF(C33="自定义",IF(D32="楼面单价",C34,D118*10000/B118),I118-G118),0)</f>
        <v>15059</v>
      </c>
      <c r="F118" s="2150">
        <f ca="1">ROUND(IF(D32="总价",C35,G118*B118/10000),0)</f>
        <v>568</v>
      </c>
      <c r="G118" s="2150">
        <f ca="1">ROUND(IF(D32="楼面单价",C35,F118*10000/B118),0)</f>
        <v>2892</v>
      </c>
      <c r="H118" s="2150">
        <f ca="1">ROUND(IF(D32="总价",C32,I118*B118/10000),4)</f>
        <v>3526</v>
      </c>
      <c r="I118" s="2150">
        <f ca="1">ROUND(IF(D32="楼面单价",C32,H118*10000/B118),0)</f>
        <v>17951</v>
      </c>
    </row>
    <row r="119" spans="1:27" ht="18.75" customHeight="1">
      <c r="A119" s="3268" t="s">
        <v>1452</v>
      </c>
      <c r="B119" s="3268"/>
      <c r="C119" s="3268"/>
      <c r="D119" s="3308" t="str">
        <f ca="1">NUMBERSTRING(INT(D118*10000),2)&amp;"元整"</f>
        <v>贰仟玖佰伍拾捌万元整</v>
      </c>
      <c r="E119" s="3310"/>
      <c r="F119" s="3308" t="str">
        <f ca="1">NUMBERSTRING(INT(F118*10000),2)&amp;"元整"</f>
        <v>伍佰陆拾捌万元整</v>
      </c>
      <c r="G119" s="3310"/>
      <c r="H119" s="3308" t="str">
        <f ca="1">NUMBERSTRING(INT(H118*10000),2)&amp;"元整"</f>
        <v>叁仟伍佰贰拾陆万元整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3526</v>
      </c>
      <c r="E122" s="3333"/>
      <c r="F122" s="3333"/>
      <c r="G122" s="3333"/>
      <c r="H122" s="3333"/>
      <c r="I122" s="3334"/>
      <c r="AA122" s="684"/>
    </row>
    <row r="123" spans="1:27" ht="18.75" customHeight="1">
      <c r="A123" s="3268" t="s">
        <v>1452</v>
      </c>
      <c r="B123" s="3268"/>
      <c r="C123" s="3268"/>
      <c r="D123" s="3308" t="str">
        <f ca="1">NUMBERSTRING(INT(D122*10000),2)&amp;"元整"</f>
        <v>叁仟伍佰贰拾陆万元整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抵押净值</v>
      </c>
      <c r="B126" s="3299"/>
      <c r="C126" s="3299"/>
      <c r="D126" s="3332">
        <f ca="1">H111</f>
        <v>3336</v>
      </c>
      <c r="E126" s="3333"/>
      <c r="F126" s="3333"/>
      <c r="G126" s="3333"/>
      <c r="H126" s="3333"/>
      <c r="I126" s="3334"/>
      <c r="AA126" s="684"/>
    </row>
    <row r="127" spans="1:27" ht="18.75" customHeight="1">
      <c r="A127" s="3268" t="s">
        <v>1452</v>
      </c>
      <c r="B127" s="3268"/>
      <c r="C127" s="3268"/>
      <c r="D127" s="3308" t="str">
        <f ca="1">NUMBERSTRING(INT(D126*10000),2)&amp;"元整"</f>
        <v>叁仟叁佰叁拾陆万元整</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CB95DB33-7F3E-48C3-90E6-907962B23D69}">
      <formula1>"0,5%,10%"</formula1>
    </dataValidation>
    <dataValidation type="list" allowBlank="1" showInputMessage="1" showErrorMessage="1" sqref="H59" xr:uid="{E4AA30FA-0B7B-49D8-A807-CD87160F2325}">
      <formula1>"非个人房产,个人住宅（满五唯一有凭证）,个人其他（有凭证）,个人其他（无凭证）"</formula1>
    </dataValidation>
    <dataValidation type="list" allowBlank="1" showInputMessage="1" showErrorMessage="1" sqref="E103" xr:uid="{4396CA87-8A1B-4D9B-BE28-3B34EDC36F5E}">
      <formula1>"2.估价师知悉的法定优先受偿款,2.估价师知悉的除抵押担保权以外的法定优先受偿款"</formula1>
    </dataValidation>
    <dataValidation type="list" allowBlank="1" showInputMessage="1" showErrorMessage="1" sqref="G77" xr:uid="{E8960734-36B9-4C1B-99A0-5CC37F68CBDB}">
      <formula1>"个人住宅,2016年5月1日前购买,2016年5月1日后购买"</formula1>
    </dataValidation>
    <dataValidation type="list" allowBlank="1" showInputMessage="1" showErrorMessage="1" sqref="C1" xr:uid="{767FB304-AEB1-48CF-88E9-D0C168C35FFC}">
      <formula1>项目类型</formula1>
    </dataValidation>
    <dataValidation type="list" allowBlank="1" showInputMessage="1" showErrorMessage="1" sqref="I1" xr:uid="{7F7FB53C-9652-4140-8743-5FDCE55DE567}">
      <formula1>"项目局部,项目全部,——"</formula1>
    </dataValidation>
    <dataValidation type="list" showInputMessage="1" showErrorMessage="1" sqref="G1" xr:uid="{06419BAA-549F-400B-9122-5408999C6416}">
      <formula1>"现房,在建,土地,-"</formula1>
    </dataValidation>
    <dataValidation type="list" allowBlank="1" showInputMessage="1" showErrorMessage="1" sqref="C129" xr:uid="{2D21BD3B-2BA7-4468-BC84-15E81A1376A8}">
      <formula1>"无,有"</formula1>
    </dataValidation>
    <dataValidation type="list" allowBlank="1" showInputMessage="1" showErrorMessage="1" sqref="F116:G116" xr:uid="{3C002FD3-7877-4298-9DE1-610B67CE4B35}">
      <formula1>"建筑物价值,在建建筑物价值,建筑物/在建建筑物价值"</formula1>
    </dataValidation>
    <dataValidation type="list" allowBlank="1" showInputMessage="1" showErrorMessage="1" sqref="D116:E116" xr:uid="{405CCBB6-F3B5-4151-BFBB-D610A9E788F3}">
      <formula1>"出让国有建设用地使用权价值,划拨国有建设用地使用权价值"</formula1>
    </dataValidation>
    <dataValidation type="list" allowBlank="1" showInputMessage="1" showErrorMessage="1" sqref="C116:C117" xr:uid="{EEB83537-FDDC-4107-AC60-847096717BB6}">
      <formula1>"土地面积,分摊土地面积,（分摊）土地面积"</formula1>
    </dataValidation>
    <dataValidation type="list" allowBlank="1" showInputMessage="1" showErrorMessage="1" sqref="B116:B117" xr:uid="{62341FCD-23C8-480F-944C-0F97AD0AF547}">
      <formula1>"建筑面积,规划建筑面积,（规划）建筑面积"</formula1>
    </dataValidation>
    <dataValidation type="list" allowBlank="1" showInputMessage="1" showErrorMessage="1" sqref="D36" xr:uid="{140354C0-BA6A-4EC2-AC7A-97CDB71F662F}">
      <formula1>"同一抵押权人同一抵押物续贷,注销后放款,正常操作"</formula1>
    </dataValidation>
    <dataValidation type="list" allowBlank="1" showInputMessage="1" showErrorMessage="1" sqref="F75" xr:uid="{A6A08445-D1E1-4449-BB3B-0FD9D21EBD1C}">
      <formula1>"买卖合同,购房发票"</formula1>
    </dataValidation>
    <dataValidation type="list" allowBlank="1" showInputMessage="1" showErrorMessage="1" sqref="H88" xr:uid="{41EDC657-4194-43F2-A8A0-89C993F57E23}">
      <formula1>"仅含出让金,出让金+开发费"</formula1>
    </dataValidation>
    <dataValidation type="list" allowBlank="1" showInputMessage="1" showErrorMessage="1" sqref="H91" xr:uid="{A6B40AB2-EF81-4C79-9ACA-A383AB2B6C81}">
      <formula1>"企业提供（在右侧录入）,——"</formula1>
    </dataValidation>
    <dataValidation type="list" allowBlank="1" showInputMessage="1" showErrorMessage="1" sqref="C33" xr:uid="{58006BAF-FF64-4838-A93E-B057A1A201B9}">
      <formula1>"成本比率,收益比率,自定义"</formula1>
    </dataValidation>
    <dataValidation type="list" allowBlank="1" showInputMessage="1" showErrorMessage="1" sqref="F45" xr:uid="{DC0C7799-E1BA-461B-AFD0-B2E393603136}">
      <formula1>"100%,70%,56%"</formula1>
    </dataValidation>
    <dataValidation type="list" allowBlank="1" showInputMessage="1" showErrorMessage="1" sqref="D32" xr:uid="{02794751-F4E4-47FD-96C6-96892481E16A}">
      <formula1>"总价,楼面单价"</formula1>
    </dataValidation>
    <dataValidation type="list" allowBlank="1" showInputMessage="1" showErrorMessage="1" sqref="H58" xr:uid="{626FDE22-6FD6-4FEA-90F6-A26C6169BA3E}">
      <formula1>"转让取得,自行开发建设"</formula1>
    </dataValidation>
    <dataValidation type="list" allowBlank="1" showInputMessage="1" showErrorMessage="1" sqref="H48" xr:uid="{4D907130-F94A-4B58-87F5-5F362E01F404}">
      <formula1>"情况1,情况2,情况3,情况4"</formula1>
    </dataValidation>
    <dataValidation type="list" allowBlank="1" showInputMessage="1" showErrorMessage="1" sqref="H55:H56" xr:uid="{C5585378-3C0A-4A7B-AEC7-4E34E62B97E8}">
      <formula1>"个人住宅,正常"</formula1>
    </dataValidation>
    <dataValidation type="list" allowBlank="1" showInputMessage="1" showErrorMessage="1" sqref="C4:D4 D33" xr:uid="{2E6C75B6-7FE9-4E60-A7BF-AEFBFF8B953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9D296-09CF-46A5-83BB-49CAA2F15A20}">
  <sheetPr>
    <tabColor rgb="FF92D050"/>
  </sheetPr>
  <dimension ref="A1:AK122"/>
  <sheetViews>
    <sheetView view="pageBreakPreview" topLeftCell="A25" zoomScaleNormal="80" zoomScaleSheetLayoutView="100" workbookViewId="0">
      <selection activeCell="L37" sqref="L3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1964.21</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1993</v>
      </c>
      <c r="C2" s="1846"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22370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10147</v>
      </c>
      <c r="C3" s="1846" t="s">
        <v>1941</v>
      </c>
      <c r="D3" s="162" t="s">
        <v>1942</v>
      </c>
      <c r="E3" s="3116" t="s">
        <v>2435</v>
      </c>
      <c r="F3" s="1848" t="s">
        <v>3487</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17760</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15346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33119</v>
      </c>
      <c r="D5" s="1252">
        <f>ROUND(C6*C17+C20,0)</f>
        <v>32630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13886</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13235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3501</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7"/>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2" t="s">
        <v>3250</v>
      </c>
      <c r="B20" s="159" t="s">
        <v>1994</v>
      </c>
      <c r="C20" s="3029">
        <f>ROUND(IF(F21="与级别开发程度一致",0,(G21-E21)/C21),0)</f>
        <v>0</v>
      </c>
      <c r="D20" s="3044" t="s">
        <v>1998</v>
      </c>
      <c r="E20" s="3045"/>
      <c r="F20" s="3468" t="s">
        <v>1995</v>
      </c>
      <c r="G20" s="3469"/>
      <c r="H20" s="3030" t="s">
        <v>3466</v>
      </c>
      <c r="I20" s="3030" t="s">
        <v>3467</v>
      </c>
      <c r="J20" s="3031" t="s">
        <v>3468</v>
      </c>
      <c r="K20" s="1889" t="s">
        <v>3469</v>
      </c>
      <c r="L20" s="1889" t="s">
        <v>3470</v>
      </c>
      <c r="M20" s="1889" t="s">
        <v>3471</v>
      </c>
      <c r="N20" s="1889" t="s">
        <v>3502</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3503</v>
      </c>
      <c r="G21" s="1995">
        <f>SUM(H21:O21)</f>
        <v>315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50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45747</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0.42720000000000002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8.84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3506</v>
      </c>
      <c r="C25" s="461">
        <f>IF(B25="容积率修正",IF(G3&lt;10,D26,J26),C27)</f>
        <v>1.5206</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0.90139999999999998</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1993</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498</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22370</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f>ROUND(D5*C22*C23*C24*C28*F37,0)</f>
        <v>10146</v>
      </c>
      <c r="D37" s="1940">
        <f>'数据-汇总表'!G20</f>
        <v>1964.21</v>
      </c>
      <c r="E37" s="163">
        <f>ROUND(C37*D37/10000,0)</f>
        <v>1993</v>
      </c>
      <c r="F37" s="163">
        <f>SUMIF(修正!A57:A68,G2,修正!B57:B68)</f>
        <v>0.7</v>
      </c>
      <c r="G37" s="163">
        <f>ROUND(IF(E2="工业",C37*$M$42,C37*$M$41),0)</f>
        <v>2537</v>
      </c>
      <c r="H37" s="163">
        <f>D37</f>
        <v>1964.21</v>
      </c>
      <c r="I37" s="163">
        <f>ROUND(G37*H37/10000,0)</f>
        <v>498</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5798</v>
      </c>
      <c r="D38" s="1940"/>
      <c r="E38" s="163">
        <f t="shared" ref="E38:E42" si="4">ROUND(C38*D38/10000,0)</f>
        <v>0</v>
      </c>
      <c r="F38" s="163">
        <f>SUMIF(修正!A57:A68,G2,修正!C57:C68)</f>
        <v>0.4</v>
      </c>
      <c r="G38" s="163">
        <f>ROUND(IF(E2="工业",C38*$M$42,C38*$M$41),0)</f>
        <v>1450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3255</v>
      </c>
      <c r="C39" s="167">
        <f>ROUND(D5*C22*C23*C24*C28*F39,0)</f>
        <v>4348</v>
      </c>
      <c r="D39" s="1940"/>
      <c r="E39" s="163">
        <f t="shared" si="4"/>
        <v>0</v>
      </c>
      <c r="F39" s="163">
        <f>SUMIF(修正!A57:A68,G2,修正!D57:D68)</f>
        <v>0.3</v>
      </c>
      <c r="G39" s="163">
        <f>ROUND(IF(E2="工业",C39*$M$42,C39*$M$41),0)</f>
        <v>1087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4348</v>
      </c>
      <c r="D40" s="1940"/>
      <c r="E40" s="163">
        <f t="shared" si="4"/>
        <v>0</v>
      </c>
      <c r="F40" s="167">
        <f>SUMIF(修正!A57:A68,G2,修正!E57:E68)</f>
        <v>0.3</v>
      </c>
      <c r="G40" s="163">
        <f>ROUND(IF(E2="工业",C40*$M$42,C40*$M$41),0)</f>
        <v>1087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t="s">
        <v>3416</v>
      </c>
      <c r="D50" s="1002">
        <f t="shared" ref="D50:D58" si="7">SUMIF($J$49:$N$49,C50,J50:N50)</f>
        <v>0</v>
      </c>
      <c r="E50" s="702">
        <f>ROUND(SUM(D50:D58),4)</f>
        <v>0</v>
      </c>
      <c r="F50" s="1675">
        <f>IF(E2="商业",SUMIF(L1:L12,G2,N1:N12),"——")</f>
        <v>8.1000000000000003E-2</v>
      </c>
      <c r="G50" s="1000"/>
      <c r="H50" s="1003">
        <f t="shared" ref="H50:H58" si="8">IFERROR(ROUNDDOWN($F$50*I50/2,4),"——")</f>
        <v>1.21E-2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3416</v>
      </c>
      <c r="D51" s="1002">
        <f t="shared" si="7"/>
        <v>0</v>
      </c>
      <c r="E51" s="703"/>
      <c r="F51" s="1675"/>
      <c r="G51" s="1000"/>
      <c r="H51" s="1003">
        <f t="shared" si="8"/>
        <v>8.8999999999999999E-3</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3416</v>
      </c>
      <c r="D52" s="1002">
        <f t="shared" si="7"/>
        <v>0</v>
      </c>
      <c r="E52" s="703"/>
      <c r="F52" s="1675"/>
      <c r="G52" s="1000"/>
      <c r="H52" s="1003">
        <f t="shared" si="8"/>
        <v>4.7999999999999996E-3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3416</v>
      </c>
      <c r="D53" s="1002">
        <f t="shared" si="7"/>
        <v>0</v>
      </c>
      <c r="E53" s="703"/>
      <c r="F53" s="1675"/>
      <c r="G53" s="1000"/>
      <c r="H53" s="1003">
        <f t="shared" si="8"/>
        <v>2E-3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3416</v>
      </c>
      <c r="D54" s="1002">
        <f t="shared" si="7"/>
        <v>0</v>
      </c>
      <c r="E54" s="703"/>
      <c r="F54" s="1675"/>
      <c r="G54" s="1000"/>
      <c r="H54" s="1003">
        <f t="shared" si="8"/>
        <v>3.2000000000000002E-3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t="s">
        <v>3416</v>
      </c>
      <c r="D55" s="1002">
        <f t="shared" si="7"/>
        <v>0</v>
      </c>
      <c r="E55" s="703"/>
      <c r="F55" s="1675"/>
      <c r="G55" s="1000"/>
      <c r="H55" s="1003">
        <f t="shared" si="8"/>
        <v>2E-3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3416</v>
      </c>
      <c r="D56" s="1002">
        <f t="shared" si="7"/>
        <v>0</v>
      </c>
      <c r="E56" s="703"/>
      <c r="F56" s="1675"/>
      <c r="G56" s="1000"/>
      <c r="H56" s="1003">
        <f t="shared" si="8"/>
        <v>2E-3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3417</v>
      </c>
      <c r="D57" s="1002">
        <f t="shared" si="7"/>
        <v>0</v>
      </c>
      <c r="E57" s="703"/>
      <c r="F57" s="1675"/>
      <c r="G57" s="1000"/>
      <c r="H57" s="1003">
        <f t="shared" si="8"/>
        <v>3.2000000000000002E-3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3416</v>
      </c>
      <c r="D58" s="1002">
        <f t="shared" si="7"/>
        <v>0</v>
      </c>
      <c r="E58" s="704"/>
      <c r="F58" s="1675"/>
      <c r="G58" s="1000"/>
      <c r="H58" s="1003">
        <f t="shared" si="8"/>
        <v>2E-3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3416</v>
      </c>
      <c r="D61" s="1002">
        <f t="shared" ref="D61:D69" si="12">SUMIF($J$60:$N$60,C61,J61:N61)</f>
        <v>1.0200000000000001E-2</v>
      </c>
      <c r="E61" s="702">
        <f>ROUND(SUM(D61:D69),4)</f>
        <v>4.3900000000000002E-2</v>
      </c>
      <c r="F61" s="1675" t="str">
        <f>IF(E2="办公",SUMIF(L1:L12,G2,N1:N12),"——")</f>
        <v>——</v>
      </c>
      <c r="G61" s="1000">
        <v>1.0200000000000001E-2</v>
      </c>
      <c r="H61" s="1003" t="str">
        <f t="shared" ref="H61:H69" si="13">IFERROR(ROUNDDOWN($F$61*I61/2,4),"——")</f>
        <v>——</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3416</v>
      </c>
      <c r="D62" s="1002">
        <f t="shared" si="12"/>
        <v>1.06E-2</v>
      </c>
      <c r="E62" s="703"/>
      <c r="F62" s="1675"/>
      <c r="G62" s="1000">
        <v>1.06E-2</v>
      </c>
      <c r="H62" s="1003" t="str">
        <f t="shared" si="13"/>
        <v>——</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3416</v>
      </c>
      <c r="D63" s="1002">
        <f t="shared" si="12"/>
        <v>4.4999999999999997E-3</v>
      </c>
      <c r="E63" s="703"/>
      <c r="F63" s="1675"/>
      <c r="G63" s="1000">
        <v>4.4999999999999997E-3</v>
      </c>
      <c r="H63" s="1003" t="str">
        <f t="shared" si="13"/>
        <v>——</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3416</v>
      </c>
      <c r="D64" s="1002">
        <f t="shared" si="12"/>
        <v>2E-3</v>
      </c>
      <c r="E64" s="703"/>
      <c r="F64" s="1675"/>
      <c r="G64" s="1000">
        <v>2E-3</v>
      </c>
      <c r="H64" s="1003" t="str">
        <f t="shared" si="13"/>
        <v>——</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3416</v>
      </c>
      <c r="D65" s="1002">
        <f t="shared" si="12"/>
        <v>2E-3</v>
      </c>
      <c r="E65" s="703"/>
      <c r="F65" s="1675"/>
      <c r="G65" s="1000">
        <v>2E-3</v>
      </c>
      <c r="H65" s="1003" t="str">
        <f t="shared" si="13"/>
        <v>——</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3416</v>
      </c>
      <c r="D66" s="1002">
        <f t="shared" si="12"/>
        <v>2.3999999999999998E-3</v>
      </c>
      <c r="E66" s="703"/>
      <c r="F66" s="1675"/>
      <c r="G66" s="1000">
        <v>2.3999999999999998E-3</v>
      </c>
      <c r="H66" s="1003" t="str">
        <f t="shared" si="13"/>
        <v>——</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customHeight="1">
      <c r="A67" s="1970" t="s">
        <v>2059</v>
      </c>
      <c r="B67" s="1240" t="str">
        <f>估价对象房地状况!C21</f>
        <v>估价对象所在区域银行、购物场所、学校等公共配套设施齐备，综合评价公共配套设施水平较好</v>
      </c>
      <c r="C67" s="1887" t="s">
        <v>3416</v>
      </c>
      <c r="D67" s="1002">
        <f t="shared" si="12"/>
        <v>2.3999999999999998E-3</v>
      </c>
      <c r="E67" s="703"/>
      <c r="F67" s="1675"/>
      <c r="G67" s="1000">
        <v>2.3999999999999998E-3</v>
      </c>
      <c r="H67" s="1003" t="str">
        <f t="shared" si="13"/>
        <v>——</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3417</v>
      </c>
      <c r="D68" s="1002">
        <f t="shared" si="12"/>
        <v>7.1999999999999998E-3</v>
      </c>
      <c r="E68" s="703"/>
      <c r="F68" s="1675"/>
      <c r="G68" s="1000">
        <v>3.5999999999999999E-3</v>
      </c>
      <c r="H68" s="1003" t="str">
        <f t="shared" si="13"/>
        <v>——</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3416</v>
      </c>
      <c r="D69" s="1002">
        <f t="shared" si="12"/>
        <v>2.5999999999999999E-3</v>
      </c>
      <c r="E69" s="704"/>
      <c r="F69" s="1675"/>
      <c r="G69" s="1000">
        <v>2.5999999999999999E-3</v>
      </c>
      <c r="H69" s="1003" t="str">
        <f t="shared" si="13"/>
        <v>——</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2044</v>
      </c>
      <c r="B92" s="2308"/>
      <c r="C92" s="2308" t="s">
        <v>2046</v>
      </c>
      <c r="D92" s="2308" t="s">
        <v>2047</v>
      </c>
      <c r="E92" s="3050" t="s">
        <v>2048</v>
      </c>
      <c r="F92" s="3080" t="s">
        <v>3279</v>
      </c>
      <c r="G92" s="2308" t="s">
        <v>1989</v>
      </c>
      <c r="H92" s="3087" t="s">
        <v>3283</v>
      </c>
      <c r="I92" s="2308" t="s">
        <v>2051</v>
      </c>
      <c r="J92" s="2150" t="s">
        <v>1721</v>
      </c>
      <c r="K92" s="2150" t="s">
        <v>1722</v>
      </c>
      <c r="L92" s="2150" t="s">
        <v>1723</v>
      </c>
      <c r="M92" s="2150" t="s">
        <v>1724</v>
      </c>
      <c r="N92" s="2150" t="s">
        <v>1725</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2053</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2054</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2056</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2057</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2059</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2060</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2061</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4" t="s">
        <v>3290</v>
      </c>
      <c r="B103" s="3464"/>
      <c r="C103" s="3464"/>
      <c r="D103" s="3464"/>
      <c r="E103" s="3464"/>
      <c r="F103" s="3464"/>
      <c r="G103" s="3464"/>
      <c r="H103" s="3464"/>
      <c r="I103" s="3464"/>
      <c r="J103" s="3464"/>
      <c r="K103" s="1667"/>
      <c r="L103" s="1667"/>
      <c r="M103" s="1667"/>
      <c r="N103" s="1667"/>
    </row>
    <row r="104" spans="1:14">
      <c r="A104" s="3465" t="s">
        <v>3291</v>
      </c>
      <c r="B104" s="3465" t="s">
        <v>3292</v>
      </c>
      <c r="C104" s="3088" t="s">
        <v>3293</v>
      </c>
      <c r="D104" s="3089"/>
      <c r="E104" s="3089"/>
      <c r="F104" s="3089"/>
      <c r="G104" s="3089"/>
      <c r="H104" s="3089"/>
      <c r="I104" s="3089"/>
      <c r="J104" s="3090"/>
      <c r="K104" s="3091"/>
      <c r="L104" s="3091"/>
      <c r="M104" s="3091"/>
      <c r="N104" s="3091"/>
    </row>
    <row r="105" spans="1:14">
      <c r="A105" s="3465"/>
      <c r="B105" s="3465"/>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451"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2"/>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3"/>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54" t="s">
        <v>3307</v>
      </c>
      <c r="B113" s="3454"/>
      <c r="C113" s="3454"/>
      <c r="D113" s="3454"/>
      <c r="E113" s="3454"/>
      <c r="F113" s="3454"/>
      <c r="G113" s="3454"/>
      <c r="H113" s="3454"/>
      <c r="I113" s="3454"/>
      <c r="J113" s="345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0.90080000000000005</v>
      </c>
      <c r="E116" s="162" t="s">
        <v>1936</v>
      </c>
      <c r="F116" s="3099" t="str">
        <f>E2</f>
        <v>商业</v>
      </c>
      <c r="G116" s="162" t="s">
        <v>1937</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1990</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1991</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1992</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1993</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6B4A2376-8C9E-43C7-A9BA-2C3F7068652C}">
      <formula1>"不用分区数据,中心城区,中心城区以外"</formula1>
    </dataValidation>
    <dataValidation type="list" allowBlank="1" showInputMessage="1" showErrorMessage="1" sqref="H20:O20" xr:uid="{67A1E3F9-B2DC-4016-B412-32C021A8F7F6}">
      <formula1>七通一平</formula1>
    </dataValidation>
    <dataValidation type="list" allowBlank="1" showInputMessage="1" showErrorMessage="1" sqref="H23" xr:uid="{9484D223-2EFC-494C-B7D1-6863FAA932C2}">
      <formula1>"地价指数,季度增幅（自定义）,按公示增长率计算"</formula1>
    </dataValidation>
    <dataValidation type="list" allowBlank="1" showInputMessage="1" showErrorMessage="1" sqref="C61:C69 C72:C80 C50:C58 C83:C91 C93:C101" xr:uid="{79C7C4B8-AA68-4290-B64F-AE012601364C}">
      <formula1>五等判定</formula1>
    </dataValidation>
    <dataValidation type="list" allowBlank="1" showInputMessage="1" showErrorMessage="1" sqref="E3" xr:uid="{18FD5D64-00EC-4D53-9761-38004A628E42}">
      <formula1>二级分类</formula1>
    </dataValidation>
    <dataValidation type="list" allowBlank="1" showInputMessage="1" showErrorMessage="1" sqref="C8" xr:uid="{CF5F15C8-EF91-4EB4-80AC-41D6F7C54FCD}">
      <formula1>商业街名称</formula1>
    </dataValidation>
    <dataValidation type="list" allowBlank="1" showInputMessage="1" showErrorMessage="1" sqref="F3" xr:uid="{B09CA809-8D33-4626-8DAF-34F2718407B0}">
      <formula1>"宗地容积率,估价对象容积率,自定义容积率"</formula1>
    </dataValidation>
    <dataValidation type="list" allowBlank="1" showInputMessage="1" showErrorMessage="1" sqref="E2" xr:uid="{E2AC8ED2-BB04-451A-91C1-F2633C2C0604}">
      <formula1>"商业,办公,住宅,工业,公共服务"</formula1>
    </dataValidation>
    <dataValidation type="list" allowBlank="1" showInputMessage="1" showErrorMessage="1" sqref="F21" xr:uid="{4FFAC3F6-DED9-4C4E-A191-6C7FD24DDD6D}">
      <formula1>"与级别开发程度一致,与级别开发程度不一致"</formula1>
    </dataValidation>
    <dataValidation type="list" allowBlank="1" showInputMessage="1" showErrorMessage="1" sqref="B25" xr:uid="{7122A209-D3EA-4625-850A-628963FB9BEB}">
      <formula1>"容积率修正,楼层修正"</formula1>
    </dataValidation>
    <dataValidation type="list" allowBlank="1" showInputMessage="1" showErrorMessage="1" sqref="C15:D15" xr:uid="{C76AA2A1-8638-4B0C-9E14-3CF427ABCE05}">
      <formula1>"有,无"</formula1>
    </dataValidation>
    <dataValidation type="list" allowBlank="1" showInputMessage="1" showErrorMessage="1" sqref="E15" xr:uid="{64B90EA7-A793-4B5E-95A2-CE3B0E83D14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1175C-7AE8-42BE-B5B4-571D6CCC7D0D}">
  <sheetPr>
    <tabColor rgb="FF92D050"/>
    <pageSetUpPr fitToPage="1"/>
  </sheetPr>
  <dimension ref="A1:I57"/>
  <sheetViews>
    <sheetView view="pageBreakPreview" zoomScale="85" zoomScaleNormal="70" zoomScaleSheetLayoutView="85" workbookViewId="0">
      <selection activeCell="P32" sqref="P3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7</v>
      </c>
    </row>
    <row r="2" spans="1:9" s="192" customFormat="1" ht="18" customHeight="1">
      <c r="A2" s="193" t="s">
        <v>685</v>
      </c>
      <c r="B2" s="194">
        <f ca="1">IF(D2="——",C52,C52-E2)</f>
        <v>4092</v>
      </c>
      <c r="C2" s="191" t="s">
        <v>1463</v>
      </c>
      <c r="D2" s="1711" t="s">
        <v>43</v>
      </c>
      <c r="E2" s="1089" t="e">
        <f ca="1">SUMIF(INDIRECT("'"&amp;G2&amp;"'"&amp;"!A:A"),"承租人权益价值",INDIRECT("'"&amp;G2&amp;"'"&amp;"!c:c"))</f>
        <v>#REF!</v>
      </c>
      <c r="F2" s="1712" t="s">
        <v>1463</v>
      </c>
      <c r="G2" s="1713"/>
    </row>
    <row r="3" spans="1:9" s="192" customFormat="1" ht="18" customHeight="1" thickBot="1">
      <c r="A3" s="195" t="s">
        <v>686</v>
      </c>
      <c r="B3" s="196">
        <f ca="1">ROUND(B2*10000/(IF(B1="",'数据-汇总表'!E3,INDIRECT("'数据-取费表'!k"&amp;$G$1))),0)</f>
        <v>20833</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2093</v>
      </c>
      <c r="D5" s="203" t="s">
        <v>1469</v>
      </c>
      <c r="E5" s="204" t="s">
        <v>1470</v>
      </c>
      <c r="F5" s="204" t="s">
        <v>1471</v>
      </c>
      <c r="G5" s="205"/>
    </row>
    <row r="6" spans="1:9" s="206" customFormat="1" ht="13.5" customHeight="1">
      <c r="A6" s="732" t="s">
        <v>346</v>
      </c>
      <c r="B6" s="207" t="s">
        <v>1473</v>
      </c>
      <c r="C6" s="208">
        <f>'基准地价修正 (2)'!E37</f>
        <v>1993</v>
      </c>
      <c r="D6" s="209"/>
      <c r="E6" s="210"/>
      <c r="F6" s="210"/>
      <c r="G6" s="211"/>
    </row>
    <row r="7" spans="1:9" s="206" customFormat="1" ht="13.5" customHeight="1">
      <c r="A7" s="732" t="s">
        <v>347</v>
      </c>
      <c r="B7" s="207" t="s">
        <v>1475</v>
      </c>
      <c r="C7" s="212">
        <f>ROUND(C6*F7,0)</f>
        <v>61</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39</v>
      </c>
      <c r="D8" s="214"/>
      <c r="E8" s="212"/>
      <c r="F8" s="213"/>
      <c r="G8" s="1714" t="s">
        <v>3418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3492</v>
      </c>
      <c r="H9" s="1070"/>
      <c r="I9" s="1716" t="s">
        <v>1479</v>
      </c>
    </row>
    <row r="10" spans="1:9" s="206" customFormat="1" ht="13.5" customHeight="1">
      <c r="A10" s="733" t="s">
        <v>356</v>
      </c>
      <c r="B10" s="216" t="s">
        <v>1480</v>
      </c>
      <c r="C10" s="217">
        <f ca="1">ROUND(D10*E10/10000,0)</f>
        <v>39</v>
      </c>
      <c r="D10" s="795">
        <f ca="1">IF(B1="",'数据-汇总表'!E6,IF(INDIRECT("'数据-取费表'!c"&amp;$G$1)="住宅",INDIRECT("'数据-取费表'!s"&amp;$G$1),INDIRECT("'数据-取费表'!k"&amp;$G$1)+INDIRECT("'数据-取费表'!s"&amp;$G$1)))</f>
        <v>1964.21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1964.21</v>
      </c>
      <c r="E19" s="203">
        <f>'数据-取费表'!B31</f>
        <v>200</v>
      </c>
      <c r="F19" s="223"/>
      <c r="G19" s="1714" t="s">
        <v>3419</v>
      </c>
    </row>
    <row r="20" spans="1:7" s="206" customFormat="1" ht="13.5" customHeight="1">
      <c r="A20" s="247" t="s">
        <v>1493</v>
      </c>
      <c r="B20" s="202" t="s">
        <v>1494</v>
      </c>
      <c r="C20" s="224">
        <f ca="1">ROUND((C5+C19)*F20,0)</f>
        <v>52</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203</v>
      </c>
      <c r="D22" s="227">
        <f ca="1">C26</f>
        <v>1.4E-3</v>
      </c>
      <c r="E22" s="228" t="s">
        <v>1498</v>
      </c>
      <c r="F22" s="229">
        <f ca="1">'数据-取费表'!B40</f>
        <v>3.1E-2</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201</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322</v>
      </c>
      <c r="D27" s="227">
        <f ca="1">C29</f>
        <v>4.4999999999999997E-3</v>
      </c>
      <c r="E27" s="228" t="s">
        <v>1498</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322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2931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1249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1100</v>
      </c>
      <c r="D34" s="209"/>
      <c r="E34" s="212"/>
      <c r="F34" s="249">
        <f ca="1">IF('数据-取费表'!B24=0,1,IF(B1="",'数据-取费表'!N16,INDIRECT("'数据-取费表'!n"&amp;$G$1)))</f>
        <v>1</v>
      </c>
      <c r="G34" s="211" t="s">
        <v>1526</v>
      </c>
    </row>
    <row r="35" spans="1:7" ht="13.5" customHeight="1">
      <c r="A35" s="734" t="s">
        <v>351</v>
      </c>
      <c r="B35" s="207" t="s">
        <v>1527</v>
      </c>
      <c r="C35" s="212">
        <f ca="1">ROUND(C34*F35,0)</f>
        <v>88</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39</v>
      </c>
      <c r="D37" s="209">
        <f ca="1">D19</f>
        <v>1964.21</v>
      </c>
      <c r="E37" s="241">
        <f>'数据-取费表'!B35</f>
        <v>200</v>
      </c>
      <c r="F37" s="251"/>
      <c r="G37" s="253" t="s">
        <v>1532</v>
      </c>
    </row>
    <row r="38" spans="1:7" ht="13.5" customHeight="1">
      <c r="A38" s="734" t="s">
        <v>354</v>
      </c>
      <c r="B38" s="207" t="s">
        <v>1533</v>
      </c>
      <c r="C38" s="212">
        <f ca="1">ROUND(C34*F38,0)</f>
        <v>22</v>
      </c>
      <c r="D38" s="212"/>
      <c r="E38" s="212"/>
      <c r="F38" s="251">
        <f>'数据-取费表'!B36</f>
        <v>0.02</v>
      </c>
      <c r="G38" s="211" t="s">
        <v>1528</v>
      </c>
    </row>
    <row r="39" spans="1:7" s="206" customFormat="1" ht="13.5" customHeight="1">
      <c r="A39" s="247" t="s">
        <v>1491</v>
      </c>
      <c r="B39" s="202" t="s">
        <v>1494</v>
      </c>
      <c r="C39" s="224">
        <f ca="1">ROUND(C33*F20,0)</f>
        <v>31</v>
      </c>
      <c r="D39" s="224"/>
      <c r="E39" s="224"/>
      <c r="F39" s="225">
        <f>F20</f>
        <v>2.5000000000000001E-2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60</v>
      </c>
      <c r="D41" s="227">
        <f ca="1">C44</f>
        <v>1.4E-3</v>
      </c>
      <c r="E41" s="228" t="s">
        <v>1539</v>
      </c>
      <c r="F41" s="229">
        <f ca="1">F22</f>
        <v>3.1E-2</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59</v>
      </c>
      <c r="D42" s="230"/>
      <c r="E42" s="230"/>
      <c r="F42" s="231"/>
      <c r="G42" s="3348" t="s">
        <v>1544</v>
      </c>
    </row>
    <row r="43" spans="1:7" ht="13.5" customHeight="1">
      <c r="A43" s="734" t="s">
        <v>347</v>
      </c>
      <c r="B43" s="207" t="s">
        <v>1506</v>
      </c>
      <c r="C43" s="230">
        <f ca="1">ROUND(IF('数据-取费表'!B22&lt;=1,C39*F22*'数据-取费表'!B21/2,C39*(POWER((1+F22),'数据-取费表'!B21/2)-1)),0)</f>
        <v>1</v>
      </c>
      <c r="D43" s="230"/>
      <c r="E43" s="230"/>
      <c r="F43" s="231"/>
      <c r="G43" s="3349"/>
    </row>
    <row r="44" spans="1:7" ht="13.5" customHeight="1">
      <c r="A44" s="734" t="s">
        <v>348</v>
      </c>
      <c r="B44" s="207" t="s">
        <v>1509</v>
      </c>
      <c r="C44" s="230">
        <f ca="1">ROUND(IF('数据-取费表'!B22&lt;=1,C40*F22*'数据-取费表'!B21/2,C40*(POWER((1+F22),'数据-取费表'!B21/2)-1)),4)</f>
        <v>1.4E-3</v>
      </c>
      <c r="D44" s="230"/>
      <c r="E44" s="230"/>
      <c r="F44" s="231"/>
      <c r="G44" s="3350"/>
    </row>
    <row r="45" spans="1:7" s="206" customFormat="1" ht="13.5" customHeight="1">
      <c r="A45" s="247" t="s">
        <v>1500</v>
      </c>
      <c r="B45" s="236" t="s">
        <v>1513</v>
      </c>
      <c r="C45" s="237">
        <f ca="1">C46</f>
        <v>192</v>
      </c>
      <c r="D45" s="227">
        <f ca="1">C47</f>
        <v>4.4999999999999997E-3</v>
      </c>
      <c r="E45" s="228" t="s">
        <v>1539</v>
      </c>
      <c r="F45" s="238">
        <f ca="1">F27</f>
        <v>0.15</v>
      </c>
      <c r="G45" s="239" t="s">
        <v>1548</v>
      </c>
    </row>
    <row r="46" spans="1:7" s="206" customFormat="1" ht="13.5" customHeight="1">
      <c r="A46" s="734" t="s">
        <v>346</v>
      </c>
      <c r="B46" s="240" t="s">
        <v>1549</v>
      </c>
      <c r="C46" s="241">
        <f ca="1">ROUND((C33+C39)*F27,0)</f>
        <v>192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1682</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1161</v>
      </c>
      <c r="D51" s="224"/>
      <c r="E51" s="224"/>
      <c r="F51" s="256"/>
      <c r="G51" s="226" t="s">
        <v>1560</v>
      </c>
    </row>
    <row r="52" spans="1:7" s="200" customFormat="1" ht="16.8" thickBot="1">
      <c r="A52" s="257" t="s">
        <v>1561</v>
      </c>
      <c r="B52" s="258"/>
      <c r="C52" s="259">
        <f ca="1">C31+C51</f>
        <v>4092</v>
      </c>
      <c r="D52" s="258"/>
      <c r="E52" s="258"/>
      <c r="F52" s="258"/>
      <c r="G52" s="260"/>
    </row>
    <row r="55" spans="1:7" ht="15">
      <c r="B55" s="262" t="s">
        <v>1562</v>
      </c>
      <c r="C55" s="263"/>
    </row>
    <row r="56" spans="1:7">
      <c r="B56" s="265" t="s">
        <v>802</v>
      </c>
      <c r="C56" s="267">
        <f ca="1">1-C57</f>
        <v>0.71599999999999997</v>
      </c>
    </row>
    <row r="57" spans="1:7">
      <c r="B57" s="265" t="s">
        <v>803</v>
      </c>
      <c r="C57" s="266">
        <f ca="1">ROUND(C51/C52,3)</f>
        <v>0.28399999999999997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E0752D5E-A621-48EA-B562-1D972E7CAAAC}">
      <formula1>"需扣减承租人权益,——"</formula1>
    </dataValidation>
    <dataValidation type="list" allowBlank="1" showInputMessage="1" showErrorMessage="1" sqref="G2" xr:uid="{CDFDE4C1-699B-4116-848E-73CE014ADB0F}">
      <formula1>估价方法</formula1>
    </dataValidation>
    <dataValidation type="list" allowBlank="1" showInputMessage="1" showErrorMessage="1" sqref="G9" xr:uid="{1893B1BD-6E01-42BC-A4AF-DA8B9C7C0AD7}">
      <formula1>"部分缴纳,全部缴纳"</formula1>
    </dataValidation>
    <dataValidation type="list" allowBlank="1" showInputMessage="1" showErrorMessage="1" sqref="B1" xr:uid="{C2B830D2-1AF2-4F6D-AE59-901FA0C42869}">
      <formula1>项目类型</formula1>
    </dataValidation>
    <dataValidation type="list" allowBlank="1" showInputMessage="1" showErrorMessage="1" sqref="G19" xr:uid="{2CBE1BD2-3F86-40B8-AA79-5B56A88DBEE0}">
      <formula1>"已包含在土地取得成本中,未包含在土地取得成本中"</formula1>
    </dataValidation>
    <dataValidation type="list" allowBlank="1" showInputMessage="1" showErrorMessage="1" sqref="G8" xr:uid="{64E62034-8189-4A35-83D2-20A98780480E}">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3FD00-1E08-4E58-9714-6FFF8E5CF2CE}">
  <sheetPr>
    <tabColor rgb="FF92D050"/>
  </sheetPr>
  <dimension ref="A1:AK83"/>
  <sheetViews>
    <sheetView view="pageBreakPreview" zoomScale="70" zoomScaleNormal="70" zoomScaleSheetLayoutView="70" workbookViewId="0">
      <selection activeCell="N24" sqref="N2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8.84</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2205</v>
      </c>
      <c r="C2" s="1289" t="s">
        <v>805</v>
      </c>
      <c r="D2" s="1289"/>
      <c r="E2" s="1295"/>
      <c r="F2" s="1296"/>
      <c r="G2" s="2476"/>
      <c r="H2" s="2466"/>
      <c r="I2" s="2466"/>
      <c r="J2" s="2466"/>
      <c r="K2" s="2467"/>
      <c r="L2" s="2466"/>
      <c r="M2" s="2466"/>
    </row>
    <row r="3" spans="1:37" ht="18" customHeight="1" thickBot="1">
      <c r="A3" s="1297" t="s">
        <v>806</v>
      </c>
      <c r="B3" s="1298">
        <f ca="1">IF(ISERROR(B2*10000/F43),0,ROUND(B2*10000/F43,0))</f>
        <v>11226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323</v>
      </c>
      <c r="D5" s="1273" t="s">
        <v>693</v>
      </c>
      <c r="E5" s="1008"/>
      <c r="F5" s="1009"/>
      <c r="G5" s="1292"/>
      <c r="H5" s="291">
        <v>1</v>
      </c>
      <c r="I5" s="292" t="s">
        <v>692</v>
      </c>
      <c r="J5" s="1007">
        <f ca="1">J6+J10+J12</f>
        <v>0</v>
      </c>
      <c r="K5" s="1273" t="s">
        <v>693</v>
      </c>
      <c r="L5" s="1008"/>
      <c r="M5" s="1009"/>
    </row>
    <row r="6" spans="1:37" ht="18" customHeight="1">
      <c r="A6" s="1006" t="s">
        <v>398</v>
      </c>
      <c r="B6" s="3482" t="s">
        <v>694</v>
      </c>
      <c r="C6" s="1011">
        <f ca="1">ROUND(F6*F8*F7*(1-F9)/10000,0)</f>
        <v>323</v>
      </c>
      <c r="D6" s="147" t="s">
        <v>2109</v>
      </c>
      <c r="E6" s="294" t="s">
        <v>696</v>
      </c>
      <c r="F6" s="295">
        <f ca="1">INDIRECT("'数据-取费表'!u"&amp;$G$1)</f>
        <v>5</v>
      </c>
      <c r="G6" s="1292"/>
      <c r="H6" s="1006" t="s">
        <v>398</v>
      </c>
      <c r="I6" s="3482" t="s">
        <v>694</v>
      </c>
      <c r="J6" s="293">
        <f ca="1">ROUND(M6*M8*M7*(1-M9)/10000,0)</f>
        <v>0</v>
      </c>
      <c r="K6" s="147" t="s">
        <v>2108</v>
      </c>
      <c r="L6" s="294" t="s">
        <v>696</v>
      </c>
      <c r="M6" s="295">
        <f ca="1">INDIRECT("'数据-取费表'!z"&amp;$G$1)</f>
        <v>0</v>
      </c>
    </row>
    <row r="7" spans="1:37" ht="18" customHeight="1">
      <c r="A7" s="1010"/>
      <c r="B7" s="3483"/>
      <c r="C7" s="1012"/>
      <c r="D7" s="299"/>
      <c r="E7" s="1013" t="s">
        <v>697</v>
      </c>
      <c r="F7" s="295">
        <f ca="1">IF(INDIRECT("'数据-取费表'!ah"&amp;$G$1)="",INDIRECT("'数据-取费表'!k"&amp;$G$1),INDIRECT("'数据-取费表'!ah"&amp;$G$1))</f>
        <v>1964.21</v>
      </c>
      <c r="G7" s="1292"/>
      <c r="H7" s="296"/>
      <c r="I7" s="3483"/>
      <c r="J7" s="298"/>
      <c r="K7" s="299"/>
      <c r="L7" s="294" t="s">
        <v>697</v>
      </c>
      <c r="M7" s="295">
        <f ca="1">F7</f>
        <v>1964.21</v>
      </c>
    </row>
    <row r="8" spans="1:37" ht="18" customHeight="1">
      <c r="A8" s="296"/>
      <c r="B8" s="3483"/>
      <c r="C8" s="298"/>
      <c r="D8" s="299"/>
      <c r="E8" s="294" t="s">
        <v>698</v>
      </c>
      <c r="F8" s="295">
        <f ca="1">INDIRECT("'数据-取费表'!ai"&amp;$G$1)</f>
        <v>365</v>
      </c>
      <c r="G8" s="1292"/>
      <c r="H8" s="296"/>
      <c r="I8" s="3483"/>
      <c r="J8" s="298"/>
      <c r="K8" s="299"/>
      <c r="L8" s="294" t="s">
        <v>698</v>
      </c>
      <c r="M8" s="295">
        <f ca="1">INDIRECT("'数据-取费表'!ai"&amp;$G$1)</f>
        <v>365</v>
      </c>
    </row>
    <row r="9" spans="1:37" ht="18" customHeight="1">
      <c r="A9" s="296"/>
      <c r="B9" s="3484"/>
      <c r="C9" s="298"/>
      <c r="D9" s="299"/>
      <c r="E9" s="294" t="s">
        <v>699</v>
      </c>
      <c r="F9" s="304">
        <f ca="1">INDIRECT("'数据-取费表'!w"&amp;$G$1)</f>
        <v>0.1</v>
      </c>
      <c r="G9" s="1292"/>
      <c r="H9" s="296"/>
      <c r="I9" s="34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1161</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1100</v>
      </c>
      <c r="D14" s="1257" t="s">
        <v>708</v>
      </c>
      <c r="E14" s="1255"/>
      <c r="F14" s="311"/>
      <c r="G14" s="1292"/>
      <c r="H14" s="928" t="s">
        <v>398</v>
      </c>
      <c r="I14" s="294" t="s">
        <v>709</v>
      </c>
      <c r="J14" s="21">
        <f ca="1">C29</f>
        <v>1682</v>
      </c>
      <c r="K14" s="12"/>
      <c r="L14" s="759"/>
      <c r="M14" s="760"/>
    </row>
    <row r="15" spans="1:37" s="1304" customFormat="1" ht="18" customHeight="1" thickBot="1">
      <c r="A15" s="928" t="s">
        <v>399</v>
      </c>
      <c r="B15" s="294" t="s">
        <v>710</v>
      </c>
      <c r="C15" s="21">
        <f ca="1">ROUND(C14*F15,0)</f>
        <v>88</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17</v>
      </c>
      <c r="K16" s="1024" t="s">
        <v>715</v>
      </c>
      <c r="L16" s="1025"/>
      <c r="M16" s="1009"/>
    </row>
    <row r="17" spans="1:37" s="1304" customFormat="1" ht="18" customHeight="1">
      <c r="A17" s="928" t="s">
        <v>681</v>
      </c>
      <c r="B17" s="294" t="s">
        <v>716</v>
      </c>
      <c r="C17" s="21">
        <f ca="1">ROUND(F17*(F43+INDIRECT("'数据-取费表'!S"&amp;$G$1))/10000,0)</f>
        <v>39</v>
      </c>
      <c r="D17" s="294" t="s">
        <v>717</v>
      </c>
      <c r="E17" s="294" t="s">
        <v>718</v>
      </c>
      <c r="F17" s="23">
        <f>'数据-取费表'!B35</f>
        <v>200</v>
      </c>
      <c r="G17" s="1303"/>
      <c r="H17" s="928" t="s">
        <v>398</v>
      </c>
      <c r="I17" s="294" t="s">
        <v>719</v>
      </c>
      <c r="J17" s="2140">
        <f ca="1">ROUND(IF(AND(项目基本情况!B11="自然人",项目基本情况!B10="北京市"),J6*M17/(1+'数据-取费表'!C42),J18+J19+J20),2)</f>
        <v>0.13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1249</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31</v>
      </c>
      <c r="D20" s="315" t="s">
        <v>729</v>
      </c>
      <c r="E20" s="294" t="s">
        <v>712</v>
      </c>
      <c r="F20" s="314">
        <f>'数据-取费表'!B37</f>
        <v>2.5000000000000001E-2</v>
      </c>
      <c r="G20" s="1303"/>
      <c r="H20" s="928" t="s">
        <v>680</v>
      </c>
      <c r="I20" s="147" t="s">
        <v>730</v>
      </c>
      <c r="J20" s="22">
        <f ca="1">ROUND(M20*M21/10000,2)</f>
        <v>0.13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43.98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16.82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-17</v>
      </c>
      <c r="K25" s="1032" t="s">
        <v>753</v>
      </c>
      <c r="L25" s="1033"/>
      <c r="M25" s="1034"/>
    </row>
    <row r="26" spans="1:37">
      <c r="A26" s="928" t="s">
        <v>397</v>
      </c>
      <c r="B26" s="294" t="s">
        <v>754</v>
      </c>
      <c r="C26" s="21">
        <f ca="1">ROUND((C19+C20)*F26,0)</f>
        <v>192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1682</v>
      </c>
      <c r="D29" s="1029"/>
      <c r="E29" s="1027"/>
      <c r="F29" s="1030"/>
      <c r="G29" s="1303"/>
      <c r="H29" s="325" t="s">
        <v>396</v>
      </c>
      <c r="I29" s="326" t="s">
        <v>768</v>
      </c>
      <c r="J29" s="327">
        <f ca="1">ROUND(J26/(1+F40)^F41,0)</f>
        <v>0</v>
      </c>
      <c r="K29" s="328" t="s">
        <v>769</v>
      </c>
      <c r="L29" s="329"/>
      <c r="M29" s="330">
        <f ca="1">INDIRECT("'数据-取费表'!k"&amp;$G$1)</f>
        <v>1964.21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54.27</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17.23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36.909999999999997</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0.13</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43.98</v>
      </c>
      <c r="G35" s="1292"/>
      <c r="H35" s="2468"/>
      <c r="I35" s="1305"/>
      <c r="J35" s="1306"/>
      <c r="K35" s="2472"/>
      <c r="L35" s="2471"/>
      <c r="M35" s="2471"/>
    </row>
    <row r="36" spans="1:18" ht="18" customHeight="1">
      <c r="A36" s="1039" t="s">
        <v>402</v>
      </c>
      <c r="B36" s="294" t="s">
        <v>738</v>
      </c>
      <c r="C36" s="21">
        <f ca="1">ROUND(C29*F36,2)</f>
        <v>16.82</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1.1599999999999999</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ROUND(C5*F38,2)</f>
        <v>1.62</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249</v>
      </c>
      <c r="D39" s="1032" t="s">
        <v>753</v>
      </c>
      <c r="E39" s="1033"/>
      <c r="F39" s="1034"/>
      <c r="G39" s="1292"/>
      <c r="H39" s="2471"/>
      <c r="I39" s="1305"/>
      <c r="J39" s="1306"/>
      <c r="K39" s="2469"/>
      <c r="L39" s="2471"/>
      <c r="M39" s="2471"/>
    </row>
    <row r="40" spans="1:18" ht="18" customHeight="1">
      <c r="A40" s="291" t="s">
        <v>395</v>
      </c>
      <c r="B40" s="292" t="s">
        <v>774</v>
      </c>
      <c r="C40" s="293">
        <f ca="1">ROUND(C39*(1-((1+F42)/(1+F40))^F41)/(F40-F42),0)</f>
        <v>1835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8.84</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9342</v>
      </c>
      <c r="D43" s="328" t="s">
        <v>777</v>
      </c>
      <c r="E43" s="329" t="s">
        <v>778</v>
      </c>
      <c r="F43" s="330">
        <f ca="1">INDIRECT("'数据-取费表'!k"&amp;$G$1)</f>
        <v>1964.21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-1958</v>
      </c>
      <c r="D46" s="1313" t="str">
        <f>C2</f>
        <v>万元</v>
      </c>
      <c r="E46" s="1307"/>
      <c r="F46" s="1307"/>
      <c r="I46" s="1314" t="s">
        <v>810</v>
      </c>
      <c r="J46" s="1315"/>
      <c r="K46" s="1316"/>
      <c r="L46" s="1317">
        <f ca="1">IF(M47="住宅",0,IF(L48&gt;J51,L60,J60))</f>
        <v>370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3421</v>
      </c>
      <c r="K47" s="1323" t="s">
        <v>816</v>
      </c>
      <c r="L47" s="1324">
        <f ca="1">INDIRECT("'数据-取费表'!d"&amp;$G$1)</f>
        <v>40</v>
      </c>
      <c r="M47" s="1288" t="str">
        <f>IF(ISNUMBER(FIND("住宅",C1)),"住宅","非住宅")</f>
        <v>非住宅</v>
      </c>
      <c r="O47" s="1325" t="s">
        <v>403</v>
      </c>
      <c r="P47" s="1326" t="s">
        <v>817</v>
      </c>
      <c r="Q47" s="1327">
        <f ca="1">C40+J29</f>
        <v>1835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8.84</v>
      </c>
      <c r="O48" s="1325" t="s">
        <v>404</v>
      </c>
      <c r="P48" s="1326" t="s">
        <v>821</v>
      </c>
      <c r="Q48" s="1327">
        <f ca="1">J60</f>
        <v>370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f>'数据-取费表'!N18</f>
        <v>1996</v>
      </c>
      <c r="K49" s="1330" t="s">
        <v>824</v>
      </c>
      <c r="L49" s="1333"/>
      <c r="O49" s="1334" t="s">
        <v>405</v>
      </c>
      <c r="P49" s="1326" t="s">
        <v>825</v>
      </c>
      <c r="Q49" s="1327">
        <f ca="1">C29</f>
        <v>1682</v>
      </c>
      <c r="R49" s="1327" t="s">
        <v>818</v>
      </c>
    </row>
    <row r="50" spans="1:18" s="1292" customFormat="1" ht="13.8" thickBot="1">
      <c r="A50" s="922"/>
      <c r="B50" s="925"/>
      <c r="C50" s="1055"/>
      <c r="D50" s="899"/>
      <c r="E50" s="993" t="s">
        <v>697</v>
      </c>
      <c r="F50" s="994">
        <f ca="1">F7</f>
        <v>1964.21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2615</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8.84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8.84</v>
      </c>
      <c r="K53" s="3485" t="s">
        <v>837</v>
      </c>
      <c r="L53" s="3486"/>
      <c r="O53" s="1325" t="s">
        <v>409</v>
      </c>
      <c r="P53" s="1326" t="s">
        <v>838</v>
      </c>
      <c r="Q53" s="1327">
        <f ca="1">Q47+Q48</f>
        <v>2205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0.36899999999999999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1161</v>
      </c>
      <c r="D56" s="1352"/>
      <c r="E56" s="1353"/>
      <c r="F56" s="1345"/>
      <c r="I56" s="1354" t="s">
        <v>842</v>
      </c>
      <c r="J56" s="1355"/>
      <c r="K56" s="1328" t="s">
        <v>843</v>
      </c>
      <c r="L56" s="1331" t="str">
        <f ca="1">IF(L48&lt;J51,"——",L48-J53)</f>
        <v>——</v>
      </c>
      <c r="O56" s="1325" t="s">
        <v>403</v>
      </c>
      <c r="P56" s="1326" t="s">
        <v>817</v>
      </c>
      <c r="Q56" s="1327">
        <f ca="1">C40+J29</f>
        <v>1835</v>
      </c>
      <c r="R56" s="1327" t="s">
        <v>818</v>
      </c>
    </row>
    <row r="57" spans="1:18" s="1292" customFormat="1" ht="24.6" thickBot="1">
      <c r="A57" s="1356"/>
      <c r="B57" s="896" t="s">
        <v>767</v>
      </c>
      <c r="C57" s="230">
        <f ca="1">C29</f>
        <v>1682</v>
      </c>
      <c r="D57" s="1357"/>
      <c r="E57" s="1358"/>
      <c r="F57" s="1359"/>
      <c r="I57" s="1360" t="s">
        <v>844</v>
      </c>
      <c r="J57" s="1361">
        <f ca="1">IF(OR(M47="住宅",J51&lt;L48,J56="是"),"——",J51-L48)</f>
        <v>22.16</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370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IF(项目基本情况!B11="自然人","——",IF(D61="按租金收入计税",ROUND(C49*F61/(1+'数据-取费表'!C42),2),IF(D61="按房产原值计税",ROUND(C57*F61*0.7,2),INDIRECT("'数据-取费表'!Aj"&amp;$G$1))))</f>
        <v>0</v>
      </c>
      <c r="D61" s="1278" t="s">
        <v>3332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IF(项目基本情况!B11="自然人","——",ROUND(F62*F63/10000,2))</f>
        <v>0.13</v>
      </c>
      <c r="D62" s="911" t="s">
        <v>731</v>
      </c>
      <c r="E62" s="896" t="s">
        <v>732</v>
      </c>
      <c r="F62" s="317">
        <f t="shared" si="0"/>
        <v>30</v>
      </c>
      <c r="I62" s="1367" t="s">
        <v>858</v>
      </c>
      <c r="J62" s="610" t="s">
        <v>859</v>
      </c>
      <c r="K62" s="610" t="s">
        <v>860</v>
      </c>
      <c r="L62" s="610" t="s">
        <v>861</v>
      </c>
      <c r="M62" s="1368" t="s">
        <v>862</v>
      </c>
      <c r="O62" s="1325" t="s">
        <v>409</v>
      </c>
      <c r="P62" s="1326" t="s">
        <v>838</v>
      </c>
      <c r="Q62" s="1327">
        <f ca="1">Q56+Q57</f>
        <v>1835</v>
      </c>
      <c r="R62" s="1327" t="s">
        <v>410</v>
      </c>
    </row>
    <row r="63" spans="1:18" s="1292" customFormat="1" ht="13.8" thickBot="1">
      <c r="A63" s="318"/>
      <c r="B63" s="902"/>
      <c r="C63" s="26"/>
      <c r="D63" s="912"/>
      <c r="E63" s="896" t="s">
        <v>736</v>
      </c>
      <c r="F63" s="295">
        <f t="shared" ca="1" si="0"/>
        <v>43.98</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ROUND(C57*F64,2)</f>
        <v>16.82</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1.1599999999999999</v>
      </c>
      <c r="D65" s="910" t="s">
        <v>743</v>
      </c>
      <c r="E65" s="896" t="s">
        <v>712</v>
      </c>
      <c r="F65" s="321">
        <f t="shared" ca="1" si="0"/>
        <v>1E-3</v>
      </c>
      <c r="I65" s="1367" t="s">
        <v>867</v>
      </c>
      <c r="J65" s="610">
        <v>40</v>
      </c>
      <c r="K65" s="610">
        <v>30</v>
      </c>
      <c r="L65" s="610">
        <v>50</v>
      </c>
      <c r="M65" s="1369">
        <v>0.02</v>
      </c>
      <c r="O65" s="1325" t="s">
        <v>403</v>
      </c>
      <c r="P65" s="1326" t="s">
        <v>817</v>
      </c>
      <c r="Q65" s="1327">
        <f ca="1">C40+J29</f>
        <v>1835</v>
      </c>
      <c r="R65" s="1327" t="s">
        <v>818</v>
      </c>
    </row>
    <row r="66" spans="1:18" s="1292" customFormat="1" ht="16.2"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-18</v>
      </c>
      <c r="D67" s="909" t="s">
        <v>753</v>
      </c>
      <c r="E67" s="914"/>
      <c r="F67" s="915"/>
      <c r="O67" s="1334" t="s">
        <v>405</v>
      </c>
      <c r="P67" s="1326" t="s">
        <v>850</v>
      </c>
      <c r="Q67" s="1370">
        <f ca="1">L51</f>
        <v>2615</v>
      </c>
      <c r="R67" s="1327" t="s">
        <v>870</v>
      </c>
    </row>
    <row r="68" spans="1:18" s="1292" customFormat="1" ht="16.2" thickBot="1">
      <c r="A68" s="893" t="s">
        <v>395</v>
      </c>
      <c r="B68" s="894" t="s">
        <v>774</v>
      </c>
      <c r="C68" s="293">
        <f ca="1">ROUND(C67*(1-((1+F70)/(1+F68))^F69)/(F68-F70),0)</f>
        <v>-123</v>
      </c>
      <c r="D68" s="911" t="s">
        <v>758</v>
      </c>
      <c r="E68" s="896" t="s">
        <v>759</v>
      </c>
      <c r="F68" s="304">
        <f ca="1">F40</f>
        <v>5.5E-2</v>
      </c>
      <c r="O68" s="1334" t="s">
        <v>406</v>
      </c>
      <c r="P68" s="1371" t="s">
        <v>871</v>
      </c>
      <c r="Q68" s="1327">
        <f ca="1">ROUND(Q69-Q70*Q71,0)</f>
        <v>168</v>
      </c>
      <c r="R68" s="1327" t="s">
        <v>414</v>
      </c>
    </row>
    <row r="69" spans="1:18" s="1292" customFormat="1" ht="13.8" thickBot="1">
      <c r="A69" s="897"/>
      <c r="B69" s="898"/>
      <c r="C69" s="298"/>
      <c r="D69" s="916" t="s">
        <v>762</v>
      </c>
      <c r="E69" s="896" t="s">
        <v>763</v>
      </c>
      <c r="F69" s="324">
        <f ca="1">F41</f>
        <v>8.84</v>
      </c>
      <c r="O69" s="1334" t="s">
        <v>411</v>
      </c>
      <c r="P69" s="1371" t="s">
        <v>872</v>
      </c>
      <c r="Q69" s="1327">
        <f ca="1">C39</f>
        <v>249</v>
      </c>
      <c r="R69" s="1327" t="s">
        <v>818</v>
      </c>
    </row>
    <row r="70" spans="1:18" s="1292" customFormat="1" ht="13.8" thickBot="1">
      <c r="A70" s="900"/>
      <c r="B70" s="901"/>
      <c r="C70" s="302"/>
      <c r="D70" s="912"/>
      <c r="E70" s="896" t="s">
        <v>766</v>
      </c>
      <c r="F70" s="991"/>
      <c r="O70" s="1334" t="s">
        <v>412</v>
      </c>
      <c r="P70" s="1371" t="s">
        <v>873</v>
      </c>
      <c r="Q70" s="1327">
        <f ca="1">C13</f>
        <v>1161</v>
      </c>
      <c r="R70" s="1327" t="s">
        <v>818</v>
      </c>
    </row>
    <row r="71" spans="1:18" s="1292" customFormat="1" ht="13.8" thickBot="1">
      <c r="A71" s="917" t="s">
        <v>396</v>
      </c>
      <c r="B71" s="918" t="s">
        <v>776</v>
      </c>
      <c r="C71" s="327">
        <f ca="1">ROUND(C68*10000/F71,0)</f>
        <v>-626</v>
      </c>
      <c r="D71" s="919" t="s">
        <v>777</v>
      </c>
      <c r="E71" s="920" t="s">
        <v>778</v>
      </c>
      <c r="F71" s="330">
        <f ca="1">F43</f>
        <v>1964.21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v>
      </c>
      <c r="D75" s="1292"/>
      <c r="E75" s="1292"/>
      <c r="F75" s="1292"/>
      <c r="K75" s="1309"/>
      <c r="L75" s="1292"/>
      <c r="O75" s="1325" t="s">
        <v>409</v>
      </c>
      <c r="P75" s="1326" t="s">
        <v>838</v>
      </c>
      <c r="Q75" s="1327">
        <f ca="1">Q65+Q66</f>
        <v>1835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0.67500000000000004</v>
      </c>
    </row>
    <row r="80" spans="1:18">
      <c r="B80" s="331" t="s">
        <v>800</v>
      </c>
      <c r="C80" s="266">
        <f ca="1">ROUND(C75/C39,3)</f>
        <v>0.32500000000000001</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D94F4334-2EF0-4267-BF0B-E550369C14E8}">
      <formula1>"在建（套用方法）,土地（套用方法）,——"</formula1>
    </dataValidation>
    <dataValidation type="list" allowBlank="1" showInputMessage="1" showErrorMessage="1" sqref="M10 F10 F53" xr:uid="{9D4C87CD-9829-497C-9382-0E3E63B24A71}">
      <formula1>"押一,押二,押三,自定义"</formula1>
    </dataValidation>
    <dataValidation type="list" allowBlank="1" showInputMessage="1" showErrorMessage="1" sqref="L55" xr:uid="{DF455CEF-7EDA-4EA5-8BBF-A30B24237F10}">
      <formula1>"比较法,基准地价,收益还原"</formula1>
    </dataValidation>
    <dataValidation type="list" allowBlank="1" showInputMessage="1" showErrorMessage="1" sqref="J56" xr:uid="{41A42D40-87BB-4152-B090-9E083DC80A3B}">
      <formula1>估价范围判定</formula1>
    </dataValidation>
    <dataValidation type="list" allowBlank="1" showInputMessage="1" showErrorMessage="1" sqref="J48" xr:uid="{B8785E68-5CCF-4F81-BC84-99C0B02707E5}">
      <formula1>"非生产用房,生产用房,受腐蚀的生产用房"</formula1>
    </dataValidation>
    <dataValidation type="list" allowBlank="1" showInputMessage="1" showErrorMessage="1" sqref="J47" xr:uid="{66729C01-1984-4EE1-8E27-47175C2833E8}">
      <formula1>"钢,钢混,砖混"</formula1>
    </dataValidation>
    <dataValidation type="list" allowBlank="1" showInputMessage="1" showErrorMessage="1" sqref="C1" xr:uid="{859D2FB9-9517-4658-85F5-48811F371D2D}">
      <formula1>项目类型</formula1>
    </dataValidation>
    <dataValidation type="list" allowBlank="1" showInputMessage="1" showErrorMessage="1" sqref="D33 D61" xr:uid="{3122CE7C-6524-410D-983C-C0F67B92A473}">
      <formula1>"按租金收入计税,按房产原值计税,按票据"</formula1>
    </dataValidation>
    <dataValidation type="list" allowBlank="1" showInputMessage="1" showErrorMessage="1" sqref="K19" xr:uid="{923FA01B-F19A-4BC0-AD76-F6E3E36BE0D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9" t="s">
        <v>2835</v>
      </c>
      <c r="B1" s="3489"/>
      <c r="C1" s="3489"/>
      <c r="D1" s="3489"/>
      <c r="E1" s="3489"/>
      <c r="F1" s="3489"/>
      <c r="G1" s="3490"/>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7"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8"/>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3177</v>
      </c>
      <c r="B1" s="3491"/>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2" t="s">
        <v>3228</v>
      </c>
      <c r="B1" s="3492"/>
      <c r="C1" s="3492"/>
      <c r="D1" s="3492"/>
      <c r="E1" s="3492"/>
      <c r="F1" s="3493"/>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45747</v>
      </c>
      <c r="B1" s="2927" t="s">
        <v>3376</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3372</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3380</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3373</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3371</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3367</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3366</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3364</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3363</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3362</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3360</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3351</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3379</v>
      </c>
    </row>
    <row r="24" spans="1:30">
      <c r="I24" s="1405" t="s">
        <v>2821</v>
      </c>
    </row>
    <row r="26" spans="1:30" s="2009" customFormat="1" ht="13.2">
      <c r="B26" s="2927" t="s">
        <v>3377</v>
      </c>
      <c r="C26" s="2928"/>
      <c r="D26" s="2928"/>
      <c r="E26" s="2928"/>
      <c r="F26" s="2928"/>
      <c r="G26" s="2928"/>
      <c r="H26" s="2928"/>
      <c r="I26" s="2928"/>
      <c r="J26" s="2894"/>
      <c r="K26" s="2928" t="s">
        <v>2822</v>
      </c>
      <c r="L26" s="2928"/>
      <c r="M26" s="2928"/>
      <c r="N26" s="2928"/>
      <c r="O26" s="2928"/>
      <c r="P26" s="2928"/>
      <c r="Q26" s="2894"/>
      <c r="R26" s="3494" t="s">
        <v>2823</v>
      </c>
      <c r="S26" s="3495"/>
      <c r="T26" s="3495"/>
      <c r="U26" s="3495"/>
      <c r="V26" s="3495"/>
      <c r="W26" s="3495"/>
      <c r="X26" s="2894"/>
      <c r="Y26" s="3494" t="s">
        <v>2824</v>
      </c>
      <c r="Z26" s="3495"/>
      <c r="AA26" s="3495"/>
      <c r="AB26" s="3495"/>
      <c r="AC26" s="3495"/>
      <c r="AD26" s="3495"/>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3372</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3369</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3375</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3370</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3368</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3366</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3365</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3363</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3362</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3361</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3351</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45747</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30">
      <c r="A4" s="1403" t="str">
        <f>项目基本情况!S2</f>
        <v>北京市朝阳区朝阳门外大街18号房地产</v>
      </c>
      <c r="B4" s="801">
        <f>项目基本情况!C17</f>
        <v>2441.15</v>
      </c>
      <c r="C4" s="801">
        <f>项目基本情况!C18</f>
        <v>54.66</v>
      </c>
      <c r="D4" s="801">
        <f ca="1">结果表!D118</f>
        <v>1346</v>
      </c>
      <c r="E4" s="801">
        <f ca="1">结果表!E118</f>
        <v>28222</v>
      </c>
      <c r="F4" s="801">
        <f ca="1">结果表!F118</f>
        <v>258</v>
      </c>
      <c r="G4" s="801">
        <f ca="1">结果表!G118</f>
        <v>5409</v>
      </c>
      <c r="H4" s="801">
        <f ca="1">结果表!H118</f>
        <v>1604</v>
      </c>
      <c r="I4" s="801">
        <f ca="1">结果表!I118</f>
        <v>33631</v>
      </c>
    </row>
    <row r="5" spans="1:9" ht="30" customHeight="1">
      <c r="A5" s="3180" t="s">
        <v>927</v>
      </c>
      <c r="B5" s="3180"/>
      <c r="C5" s="3180"/>
      <c r="D5" s="3180" t="str">
        <f ca="1">结果表!D119</f>
        <v>壹仟叁佰肆拾陆万元整</v>
      </c>
      <c r="E5" s="3180"/>
      <c r="F5" s="3180" t="str">
        <f ca="1">结果表!F119</f>
        <v>贰佰伍拾捌万元整</v>
      </c>
      <c r="G5" s="3180"/>
      <c r="H5" s="3180" t="str">
        <f ca="1">结果表!H119</f>
        <v>壹仟陆佰零肆万元整</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f ca="1">结果表!D122</f>
        <v>1604</v>
      </c>
      <c r="E8" s="3179"/>
      <c r="F8" s="3179"/>
      <c r="G8" s="3179"/>
      <c r="H8" s="3179"/>
      <c r="I8" s="3179"/>
    </row>
    <row r="9" spans="1:9" ht="15">
      <c r="A9" s="3180" t="s">
        <v>927</v>
      </c>
      <c r="B9" s="3180"/>
      <c r="C9" s="3180"/>
      <c r="D9" s="3180" t="str">
        <f ca="1">结果表!D123</f>
        <v>壹仟陆佰零肆万元整</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抵押净值</v>
      </c>
      <c r="B12" s="3179"/>
      <c r="C12" s="3179"/>
      <c r="D12" s="3179">
        <f ca="1">结果表!D126</f>
        <v>1517</v>
      </c>
      <c r="E12" s="3179"/>
      <c r="F12" s="3179"/>
      <c r="G12" s="3179"/>
      <c r="H12" s="3179"/>
      <c r="I12" s="3179"/>
    </row>
    <row r="13" spans="1:9" ht="15.6" thickBot="1">
      <c r="A13" s="3177" t="s">
        <v>927</v>
      </c>
      <c r="B13" s="3177"/>
      <c r="C13" s="3177"/>
      <c r="D13" s="3177" t="str">
        <f ca="1">结果表!D127</f>
        <v>壹仟伍佰壹拾柒万元整</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45757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结果表 (2)</vt:lpstr>
      <vt:lpstr>基准地价修正 (2)</vt:lpstr>
      <vt:lpstr>成本法商</vt:lpstr>
      <vt:lpstr>收益法商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 (2)'!Print_Area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2025-04-10T03:10:54Z</dcterms:modified>
</cp:coreProperties>
</file>